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1121BC2C-ACE1-442E-A4B9-B7DDEBFC46B1}" xr6:coauthVersionLast="47" xr6:coauthVersionMax="47" xr10:uidLastSave="{00000000-0000-0000-0000-000000000000}"/>
  <bookViews>
    <workbookView xWindow="-108" yWindow="-108" windowWidth="23256" windowHeight="12456" firstSheet="17" activeTab="20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F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EW&amp;ELUTION" sheetId="25" r:id="rId16"/>
    <sheet name="Leach Time Process&amp;Down Time" sheetId="11" r:id="rId17"/>
    <sheet name="Leaching" sheetId="3" r:id="rId18"/>
    <sheet name="Fuel Consumption" sheetId="6" r:id="rId19"/>
    <sheet name="Milling and Leach Feed_OLD" sheetId="4" r:id="rId20"/>
    <sheet name="Reakapan Log Book " sheetId="27" r:id="rId21"/>
  </sheets>
  <externalReferences>
    <externalReference r:id="rId22"/>
  </externalReferences>
  <definedNames>
    <definedName name="_xlchart.v1.0" hidden="1">'Rom File Inventory'!$AE$1:$AE$295</definedName>
    <definedName name="_xlchart.v1.1" hidden="1">'Rom File Inventory'!$AF$1:$AF$295</definedName>
    <definedName name="_xlnm.Print_Area" localSheetId="3">Crushing!$A$1:$AB$189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32" i="13" l="1"/>
  <c r="AU79" i="13"/>
  <c r="H26" i="15"/>
  <c r="AG30" i="13" s="1"/>
  <c r="AP30" i="13" s="1"/>
  <c r="AU30" i="13" s="1"/>
  <c r="AA32" i="13"/>
  <c r="Y30" i="13"/>
  <c r="AM30" i="13"/>
  <c r="O36" i="13"/>
  <c r="O35" i="13"/>
  <c r="N36" i="13"/>
  <c r="N35" i="13"/>
  <c r="L36" i="13"/>
  <c r="L35" i="13"/>
  <c r="AT33" i="13"/>
  <c r="BD10" i="13"/>
  <c r="AL10" i="13"/>
  <c r="AD34" i="13"/>
  <c r="AE34" i="13"/>
  <c r="T132" i="21"/>
  <c r="W132" i="21"/>
  <c r="U132" i="21"/>
  <c r="X132" i="21" s="1"/>
  <c r="V132" i="21"/>
  <c r="Y132" i="21" s="1"/>
  <c r="U130" i="21"/>
  <c r="V130" i="21"/>
  <c r="Z33" i="13" s="1"/>
  <c r="T130" i="21"/>
  <c r="W130" i="21" s="1"/>
  <c r="S139" i="21"/>
  <c r="S136" i="21"/>
  <c r="I141" i="21"/>
  <c r="I142" i="21"/>
  <c r="I140" i="21"/>
  <c r="H142" i="21"/>
  <c r="H141" i="21"/>
  <c r="N141" i="21"/>
  <c r="M142" i="21"/>
  <c r="M141" i="21"/>
  <c r="J141" i="21"/>
  <c r="J142" i="21"/>
  <c r="O140" i="21"/>
  <c r="Q141" i="21"/>
  <c r="P141" i="21" s="1"/>
  <c r="Q142" i="21"/>
  <c r="P142" i="21" s="1"/>
  <c r="Z142" i="21"/>
  <c r="Z141" i="21"/>
  <c r="R142" i="21"/>
  <c r="R141" i="21"/>
  <c r="L123" i="5"/>
  <c r="N89" i="20"/>
  <c r="N90" i="20"/>
  <c r="P89" i="20"/>
  <c r="P90" i="20"/>
  <c r="W35" i="13"/>
  <c r="W34" i="13"/>
  <c r="W33" i="13"/>
  <c r="W31" i="13"/>
  <c r="W32" i="13"/>
  <c r="U35" i="13"/>
  <c r="N87" i="20"/>
  <c r="N88" i="20"/>
  <c r="P88" i="20" s="1"/>
  <c r="P87" i="20"/>
  <c r="M8" i="25"/>
  <c r="M9" i="25"/>
  <c r="M10" i="25"/>
  <c r="M11" i="25"/>
  <c r="M12" i="25"/>
  <c r="M13" i="25"/>
  <c r="M14" i="25"/>
  <c r="M15" i="25"/>
  <c r="M16" i="25"/>
  <c r="M17" i="25"/>
  <c r="M18" i="25"/>
  <c r="M19" i="25"/>
  <c r="M20" i="25"/>
  <c r="M21" i="25"/>
  <c r="M22" i="25"/>
  <c r="M23" i="25"/>
  <c r="M7" i="25"/>
  <c r="M6" i="25"/>
  <c r="G30" i="15"/>
  <c r="AF34" i="13" s="1"/>
  <c r="M140" i="21"/>
  <c r="N139" i="21" s="1"/>
  <c r="Q140" i="21"/>
  <c r="P140" i="21" s="1"/>
  <c r="R140" i="21"/>
  <c r="L121" i="5"/>
  <c r="J140" i="21"/>
  <c r="Z140" i="21"/>
  <c r="AF33" i="13"/>
  <c r="AG33" i="13"/>
  <c r="AH33" i="13"/>
  <c r="AG34" i="13"/>
  <c r="AH34" i="13"/>
  <c r="AF35" i="13"/>
  <c r="AG35" i="13"/>
  <c r="AH35" i="13"/>
  <c r="AF30" i="13"/>
  <c r="AH30" i="13"/>
  <c r="AF31" i="13"/>
  <c r="AH31" i="13"/>
  <c r="AF32" i="13"/>
  <c r="AG32" i="13"/>
  <c r="AH32" i="13"/>
  <c r="H30" i="15"/>
  <c r="I30" i="15"/>
  <c r="H29" i="15"/>
  <c r="I29" i="15"/>
  <c r="G29" i="15"/>
  <c r="H28" i="15"/>
  <c r="I28" i="15"/>
  <c r="G28" i="15"/>
  <c r="H27" i="15"/>
  <c r="AG31" i="13" s="1"/>
  <c r="AP31" i="13" s="1"/>
  <c r="AU31" i="13" s="1"/>
  <c r="I27" i="15"/>
  <c r="G27" i="15"/>
  <c r="I26" i="15"/>
  <c r="G26" i="15"/>
  <c r="AF29" i="13"/>
  <c r="R136" i="21"/>
  <c r="Q136" i="21" s="1"/>
  <c r="P136" i="21" s="1"/>
  <c r="AI35" i="13"/>
  <c r="AR18" i="13"/>
  <c r="H139" i="21"/>
  <c r="I139" i="21" s="1"/>
  <c r="M139" i="21"/>
  <c r="O139" i="21" s="1"/>
  <c r="M138" i="21"/>
  <c r="O138" i="21" s="1"/>
  <c r="Q139" i="21"/>
  <c r="P139" i="21" s="1"/>
  <c r="R139" i="21"/>
  <c r="J139" i="21"/>
  <c r="Z139" i="21"/>
  <c r="N84" i="20"/>
  <c r="N85" i="20"/>
  <c r="N86" i="20"/>
  <c r="N83" i="20"/>
  <c r="P84" i="20"/>
  <c r="P85" i="20"/>
  <c r="P86" i="20"/>
  <c r="K140" i="1"/>
  <c r="L140" i="1"/>
  <c r="N140" i="1" s="1"/>
  <c r="AA7" i="1"/>
  <c r="I140" i="1"/>
  <c r="M140" i="1" s="1"/>
  <c r="F180" i="1"/>
  <c r="M139" i="1"/>
  <c r="L139" i="1"/>
  <c r="K139" i="1"/>
  <c r="I139" i="1"/>
  <c r="D34" i="13"/>
  <c r="D33" i="13"/>
  <c r="D32" i="13"/>
  <c r="C34" i="13"/>
  <c r="C33" i="13"/>
  <c r="C32" i="13"/>
  <c r="N32" i="13"/>
  <c r="N34" i="13"/>
  <c r="U128" i="21"/>
  <c r="L34" i="13"/>
  <c r="Q137" i="21"/>
  <c r="P137" i="21" s="1"/>
  <c r="Q138" i="21"/>
  <c r="P138" i="21" s="1"/>
  <c r="R138" i="21"/>
  <c r="R137" i="21"/>
  <c r="L119" i="5"/>
  <c r="J138" i="21"/>
  <c r="J137" i="21"/>
  <c r="Z138" i="21"/>
  <c r="N80" i="20"/>
  <c r="N81" i="20"/>
  <c r="N82" i="20"/>
  <c r="P83" i="20"/>
  <c r="P71" i="20"/>
  <c r="P72" i="20"/>
  <c r="P73" i="20"/>
  <c r="P74" i="20"/>
  <c r="P75" i="20"/>
  <c r="P76" i="20"/>
  <c r="P77" i="20"/>
  <c r="P78" i="20"/>
  <c r="P79" i="20"/>
  <c r="P80" i="20"/>
  <c r="P81" i="20"/>
  <c r="P82" i="20"/>
  <c r="P70" i="20"/>
  <c r="AD120" i="21"/>
  <c r="G150" i="12"/>
  <c r="U126" i="21"/>
  <c r="U34" i="13"/>
  <c r="D82" i="2"/>
  <c r="O34" i="13"/>
  <c r="N33" i="13"/>
  <c r="U33" i="13"/>
  <c r="M136" i="21" s="1"/>
  <c r="H136" i="21"/>
  <c r="H138" i="21" s="1"/>
  <c r="I138" i="21" s="1"/>
  <c r="J136" i="21"/>
  <c r="Z136" i="21"/>
  <c r="Q135" i="21"/>
  <c r="P135" i="21" s="1"/>
  <c r="R135" i="21"/>
  <c r="L117" i="5"/>
  <c r="L115" i="5"/>
  <c r="J135" i="21"/>
  <c r="Z135" i="21"/>
  <c r="U129" i="21"/>
  <c r="X129" i="21" s="1"/>
  <c r="V129" i="21"/>
  <c r="T129" i="21"/>
  <c r="W129" i="21" s="1"/>
  <c r="L33" i="13"/>
  <c r="J134" i="21"/>
  <c r="Q134" i="21"/>
  <c r="P134" i="21" s="1"/>
  <c r="R134" i="21"/>
  <c r="Z134" i="21"/>
  <c r="BE80" i="13"/>
  <c r="T128" i="21"/>
  <c r="Z119" i="21"/>
  <c r="Z129" i="21"/>
  <c r="Z133" i="21"/>
  <c r="AA113" i="21"/>
  <c r="V128" i="21"/>
  <c r="R133" i="21"/>
  <c r="Q133" i="21" s="1"/>
  <c r="P133" i="21" s="1"/>
  <c r="J133" i="21"/>
  <c r="M133" i="21" s="1"/>
  <c r="M134" i="21" s="1"/>
  <c r="M135" i="21" s="1"/>
  <c r="J132" i="21"/>
  <c r="V33" i="13"/>
  <c r="R131" i="21"/>
  <c r="Q131" i="21" s="1"/>
  <c r="P131" i="21" s="1"/>
  <c r="O131" i="21" s="1"/>
  <c r="R132" i="21"/>
  <c r="Q132" i="21" s="1"/>
  <c r="G113" i="5"/>
  <c r="J131" i="21"/>
  <c r="Z132" i="21"/>
  <c r="N79" i="20"/>
  <c r="N78" i="20"/>
  <c r="U32" i="13"/>
  <c r="T126" i="21"/>
  <c r="T125" i="21"/>
  <c r="J126" i="21"/>
  <c r="U127" i="21"/>
  <c r="V127" i="21"/>
  <c r="T127" i="21"/>
  <c r="V126" i="21"/>
  <c r="U125" i="21"/>
  <c r="V125" i="21"/>
  <c r="U124" i="21"/>
  <c r="V124" i="21"/>
  <c r="T124" i="21"/>
  <c r="T123" i="21"/>
  <c r="M8" i="12"/>
  <c r="N30" i="13"/>
  <c r="L32" i="13"/>
  <c r="L31" i="13"/>
  <c r="R130" i="21"/>
  <c r="Q130" i="21" s="1"/>
  <c r="P130" i="21" s="1"/>
  <c r="Z130" i="21"/>
  <c r="J130" i="21" s="1"/>
  <c r="L111" i="5"/>
  <c r="K111" i="5"/>
  <c r="J111" i="5"/>
  <c r="G111" i="5"/>
  <c r="N31" i="13"/>
  <c r="U31" i="13"/>
  <c r="N77" i="20"/>
  <c r="J129" i="21"/>
  <c r="G107" i="5"/>
  <c r="N76" i="20"/>
  <c r="Z128" i="21"/>
  <c r="J128" i="21" s="1"/>
  <c r="Z127" i="21"/>
  <c r="J127" i="21" s="1"/>
  <c r="H127" i="21" s="1"/>
  <c r="N74" i="20"/>
  <c r="N75" i="20"/>
  <c r="N73" i="20"/>
  <c r="Z125" i="21"/>
  <c r="J125" i="21" s="1"/>
  <c r="R125" i="21"/>
  <c r="Q125" i="21" s="1"/>
  <c r="P125" i="21" s="1"/>
  <c r="U123" i="21"/>
  <c r="V123" i="21"/>
  <c r="U122" i="21"/>
  <c r="V122" i="21"/>
  <c r="T122" i="21"/>
  <c r="V121" i="21"/>
  <c r="U121" i="21"/>
  <c r="T121" i="21"/>
  <c r="H25" i="15"/>
  <c r="AG29" i="13" s="1"/>
  <c r="I25" i="15"/>
  <c r="AH29" i="13" s="1"/>
  <c r="G24" i="15"/>
  <c r="G25" i="15"/>
  <c r="L30" i="13"/>
  <c r="N29" i="13"/>
  <c r="R126" i="21"/>
  <c r="Q126" i="21" s="1"/>
  <c r="P126" i="21" s="1"/>
  <c r="AA115" i="21"/>
  <c r="U30" i="13"/>
  <c r="A30" i="13"/>
  <c r="K20" i="13"/>
  <c r="BE30" i="13" l="1"/>
  <c r="Y33" i="13"/>
  <c r="X32" i="13"/>
  <c r="Y130" i="21"/>
  <c r="AC33" i="13" s="1"/>
  <c r="X130" i="21"/>
  <c r="AB33" i="13" s="1"/>
  <c r="AA33" i="13"/>
  <c r="AD33" i="13" s="1"/>
  <c r="X33" i="13"/>
  <c r="O141" i="21"/>
  <c r="O142" i="21"/>
  <c r="N137" i="21"/>
  <c r="H140" i="21"/>
  <c r="N6" i="25"/>
  <c r="O136" i="21"/>
  <c r="I136" i="21"/>
  <c r="X30" i="13"/>
  <c r="Z32" i="13"/>
  <c r="X31" i="13"/>
  <c r="Y32" i="13"/>
  <c r="Y31" i="13"/>
  <c r="Z31" i="13"/>
  <c r="O32" i="13"/>
  <c r="M130" i="21"/>
  <c r="O33" i="13"/>
  <c r="N135" i="21"/>
  <c r="O135" i="21"/>
  <c r="O134" i="21"/>
  <c r="S133" i="21"/>
  <c r="O133" i="21"/>
  <c r="N133" i="21"/>
  <c r="H133" i="21"/>
  <c r="M132" i="21"/>
  <c r="N131" i="21" s="1"/>
  <c r="C31" i="13"/>
  <c r="O130" i="21"/>
  <c r="H130" i="21"/>
  <c r="I130" i="21" s="1"/>
  <c r="P132" i="21"/>
  <c r="H125" i="21"/>
  <c r="H126" i="21" s="1"/>
  <c r="Z30" i="13"/>
  <c r="M127" i="21"/>
  <c r="W127" i="21" s="1"/>
  <c r="V31" i="13"/>
  <c r="H128" i="21"/>
  <c r="L29" i="13"/>
  <c r="N72" i="20"/>
  <c r="J118" i="21"/>
  <c r="J124" i="21"/>
  <c r="J121" i="21"/>
  <c r="G105" i="5"/>
  <c r="R124" i="21" s="1"/>
  <c r="Q124" i="21" s="1"/>
  <c r="P124" i="21" s="1"/>
  <c r="Z322" i="12"/>
  <c r="AA10" i="12"/>
  <c r="AA9" i="12"/>
  <c r="D173" i="12"/>
  <c r="F167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AE33" i="13" l="1"/>
  <c r="I133" i="21"/>
  <c r="H134" i="21"/>
  <c r="H132" i="21"/>
  <c r="I132" i="21" s="1"/>
  <c r="S130" i="21"/>
  <c r="O132" i="21"/>
  <c r="H124" i="21"/>
  <c r="I124" i="21" s="1"/>
  <c r="X127" i="21"/>
  <c r="Y127" i="21"/>
  <c r="M128" i="21"/>
  <c r="W128" i="21" s="1"/>
  <c r="I125" i="21"/>
  <c r="J105" i="5"/>
  <c r="H129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56" i="21"/>
  <c r="X156" i="21" s="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I42" i="12"/>
  <c r="J41" i="12"/>
  <c r="J40" i="12"/>
  <c r="H24" i="15"/>
  <c r="AG28" i="13" s="1"/>
  <c r="I24" i="15"/>
  <c r="AH28" i="13" s="1"/>
  <c r="AF28" i="13"/>
  <c r="H23" i="15"/>
  <c r="I23" i="15"/>
  <c r="G23" i="15"/>
  <c r="AG27" i="13"/>
  <c r="AF27" i="13"/>
  <c r="AG26" i="13"/>
  <c r="U116" i="21"/>
  <c r="V116" i="21"/>
  <c r="T116" i="21"/>
  <c r="T51" i="2"/>
  <c r="U115" i="21"/>
  <c r="V115" i="21"/>
  <c r="T115" i="21"/>
  <c r="T114" i="21"/>
  <c r="A29" i="13"/>
  <c r="A28" i="13"/>
  <c r="J122" i="21"/>
  <c r="AD115" i="21"/>
  <c r="N69" i="20"/>
  <c r="P69" i="20" s="1"/>
  <c r="N70" i="20"/>
  <c r="AA121" i="21"/>
  <c r="I138" i="1"/>
  <c r="K138" i="1" s="1"/>
  <c r="M138" i="1" s="1"/>
  <c r="N68" i="20"/>
  <c r="P68" i="20" s="1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27" i="21"/>
  <c r="V161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AF26" i="13" s="1"/>
  <c r="T110" i="21"/>
  <c r="T111" i="21"/>
  <c r="U111" i="21"/>
  <c r="V111" i="21"/>
  <c r="U28" i="13"/>
  <c r="O30" i="13" s="1"/>
  <c r="AL30" i="13" s="1"/>
  <c r="N67" i="20"/>
  <c r="P67" i="20" s="1"/>
  <c r="J119" i="21"/>
  <c r="L21" i="13"/>
  <c r="L28" i="13"/>
  <c r="N28" i="13"/>
  <c r="V28" i="13" s="1"/>
  <c r="AR28" i="13" s="1"/>
  <c r="G21" i="15"/>
  <c r="AF25" i="13" s="1"/>
  <c r="U27" i="13"/>
  <c r="M118" i="21" s="1"/>
  <c r="U25" i="13"/>
  <c r="H118" i="21"/>
  <c r="L27" i="13"/>
  <c r="N66" i="20"/>
  <c r="P66" i="20" s="1"/>
  <c r="A27" i="13"/>
  <c r="A26" i="13"/>
  <c r="N65" i="20"/>
  <c r="P65" i="20" s="1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N64" i="20"/>
  <c r="P64" i="20" s="1"/>
  <c r="J116" i="21"/>
  <c r="J115" i="21"/>
  <c r="AL32" i="13"/>
  <c r="AM32" i="13"/>
  <c r="AL33" i="13"/>
  <c r="AM33" i="13"/>
  <c r="AN33" i="13"/>
  <c r="AL34" i="13"/>
  <c r="AM34" i="13"/>
  <c r="AN34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P63" i="20" s="1"/>
  <c r="H21" i="15"/>
  <c r="AG25" i="13" s="1"/>
  <c r="I21" i="15"/>
  <c r="AH25" i="13" s="1"/>
  <c r="U110" i="21"/>
  <c r="V110" i="21"/>
  <c r="V109" i="21"/>
  <c r="U109" i="21"/>
  <c r="M121" i="21" l="1"/>
  <c r="M125" i="21"/>
  <c r="O31" i="13"/>
  <c r="M129" i="21"/>
  <c r="H135" i="21"/>
  <c r="I135" i="21" s="1"/>
  <c r="I134" i="21"/>
  <c r="Y171" i="17"/>
  <c r="N127" i="21"/>
  <c r="Y156" i="21"/>
  <c r="K105" i="5"/>
  <c r="X29" i="13"/>
  <c r="Z29" i="13"/>
  <c r="S91" i="13" s="1"/>
  <c r="Y29" i="13"/>
  <c r="R91" i="13" s="1"/>
  <c r="Y128" i="21"/>
  <c r="X128" i="21"/>
  <c r="Y156" i="17"/>
  <c r="W156" i="21"/>
  <c r="Y28" i="13"/>
  <c r="R90" i="13" s="1"/>
  <c r="W118" i="21"/>
  <c r="Z27" i="13"/>
  <c r="S89" i="13" s="1"/>
  <c r="Y27" i="13"/>
  <c r="R89" i="13" s="1"/>
  <c r="H122" i="21"/>
  <c r="H123" i="21" s="1"/>
  <c r="Z26" i="13"/>
  <c r="S88" i="13" s="1"/>
  <c r="Y26" i="13"/>
  <c r="R88" i="13" s="1"/>
  <c r="H119" i="21"/>
  <c r="H120" i="21" s="1"/>
  <c r="Y165" i="17"/>
  <c r="Q171" i="17"/>
  <c r="Y183" i="17"/>
  <c r="Q165" i="17"/>
  <c r="X28" i="13"/>
  <c r="Z28" i="13"/>
  <c r="S90" i="13" s="1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Q89" i="13" s="1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X26" i="13"/>
  <c r="Q88" i="13" s="1"/>
  <c r="H115" i="21"/>
  <c r="U26" i="13"/>
  <c r="O28" i="13" s="1"/>
  <c r="N26" i="13"/>
  <c r="V26" i="13" s="1"/>
  <c r="N27" i="13"/>
  <c r="L26" i="13"/>
  <c r="L25" i="13"/>
  <c r="J113" i="21"/>
  <c r="J114" i="21"/>
  <c r="J112" i="21"/>
  <c r="M112" i="21" s="1"/>
  <c r="N61" i="20"/>
  <c r="P61" i="20" s="1"/>
  <c r="N62" i="20"/>
  <c r="P62" i="20"/>
  <c r="J111" i="21"/>
  <c r="X121" i="21" l="1"/>
  <c r="M122" i="21"/>
  <c r="W122" i="21" s="1"/>
  <c r="Y121" i="21"/>
  <c r="W121" i="21"/>
  <c r="AB121" i="21" s="1"/>
  <c r="D31" i="13"/>
  <c r="AL31" i="13"/>
  <c r="AM31" i="13"/>
  <c r="O125" i="21"/>
  <c r="W125" i="21"/>
  <c r="X125" i="21"/>
  <c r="Y125" i="21"/>
  <c r="M126" i="21"/>
  <c r="W126" i="21" s="1"/>
  <c r="N129" i="21"/>
  <c r="Y129" i="21"/>
  <c r="AC32" i="13" s="1"/>
  <c r="AN32" i="13" s="1"/>
  <c r="AB32" i="13"/>
  <c r="S127" i="21"/>
  <c r="Q90" i="13"/>
  <c r="Q91" i="13"/>
  <c r="M115" i="21"/>
  <c r="O27" i="13"/>
  <c r="V27" i="13"/>
  <c r="AR27" i="13" s="1"/>
  <c r="M119" i="21"/>
  <c r="W119" i="21" s="1"/>
  <c r="AB119" i="21" s="1"/>
  <c r="M113" i="21"/>
  <c r="M114" i="21" s="1"/>
  <c r="AB118" i="21"/>
  <c r="C46" i="12"/>
  <c r="H116" i="21"/>
  <c r="H117" i="21" s="1"/>
  <c r="H112" i="21"/>
  <c r="AE32" i="13" l="1"/>
  <c r="M123" i="21"/>
  <c r="M124" i="21"/>
  <c r="S121" i="21" s="1"/>
  <c r="N125" i="21"/>
  <c r="O126" i="21"/>
  <c r="AA31" i="13"/>
  <c r="AD31" i="13" s="1"/>
  <c r="S125" i="21"/>
  <c r="N123" i="21"/>
  <c r="Y124" i="21"/>
  <c r="X124" i="21"/>
  <c r="W124" i="21"/>
  <c r="M120" i="21"/>
  <c r="S118" i="21" s="1"/>
  <c r="Y115" i="21"/>
  <c r="M116" i="21"/>
  <c r="M117" i="21" s="1"/>
  <c r="W115" i="21"/>
  <c r="X115" i="21"/>
  <c r="AL28" i="13"/>
  <c r="AM28" i="13"/>
  <c r="H113" i="21"/>
  <c r="AE31" i="13" l="1"/>
  <c r="Y123" i="21"/>
  <c r="W123" i="21"/>
  <c r="AA30" i="13" s="1"/>
  <c r="X123" i="21"/>
  <c r="AB115" i="21"/>
  <c r="N119" i="21"/>
  <c r="X119" i="21" s="1"/>
  <c r="N115" i="2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6" i="21"/>
  <c r="AC31" i="13" s="1"/>
  <c r="AN31" i="13" s="1"/>
  <c r="J34" i="12"/>
  <c r="J35" i="12"/>
  <c r="J36" i="12"/>
  <c r="J37" i="12"/>
  <c r="N60" i="20"/>
  <c r="P60" i="20" s="1"/>
  <c r="N59" i="20"/>
  <c r="P59" i="20" s="1"/>
  <c r="N58" i="20"/>
  <c r="P58" i="20" s="1"/>
  <c r="T109" i="21"/>
  <c r="AA112" i="21"/>
  <c r="J110" i="2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AH23" i="13" s="1"/>
  <c r="G19" i="15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57" i="21"/>
  <c r="U103" i="21"/>
  <c r="U104" i="21" s="1"/>
  <c r="V103" i="21"/>
  <c r="V104" i="21" s="1"/>
  <c r="T103" i="21"/>
  <c r="T104" i="21" s="1"/>
  <c r="U102" i="21"/>
  <c r="V102" i="21"/>
  <c r="T102" i="21"/>
  <c r="N54" i="20"/>
  <c r="P54" i="20" s="1"/>
  <c r="N55" i="20"/>
  <c r="P55" i="20" s="1"/>
  <c r="N56" i="20"/>
  <c r="P56" i="20" s="1"/>
  <c r="N57" i="20"/>
  <c r="P57" i="20" s="1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Q30" i="13"/>
  <c r="AO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N50" i="20"/>
  <c r="P50" i="20" s="1"/>
  <c r="N51" i="20"/>
  <c r="P51" i="20" s="1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AN35" i="13" l="1"/>
  <c r="AM35" i="13"/>
  <c r="AL35" i="13"/>
  <c r="AE30" i="13"/>
  <c r="AD30" i="13"/>
  <c r="AO29" i="13"/>
  <c r="AL29" i="13"/>
  <c r="O124" i="21"/>
  <c r="AQ29" i="13"/>
  <c r="AP29" i="13"/>
  <c r="M102" i="21"/>
  <c r="M103" i="21" s="1"/>
  <c r="M104" i="21" s="1"/>
  <c r="AM29" i="13"/>
  <c r="O24" i="13"/>
  <c r="AQ24" i="13" s="1"/>
  <c r="V30" i="13"/>
  <c r="H106" i="21"/>
  <c r="H107" i="21" s="1"/>
  <c r="H108" i="21" s="1"/>
  <c r="M106" i="21"/>
  <c r="M107" i="21" s="1"/>
  <c r="M99" i="21"/>
  <c r="M100" i="21"/>
  <c r="M101" i="21" s="1"/>
  <c r="H110" i="21"/>
  <c r="H111" i="21" s="1"/>
  <c r="M110" i="21"/>
  <c r="M111" i="21" s="1"/>
  <c r="W111" i="21" s="1"/>
  <c r="N124" i="1"/>
  <c r="C66" i="7" s="1"/>
  <c r="N121" i="21"/>
  <c r="K124" i="1"/>
  <c r="M124" i="1" s="1"/>
  <c r="L122" i="1"/>
  <c r="M125" i="1"/>
  <c r="W120" i="21"/>
  <c r="AA29" i="13" s="1"/>
  <c r="AE29" i="13" s="1"/>
  <c r="Y120" i="21"/>
  <c r="X120" i="21"/>
  <c r="X118" i="21"/>
  <c r="N117" i="21"/>
  <c r="AL27" i="13"/>
  <c r="AM27" i="13"/>
  <c r="AL26" i="13"/>
  <c r="AM26" i="13"/>
  <c r="W116" i="21"/>
  <c r="AA28" i="13" s="1"/>
  <c r="AE28" i="13" s="1"/>
  <c r="X116" i="21"/>
  <c r="AB28" i="13" s="1"/>
  <c r="AO26" i="13"/>
  <c r="AP26" i="13"/>
  <c r="AQ26" i="13"/>
  <c r="AP22" i="13"/>
  <c r="O25" i="13"/>
  <c r="X126" i="21"/>
  <c r="AB31" i="13" s="1"/>
  <c r="O72" i="2"/>
  <c r="X8" i="2" s="1"/>
  <c r="L123" i="1"/>
  <c r="Y122" i="21"/>
  <c r="AC30" i="13" s="1"/>
  <c r="AN30" i="13" s="1"/>
  <c r="X122" i="21"/>
  <c r="AB30" i="13" s="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R104" i="21" s="1"/>
  <c r="Q104" i="21" s="1"/>
  <c r="P104" i="21" s="1"/>
  <c r="J84" i="5"/>
  <c r="K84" i="5" s="1"/>
  <c r="G85" i="5"/>
  <c r="J85" i="5"/>
  <c r="K85" i="5"/>
  <c r="G86" i="5"/>
  <c r="J86" i="5"/>
  <c r="K86" i="5" s="1"/>
  <c r="G87" i="5"/>
  <c r="J87" i="5" s="1"/>
  <c r="G88" i="5"/>
  <c r="G89" i="5"/>
  <c r="G90" i="5"/>
  <c r="J90" i="5"/>
  <c r="K90" i="5" s="1"/>
  <c r="G91" i="5"/>
  <c r="G92" i="5"/>
  <c r="R112" i="21" s="1"/>
  <c r="Q112" i="21" s="1"/>
  <c r="P112" i="21" s="1"/>
  <c r="G93" i="5"/>
  <c r="J93" i="5"/>
  <c r="G94" i="5"/>
  <c r="G95" i="5"/>
  <c r="G96" i="5"/>
  <c r="R116" i="21" s="1"/>
  <c r="Q116" i="21" s="1"/>
  <c r="P116" i="21" s="1"/>
  <c r="I116" i="21" s="1"/>
  <c r="G97" i="5"/>
  <c r="G98" i="5"/>
  <c r="G99" i="5"/>
  <c r="G100" i="5"/>
  <c r="G101" i="5"/>
  <c r="G102" i="5"/>
  <c r="G103" i="5"/>
  <c r="G104" i="5"/>
  <c r="J104" i="5" s="1"/>
  <c r="K104" i="5" s="1"/>
  <c r="G106" i="5"/>
  <c r="J107" i="5"/>
  <c r="K107" i="5" s="1"/>
  <c r="G108" i="5"/>
  <c r="R127" i="21" s="1"/>
  <c r="Q127" i="21" s="1"/>
  <c r="P127" i="21" s="1"/>
  <c r="J108" i="5"/>
  <c r="G109" i="5"/>
  <c r="G110" i="5"/>
  <c r="G112" i="5"/>
  <c r="J112" i="5" s="1"/>
  <c r="K112" i="5" s="1"/>
  <c r="J113" i="5"/>
  <c r="G114" i="5"/>
  <c r="J114" i="5" s="1"/>
  <c r="K114" i="5" s="1"/>
  <c r="G115" i="5"/>
  <c r="J115" i="5" s="1"/>
  <c r="K115" i="5" s="1"/>
  <c r="G116" i="5"/>
  <c r="J116" i="5" s="1"/>
  <c r="K116" i="5" s="1"/>
  <c r="G117" i="5"/>
  <c r="J117" i="5"/>
  <c r="K117" i="5" s="1"/>
  <c r="G118" i="5"/>
  <c r="J118" i="5" s="1"/>
  <c r="K118" i="5" s="1"/>
  <c r="G119" i="5"/>
  <c r="J119" i="5" s="1"/>
  <c r="K119" i="5" s="1"/>
  <c r="G120" i="5"/>
  <c r="J120" i="5" s="1"/>
  <c r="K120" i="5" s="1"/>
  <c r="G121" i="5"/>
  <c r="J121" i="5" s="1"/>
  <c r="K121" i="5" s="1"/>
  <c r="G122" i="5"/>
  <c r="J122" i="5" s="1"/>
  <c r="K122" i="5" s="1"/>
  <c r="G123" i="5"/>
  <c r="J123" i="5" s="1"/>
  <c r="K123" i="5" s="1"/>
  <c r="G124" i="5"/>
  <c r="J124" i="5" s="1"/>
  <c r="K124" i="5" s="1"/>
  <c r="G125" i="5"/>
  <c r="J125" i="5"/>
  <c r="K125" i="5" s="1"/>
  <c r="G126" i="5"/>
  <c r="J126" i="5" s="1"/>
  <c r="K126" i="5" s="1"/>
  <c r="G127" i="5"/>
  <c r="J127" i="5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 s="1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 s="1"/>
  <c r="K138" i="5" s="1"/>
  <c r="G139" i="5"/>
  <c r="J139" i="5"/>
  <c r="K139" i="5"/>
  <c r="G140" i="5"/>
  <c r="J140" i="5" s="1"/>
  <c r="K140" i="5" s="1"/>
  <c r="G141" i="5"/>
  <c r="J141" i="5"/>
  <c r="K141" i="5" s="1"/>
  <c r="G142" i="5"/>
  <c r="J142" i="5" s="1"/>
  <c r="K142" i="5" s="1"/>
  <c r="G143" i="5"/>
  <c r="J143" i="5" s="1"/>
  <c r="K143" i="5" s="1"/>
  <c r="G144" i="5"/>
  <c r="J144" i="5" s="1"/>
  <c r="K144" i="5" s="1"/>
  <c r="G145" i="5"/>
  <c r="J145" i="5"/>
  <c r="K145" i="5"/>
  <c r="G146" i="5"/>
  <c r="J146" i="5"/>
  <c r="K146" i="5" s="1"/>
  <c r="G147" i="5"/>
  <c r="J147" i="5"/>
  <c r="K147" i="5"/>
  <c r="G148" i="5"/>
  <c r="J148" i="5" s="1"/>
  <c r="K148" i="5" s="1"/>
  <c r="G149" i="5"/>
  <c r="J149" i="5" s="1"/>
  <c r="K149" i="5" s="1"/>
  <c r="G150" i="5"/>
  <c r="J150" i="5"/>
  <c r="K150" i="5" s="1"/>
  <c r="G151" i="5"/>
  <c r="J151" i="5" s="1"/>
  <c r="K151" i="5" s="1"/>
  <c r="G152" i="5"/>
  <c r="J152" i="5"/>
  <c r="K152" i="5"/>
  <c r="G153" i="5"/>
  <c r="J153" i="5" s="1"/>
  <c r="K153" i="5" s="1"/>
  <c r="G154" i="5"/>
  <c r="J154" i="5" s="1"/>
  <c r="K154" i="5" s="1"/>
  <c r="G155" i="5"/>
  <c r="J155" i="5"/>
  <c r="K155" i="5"/>
  <c r="G156" i="5"/>
  <c r="J156" i="5" s="1"/>
  <c r="K156" i="5" s="1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 s="1"/>
  <c r="K164" i="5" s="1"/>
  <c r="G165" i="5"/>
  <c r="J165" i="5"/>
  <c r="K165" i="5" s="1"/>
  <c r="G166" i="5"/>
  <c r="J166" i="5" s="1"/>
  <c r="K166" i="5" s="1"/>
  <c r="G167" i="5"/>
  <c r="J167" i="5"/>
  <c r="K167" i="5"/>
  <c r="G168" i="5"/>
  <c r="J168" i="5" s="1"/>
  <c r="K168" i="5" s="1"/>
  <c r="G169" i="5"/>
  <c r="J169" i="5" s="1"/>
  <c r="K169" i="5" s="1"/>
  <c r="G170" i="5"/>
  <c r="J170" i="5" s="1"/>
  <c r="K170" i="5" s="1"/>
  <c r="G171" i="5"/>
  <c r="J171" i="5" s="1"/>
  <c r="K171" i="5" s="1"/>
  <c r="G172" i="5"/>
  <c r="J172" i="5"/>
  <c r="K172" i="5"/>
  <c r="G173" i="5"/>
  <c r="J173" i="5" s="1"/>
  <c r="K173" i="5" s="1"/>
  <c r="G174" i="5"/>
  <c r="J174" i="5"/>
  <c r="K174" i="5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 s="1"/>
  <c r="K180" i="5" s="1"/>
  <c r="G181" i="5"/>
  <c r="J181" i="5"/>
  <c r="K181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N49" i="20"/>
  <c r="P49" i="20" s="1"/>
  <c r="N48" i="20"/>
  <c r="P48" i="20" s="1"/>
  <c r="H16" i="15"/>
  <c r="AG20" i="13" s="1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F47" i="20"/>
  <c r="H47" i="20" s="1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N44" i="20"/>
  <c r="P44" i="20" s="1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N38" i="20"/>
  <c r="N39" i="20"/>
  <c r="P39" i="20" s="1"/>
  <c r="F40" i="20"/>
  <c r="F41" i="20"/>
  <c r="N37" i="20"/>
  <c r="P37" i="20" s="1"/>
  <c r="F39" i="20"/>
  <c r="N33" i="20"/>
  <c r="N34" i="20"/>
  <c r="N35" i="20"/>
  <c r="P35" i="20" s="1"/>
  <c r="N36" i="20"/>
  <c r="P36" i="20" s="1"/>
  <c r="BF80" i="13"/>
  <c r="BG80" i="13"/>
  <c r="AZ79" i="13"/>
  <c r="BA79" i="13"/>
  <c r="BB79" i="13"/>
  <c r="AY79" i="13"/>
  <c r="AV79" i="13"/>
  <c r="AW79" i="13"/>
  <c r="AO24" i="13" l="1"/>
  <c r="K113" i="5"/>
  <c r="L113" i="5"/>
  <c r="AD29" i="13"/>
  <c r="J110" i="5"/>
  <c r="R129" i="21"/>
  <c r="Q129" i="21" s="1"/>
  <c r="P129" i="21" s="1"/>
  <c r="I127" i="21"/>
  <c r="O127" i="21"/>
  <c r="K108" i="5"/>
  <c r="L107" i="5"/>
  <c r="K110" i="5"/>
  <c r="J109" i="5"/>
  <c r="K109" i="5" s="1"/>
  <c r="R128" i="21"/>
  <c r="Q128" i="21" s="1"/>
  <c r="P128" i="21" s="1"/>
  <c r="I128" i="21" s="1"/>
  <c r="J106" i="5"/>
  <c r="L105" i="5" s="1"/>
  <c r="AB29" i="13"/>
  <c r="AM23" i="13"/>
  <c r="R85" i="13"/>
  <c r="AL23" i="13"/>
  <c r="Q85" i="13"/>
  <c r="AM22" i="13"/>
  <c r="R84" i="13"/>
  <c r="M108" i="21"/>
  <c r="M109" i="21" s="1"/>
  <c r="AB120" i="21"/>
  <c r="P38" i="5"/>
  <c r="Q38" i="5" s="1"/>
  <c r="L85" i="5"/>
  <c r="K93" i="5"/>
  <c r="P45" i="5"/>
  <c r="P58" i="5"/>
  <c r="Q58" i="5" s="1"/>
  <c r="P49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P55" i="5"/>
  <c r="R110" i="21"/>
  <c r="Q110" i="21" s="1"/>
  <c r="P110" i="21" s="1"/>
  <c r="O110" i="21" s="1"/>
  <c r="P43" i="5"/>
  <c r="R106" i="21"/>
  <c r="Q106" i="21" s="1"/>
  <c r="P106" i="21" s="1"/>
  <c r="I106" i="21" s="1"/>
  <c r="P51" i="5"/>
  <c r="J95" i="5"/>
  <c r="P50" i="5"/>
  <c r="R115" i="21"/>
  <c r="Q115" i="21" s="1"/>
  <c r="P115" i="21" s="1"/>
  <c r="J94" i="5"/>
  <c r="K94" i="5" s="1"/>
  <c r="R114" i="21"/>
  <c r="Q114" i="21" s="1"/>
  <c r="P114" i="21" s="1"/>
  <c r="I114" i="21" s="1"/>
  <c r="P54" i="5"/>
  <c r="P47" i="5"/>
  <c r="P39" i="5"/>
  <c r="J101" i="5"/>
  <c r="R121" i="21"/>
  <c r="Q121" i="21" s="1"/>
  <c r="P121" i="21" s="1"/>
  <c r="P53" i="5"/>
  <c r="P42" i="5"/>
  <c r="K87" i="5"/>
  <c r="R107" i="21"/>
  <c r="Q107" i="21" s="1"/>
  <c r="P107" i="21" s="1"/>
  <c r="I107" i="21" s="1"/>
  <c r="P52" i="5"/>
  <c r="P46" i="5"/>
  <c r="J71" i="5"/>
  <c r="J98" i="5"/>
  <c r="K98" i="5" s="1"/>
  <c r="R118" i="21"/>
  <c r="Q118" i="21" s="1"/>
  <c r="P118" i="21" s="1"/>
  <c r="P41" i="5"/>
  <c r="AB116" i="21"/>
  <c r="J103" i="5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P48" i="5"/>
  <c r="P56" i="5"/>
  <c r="P57" i="5"/>
  <c r="W110" i="21"/>
  <c r="AA26" i="13" s="1"/>
  <c r="AE26" i="13" s="1"/>
  <c r="J91" i="5"/>
  <c r="L91" i="5" s="1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C30" i="13" l="1"/>
  <c r="D30" i="13" s="1"/>
  <c r="S38" i="5"/>
  <c r="K101" i="5"/>
  <c r="L101" i="5"/>
  <c r="O129" i="21"/>
  <c r="I129" i="21"/>
  <c r="K103" i="5"/>
  <c r="L103" i="5"/>
  <c r="L109" i="5"/>
  <c r="O128" i="21"/>
  <c r="K106" i="5"/>
  <c r="I123" i="21"/>
  <c r="O123" i="21"/>
  <c r="C25" i="13"/>
  <c r="D25" i="13" s="1"/>
  <c r="S58" i="5"/>
  <c r="L89" i="5"/>
  <c r="I110" i="21"/>
  <c r="C27" i="13"/>
  <c r="D27" i="13" s="1"/>
  <c r="K73" i="5"/>
  <c r="L73" i="5"/>
  <c r="C26" i="13"/>
  <c r="D26" i="13" s="1"/>
  <c r="Q46" i="5"/>
  <c r="S46" i="5"/>
  <c r="K95" i="5"/>
  <c r="L95" i="5"/>
  <c r="S49" i="5"/>
  <c r="Q49" i="5"/>
  <c r="Q43" i="5"/>
  <c r="S43" i="5"/>
  <c r="Q53" i="5"/>
  <c r="S53" i="5"/>
  <c r="Q55" i="5"/>
  <c r="S55" i="5"/>
  <c r="S40" i="5"/>
  <c r="Q40" i="5"/>
  <c r="Q39" i="5"/>
  <c r="S39" i="5"/>
  <c r="Q44" i="5"/>
  <c r="S44" i="5"/>
  <c r="K97" i="5"/>
  <c r="L97" i="5"/>
  <c r="Q54" i="5"/>
  <c r="S54" i="5"/>
  <c r="K75" i="5"/>
  <c r="L75" i="5"/>
  <c r="S50" i="5"/>
  <c r="Q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D28" i="13" s="1"/>
  <c r="I113" i="21"/>
  <c r="K83" i="5"/>
  <c r="L83" i="5"/>
  <c r="S52" i="5"/>
  <c r="Q52" i="5"/>
  <c r="Q51" i="5"/>
  <c r="S51" i="5"/>
  <c r="Q45" i="5"/>
  <c r="S45" i="5"/>
  <c r="O106" i="21"/>
  <c r="AD28" i="13"/>
  <c r="I120" i="21"/>
  <c r="O120" i="21"/>
  <c r="N113" i="21"/>
  <c r="W114" i="21"/>
  <c r="AB114" i="21" s="1"/>
  <c r="Y114" i="21"/>
  <c r="O122" i="21"/>
  <c r="I122" i="21"/>
  <c r="Q119" i="21"/>
  <c r="P119" i="21" s="1"/>
  <c r="C29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S48" i="5"/>
  <c r="Q57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F48" i="7"/>
  <c r="F47" i="7"/>
  <c r="F46" i="7"/>
  <c r="F45" i="7"/>
  <c r="F43" i="7"/>
  <c r="F42" i="7" s="1"/>
  <c r="F44" i="7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79" i="1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P32" i="20" s="1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P31" i="20" s="1"/>
  <c r="N30" i="20"/>
  <c r="P30" i="20"/>
  <c r="H179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K99" i="1" l="1"/>
  <c r="M99" i="1" s="1"/>
  <c r="L99" i="1"/>
  <c r="AA27" i="13"/>
  <c r="D29" i="13"/>
  <c r="AA13" i="12"/>
  <c r="AA14" i="12"/>
  <c r="O108" i="21"/>
  <c r="I119" i="21"/>
  <c r="O119" i="21"/>
  <c r="Y119" i="21" s="1"/>
  <c r="AC29" i="13" s="1"/>
  <c r="AN29" i="13" s="1"/>
  <c r="AV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BF29" i="13" l="1"/>
  <c r="BF26" i="13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AE25" i="13" s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N26" i="20"/>
  <c r="P26" i="20" s="1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AD25" i="13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 s="1"/>
  <c r="AB33" i="21"/>
  <c r="Z39" i="21"/>
  <c r="J39" i="21" s="1"/>
  <c r="Y16" i="13"/>
  <c r="Z16" i="13"/>
  <c r="X16" i="13"/>
  <c r="G45" i="5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G15" i="5"/>
  <c r="R15" i="21" s="1"/>
  <c r="Q15" i="21" s="1"/>
  <c r="G11" i="15"/>
  <c r="AF15" i="13" s="1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I60" i="13"/>
  <c r="AG14" i="13"/>
  <c r="V100" i="13" s="1"/>
  <c r="AH14" i="13"/>
  <c r="W100" i="13" s="1"/>
  <c r="AF14" i="13"/>
  <c r="U100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9" i="13" s="1"/>
  <c r="I9" i="15"/>
  <c r="AH13" i="13" s="1"/>
  <c r="W99" i="13" s="1"/>
  <c r="G9" i="15"/>
  <c r="AF13" i="13" s="1"/>
  <c r="U99" i="13" s="1"/>
  <c r="I179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BD29" i="13" s="1"/>
  <c r="AR30" i="13"/>
  <c r="BD30" i="13" s="1"/>
  <c r="AR31" i="13"/>
  <c r="BD31" i="13" s="1"/>
  <c r="V32" i="13"/>
  <c r="AR32" i="13" s="1"/>
  <c r="BD32" i="13" s="1"/>
  <c r="AR33" i="13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 s="1"/>
  <c r="V98" i="13" s="1"/>
  <c r="I8" i="15"/>
  <c r="AH12" i="13" s="1"/>
  <c r="W98" i="13" s="1"/>
  <c r="G8" i="15"/>
  <c r="AF12" i="13" s="1"/>
  <c r="U98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V25" i="13"/>
  <c r="AV28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V97" i="13" s="1"/>
  <c r="I7" i="15"/>
  <c r="AH11" i="13" s="1"/>
  <c r="G7" i="15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3" i="12"/>
  <c r="J15" i="12"/>
  <c r="M15" i="12" s="1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AA12" i="12"/>
  <c r="AA11" i="12"/>
  <c r="AA11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V96" i="13"/>
  <c r="W96" i="13"/>
  <c r="L6" i="11"/>
  <c r="AC15" i="7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AF11" i="13" l="1"/>
  <c r="U97" i="13" s="1"/>
  <c r="AZ22" i="13"/>
  <c r="T157" i="21"/>
  <c r="R35" i="21"/>
  <c r="Q35" i="21" s="1"/>
  <c r="R27" i="4"/>
  <c r="P27" i="4" s="1"/>
  <c r="J29" i="5"/>
  <c r="K29" i="5" s="1"/>
  <c r="R11" i="20"/>
  <c r="W8" i="17"/>
  <c r="Q102" i="13"/>
  <c r="S78" i="13"/>
  <c r="P102" i="13"/>
  <c r="R78" i="13"/>
  <c r="AT40" i="13"/>
  <c r="AT22" i="13"/>
  <c r="O102" i="13"/>
  <c r="Q78" i="13"/>
  <c r="V11" i="13"/>
  <c r="AR11" i="13" s="1"/>
  <c r="O11" i="13"/>
  <c r="AT53" i="13"/>
  <c r="O10" i="13"/>
  <c r="N60" i="13"/>
  <c r="V60" i="13" s="1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J43" i="12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P8" i="5"/>
  <c r="Q8" i="5" s="1"/>
  <c r="P5" i="5"/>
  <c r="S5" i="5" s="1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I20" i="4" s="1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P78" i="21"/>
  <c r="I78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O18" i="13" s="1"/>
  <c r="A16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8" i="13" s="1"/>
  <c r="N97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Q72" i="13" s="1"/>
  <c r="Y12" i="13"/>
  <c r="Z10" i="13"/>
  <c r="S72" i="13" s="1"/>
  <c r="V99" i="4"/>
  <c r="U99" i="4"/>
  <c r="T99" i="4"/>
  <c r="X5" i="4"/>
  <c r="AB10" i="13" s="1"/>
  <c r="AM10" i="13" s="1"/>
  <c r="P30" i="5"/>
  <c r="R57" i="21"/>
  <c r="M26" i="12"/>
  <c r="K43" i="12"/>
  <c r="V14" i="13"/>
  <c r="AR14" i="13" s="1"/>
  <c r="O14" i="13"/>
  <c r="AP14" i="13" s="1"/>
  <c r="V18" i="13"/>
  <c r="V12" i="13"/>
  <c r="AR12" i="13" s="1"/>
  <c r="V13" i="13"/>
  <c r="AR13" i="13" s="1"/>
  <c r="O13" i="13"/>
  <c r="M25" i="21"/>
  <c r="U14" i="13"/>
  <c r="O16" i="13" s="1"/>
  <c r="N102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I20" i="21"/>
  <c r="W64" i="21"/>
  <c r="AB64" i="21" s="1"/>
  <c r="Y77" i="21"/>
  <c r="Y85" i="21"/>
  <c r="I6" i="21"/>
  <c r="X64" i="21"/>
  <c r="AB21" i="13" s="1"/>
  <c r="W78" i="21"/>
  <c r="AB78" i="21" s="1"/>
  <c r="H8" i="21"/>
  <c r="Y78" i="21"/>
  <c r="P20" i="21"/>
  <c r="W67" i="21"/>
  <c r="AB67" i="21" s="1"/>
  <c r="Y79" i="21"/>
  <c r="Y83" i="21"/>
  <c r="P32" i="21"/>
  <c r="O32" i="21" s="1"/>
  <c r="AA15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57" i="21"/>
  <c r="U92" i="21"/>
  <c r="V92" i="21" s="1"/>
  <c r="Y92" i="21" s="1"/>
  <c r="V157" i="21"/>
  <c r="P37" i="21"/>
  <c r="X66" i="21"/>
  <c r="W77" i="21"/>
  <c r="AB77" i="21" s="1"/>
  <c r="X93" i="21"/>
  <c r="W102" i="21"/>
  <c r="Z160" i="21"/>
  <c r="AH60" i="13"/>
  <c r="H48" i="21"/>
  <c r="AA10" i="13"/>
  <c r="H28" i="21"/>
  <c r="I28" i="21" s="1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7" i="13"/>
  <c r="W103" i="13" s="1"/>
  <c r="X32" i="4"/>
  <c r="H26" i="21"/>
  <c r="W24" i="4"/>
  <c r="V103" i="13"/>
  <c r="V10" i="13"/>
  <c r="AR10" i="13" s="1"/>
  <c r="W10" i="13"/>
  <c r="N96" i="13"/>
  <c r="W11" i="13"/>
  <c r="M20" i="4"/>
  <c r="Y36" i="4"/>
  <c r="O36" i="4"/>
  <c r="W36" i="4"/>
  <c r="H18" i="4"/>
  <c r="I18" i="4" s="1"/>
  <c r="AO10" i="13"/>
  <c r="U96" i="13"/>
  <c r="M25" i="4"/>
  <c r="M26" i="4" s="1"/>
  <c r="U15" i="13"/>
  <c r="O17" i="13" s="1"/>
  <c r="AQ17" i="13" s="1"/>
  <c r="H42" i="21"/>
  <c r="AC11" i="13"/>
  <c r="H17" i="21"/>
  <c r="AA11" i="13"/>
  <c r="Z9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AO11" i="13" l="1"/>
  <c r="U103" i="13"/>
  <c r="AF60" i="13"/>
  <c r="P35" i="21"/>
  <c r="Q27" i="4"/>
  <c r="I21" i="21"/>
  <c r="Q25" i="21"/>
  <c r="I25" i="21"/>
  <c r="Q19" i="21"/>
  <c r="Q21" i="21"/>
  <c r="O25" i="21"/>
  <c r="Q98" i="13"/>
  <c r="S74" i="13"/>
  <c r="O15" i="13"/>
  <c r="N101" i="13" s="1"/>
  <c r="X28" i="4"/>
  <c r="M42" i="21"/>
  <c r="M43" i="21" s="1"/>
  <c r="O43" i="21" s="1"/>
  <c r="P100" i="13"/>
  <c r="R76" i="13"/>
  <c r="Q100" i="13"/>
  <c r="S76" i="13"/>
  <c r="M17" i="4"/>
  <c r="M18" i="4" s="1"/>
  <c r="W18" i="4" s="1"/>
  <c r="O16" i="4"/>
  <c r="P97" i="13"/>
  <c r="R73" i="13"/>
  <c r="P101" i="13"/>
  <c r="R77" i="13"/>
  <c r="O97" i="13"/>
  <c r="Q73" i="13"/>
  <c r="O101" i="13"/>
  <c r="Q77" i="13"/>
  <c r="O99" i="13"/>
  <c r="Q75" i="13"/>
  <c r="P96" i="13"/>
  <c r="R72" i="13"/>
  <c r="Q99" i="13"/>
  <c r="S75" i="13"/>
  <c r="O100" i="13"/>
  <c r="Q76" i="13"/>
  <c r="Q101" i="13"/>
  <c r="S77" i="13"/>
  <c r="AO12" i="13"/>
  <c r="BM12" i="13" s="1"/>
  <c r="P98" i="13"/>
  <c r="R74" i="13"/>
  <c r="P99" i="13"/>
  <c r="R75" i="13"/>
  <c r="N16" i="4"/>
  <c r="O98" i="13"/>
  <c r="Q74" i="13"/>
  <c r="BM11" i="13"/>
  <c r="BP11" i="13" s="1"/>
  <c r="Q97" i="13"/>
  <c r="S73" i="13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AI6" i="5" s="1"/>
  <c r="Q36" i="5"/>
  <c r="S33" i="5"/>
  <c r="Q33" i="5"/>
  <c r="R33" i="5" s="1"/>
  <c r="L52" i="7" s="1"/>
  <c r="N52" i="7" s="1"/>
  <c r="Q5" i="5"/>
  <c r="R5" i="5" s="1"/>
  <c r="L24" i="7" s="1"/>
  <c r="Q22" i="21"/>
  <c r="S35" i="5"/>
  <c r="Q35" i="5"/>
  <c r="S21" i="5"/>
  <c r="Q21" i="5"/>
  <c r="J38" i="7" s="1"/>
  <c r="Q18" i="5"/>
  <c r="R18" i="5" s="1"/>
  <c r="L37" i="7" s="1"/>
  <c r="N37" i="7" s="1"/>
  <c r="X60" i="13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L23" i="5"/>
  <c r="Q24" i="5"/>
  <c r="S24" i="5"/>
  <c r="R41" i="4"/>
  <c r="I41" i="4" s="1"/>
  <c r="Q23" i="21"/>
  <c r="P36" i="2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J24" i="7"/>
  <c r="P5" i="2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M179" i="1"/>
  <c r="N26" i="1"/>
  <c r="C17" i="7" s="1"/>
  <c r="AA21" i="13"/>
  <c r="O25" i="4"/>
  <c r="Y25" i="4"/>
  <c r="M21" i="4"/>
  <c r="Y21" i="4" s="1"/>
  <c r="AP15" i="13"/>
  <c r="AQ19" i="13"/>
  <c r="W12" i="13"/>
  <c r="W13" i="13" s="1"/>
  <c r="W14" i="13" s="1"/>
  <c r="W15" i="13" s="1"/>
  <c r="W16" i="13" s="1"/>
  <c r="W17" i="13" s="1"/>
  <c r="W18" i="13" s="1"/>
  <c r="W19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M55" i="21"/>
  <c r="M56" i="21" s="1"/>
  <c r="X56" i="21" s="1"/>
  <c r="O20" i="13"/>
  <c r="AR67" i="13"/>
  <c r="O96" i="13"/>
  <c r="Q96" i="13"/>
  <c r="H37" i="21"/>
  <c r="I37" i="21" s="1"/>
  <c r="AQ68" i="13"/>
  <c r="Y60" i="13"/>
  <c r="N99" i="13"/>
  <c r="AN13" i="13"/>
  <c r="AM13" i="13"/>
  <c r="AL11" i="13"/>
  <c r="AT11" i="13" s="1"/>
  <c r="M26" i="21"/>
  <c r="M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Y62" i="13"/>
  <c r="Z62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100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79" i="1"/>
  <c r="C26" i="7"/>
  <c r="C29" i="7"/>
  <c r="G14" i="7"/>
  <c r="H14" i="7" s="1"/>
  <c r="E14" i="7"/>
  <c r="L179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X99" i="4"/>
  <c r="AM17" i="13"/>
  <c r="AL17" i="13"/>
  <c r="AN17" i="13"/>
  <c r="X25" i="4"/>
  <c r="Y20" i="4"/>
  <c r="W20" i="4"/>
  <c r="AU10" i="13"/>
  <c r="BE10" i="13"/>
  <c r="N17" i="4"/>
  <c r="AD11" i="13"/>
  <c r="AE11" i="13"/>
  <c r="AN10" i="13"/>
  <c r="Y18" i="4"/>
  <c r="H22" i="4"/>
  <c r="I22" i="4" s="1"/>
  <c r="N180" i="1" l="1"/>
  <c r="AN15" i="13"/>
  <c r="N61" i="13"/>
  <c r="AD11" i="2" s="1"/>
  <c r="E63" i="13"/>
  <c r="AO15" i="13"/>
  <c r="BM15" i="13" s="1"/>
  <c r="BP15" i="13" s="1"/>
  <c r="C16" i="13"/>
  <c r="D16" i="13" s="1"/>
  <c r="V12" i="5"/>
  <c r="S92" i="13"/>
  <c r="P103" i="13"/>
  <c r="Q92" i="13"/>
  <c r="Y43" i="21"/>
  <c r="W42" i="21"/>
  <c r="AB42" i="21" s="1"/>
  <c r="X42" i="21"/>
  <c r="X43" i="21"/>
  <c r="BN11" i="13"/>
  <c r="BO11" i="13" s="1"/>
  <c r="H35" i="4"/>
  <c r="M35" i="4" s="1"/>
  <c r="X18" i="4"/>
  <c r="M44" i="21"/>
  <c r="W44" i="21" s="1"/>
  <c r="AB44" i="21" s="1"/>
  <c r="Y42" i="21"/>
  <c r="O18" i="4"/>
  <c r="W43" i="21"/>
  <c r="AB43" i="21" s="1"/>
  <c r="BD12" i="13"/>
  <c r="Q103" i="13"/>
  <c r="AM15" i="13"/>
  <c r="R92" i="13"/>
  <c r="X17" i="4"/>
  <c r="N42" i="21"/>
  <c r="O103" i="13"/>
  <c r="M19" i="4"/>
  <c r="S16" i="4" s="1"/>
  <c r="AL15" i="13"/>
  <c r="W17" i="4"/>
  <c r="Z17" i="4" s="1"/>
  <c r="AA98" i="4" s="1"/>
  <c r="W99" i="4"/>
  <c r="Y17" i="4"/>
  <c r="AC12" i="13" s="1"/>
  <c r="AQ15" i="13"/>
  <c r="BF15" i="13" s="1"/>
  <c r="W21" i="4"/>
  <c r="X21" i="4"/>
  <c r="W29" i="4"/>
  <c r="M30" i="4"/>
  <c r="X30" i="4" s="1"/>
  <c r="Y29" i="4"/>
  <c r="N29" i="4"/>
  <c r="X29" i="4"/>
  <c r="X11" i="2"/>
  <c r="P5" i="4"/>
  <c r="C13" i="13"/>
  <c r="D13" i="13" s="1"/>
  <c r="O5" i="4"/>
  <c r="J34" i="7"/>
  <c r="R35" i="5"/>
  <c r="L54" i="7" s="1"/>
  <c r="N54" i="7" s="1"/>
  <c r="P63" i="4"/>
  <c r="AH6" i="5"/>
  <c r="AJ6" i="5" s="1"/>
  <c r="P65" i="4"/>
  <c r="R36" i="5"/>
  <c r="L55" i="7" s="1"/>
  <c r="N55" i="7" s="1"/>
  <c r="J35" i="7"/>
  <c r="P35" i="4"/>
  <c r="R21" i="5"/>
  <c r="L40" i="7" s="1"/>
  <c r="N40" i="7" s="1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Y11" i="2"/>
  <c r="I29" i="4"/>
  <c r="Z11" i="2"/>
  <c r="AB11" i="2"/>
  <c r="AA26" i="2"/>
  <c r="Z27" i="2" s="1"/>
  <c r="Z28" i="2" s="1"/>
  <c r="P7" i="4"/>
  <c r="C10" i="13" s="1"/>
  <c r="D10" i="13" s="1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57" i="21"/>
  <c r="O21" i="4"/>
  <c r="M34" i="4"/>
  <c r="W34" i="4" s="1"/>
  <c r="AB99" i="21"/>
  <c r="AU12" i="13"/>
  <c r="AV14" i="13"/>
  <c r="O42" i="21"/>
  <c r="C18" i="13"/>
  <c r="D18" i="13" s="1"/>
  <c r="O101" i="21"/>
  <c r="W101" i="21"/>
  <c r="X101" i="2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57" i="21" s="1"/>
  <c r="P17" i="21"/>
  <c r="O17" i="21" s="1"/>
  <c r="J30" i="7"/>
  <c r="R11" i="5"/>
  <c r="L30" i="7" s="1"/>
  <c r="N30" i="7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79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M57" i="21"/>
  <c r="Y57" i="21" s="1"/>
  <c r="AV12" i="13"/>
  <c r="AT12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4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P20" i="13"/>
  <c r="O27" i="4"/>
  <c r="BF16" i="13"/>
  <c r="N38" i="21"/>
  <c r="N103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W17" i="21"/>
  <c r="AB17" i="21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Y27" i="21"/>
  <c r="AU17" i="13"/>
  <c r="BE17" i="13"/>
  <c r="H23" i="4"/>
  <c r="I23" i="4" s="1"/>
  <c r="H31" i="4"/>
  <c r="I31" i="4" s="1"/>
  <c r="I30" i="4"/>
  <c r="H44" i="21"/>
  <c r="I43" i="21"/>
  <c r="BB11" i="13"/>
  <c r="AU18" i="13"/>
  <c r="BE18" i="13"/>
  <c r="BD18" i="13"/>
  <c r="AT17" i="13"/>
  <c r="S25" i="4"/>
  <c r="AV10" i="13"/>
  <c r="BF10" i="13"/>
  <c r="BA10" i="13"/>
  <c r="O19" i="4" l="1"/>
  <c r="Y19" i="4"/>
  <c r="X19" i="4"/>
  <c r="W30" i="4"/>
  <c r="BD15" i="13"/>
  <c r="AZ21" i="13" s="1"/>
  <c r="BN15" i="13"/>
  <c r="BO15" i="13" s="1"/>
  <c r="AA11" i="2"/>
  <c r="AC11" i="2"/>
  <c r="I35" i="4"/>
  <c r="AO60" i="13"/>
  <c r="AB12" i="13"/>
  <c r="X44" i="21"/>
  <c r="Y44" i="21"/>
  <c r="AC13" i="13"/>
  <c r="AB13" i="13"/>
  <c r="AU15" i="13"/>
  <c r="BE15" i="13"/>
  <c r="AB23" i="13"/>
  <c r="AT15" i="13"/>
  <c r="AM60" i="13"/>
  <c r="O44" i="21"/>
  <c r="AC23" i="13"/>
  <c r="AN23" i="13" s="1"/>
  <c r="AV23" i="13" s="1"/>
  <c r="M45" i="21"/>
  <c r="O45" i="21" s="1"/>
  <c r="AA101" i="4"/>
  <c r="AA102" i="4"/>
  <c r="O30" i="4"/>
  <c r="W19" i="4"/>
  <c r="Y30" i="4"/>
  <c r="AV15" i="13"/>
  <c r="O34" i="4"/>
  <c r="N19" i="4"/>
  <c r="AQ60" i="13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X34" i="4"/>
  <c r="Y34" i="4"/>
  <c r="AD24" i="13"/>
  <c r="P157" i="21"/>
  <c r="AN24" i="13"/>
  <c r="AV24" i="13" s="1"/>
  <c r="BB13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A14" i="13"/>
  <c r="BB16" i="13"/>
  <c r="H51" i="21"/>
  <c r="H52" i="21" s="1"/>
  <c r="I52" i="21" s="1"/>
  <c r="BD20" i="13"/>
  <c r="AZ20" i="13" s="1"/>
  <c r="AT20" i="13"/>
  <c r="AU20" i="13"/>
  <c r="V61" i="13"/>
  <c r="D60" i="6"/>
  <c r="AL60" i="13"/>
  <c r="AP60" i="13"/>
  <c r="BA16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P99" i="4"/>
  <c r="Q60" i="5"/>
  <c r="BA18" i="13"/>
  <c r="X157" i="21"/>
  <c r="Y15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BB10" i="13"/>
  <c r="BB12" i="13" s="1"/>
  <c r="BB14" i="13"/>
  <c r="AZ15" i="13" l="1"/>
  <c r="AZ19" i="13"/>
  <c r="AZ17" i="13"/>
  <c r="AL63" i="13"/>
  <c r="S42" i="21"/>
  <c r="X45" i="21"/>
  <c r="AB18" i="13" s="1"/>
  <c r="N44" i="21"/>
  <c r="Y45" i="21"/>
  <c r="AC18" i="13" s="1"/>
  <c r="AN18" i="13" s="1"/>
  <c r="AV18" i="13" s="1"/>
  <c r="AU60" i="13"/>
  <c r="AA13" i="13"/>
  <c r="AA12" i="13"/>
  <c r="BE61" i="13"/>
  <c r="AT60" i="13"/>
  <c r="BA17" i="13"/>
  <c r="BA15" i="13"/>
  <c r="BA21" i="13"/>
  <c r="BA19" i="13"/>
  <c r="BF23" i="13"/>
  <c r="BB23" i="13" s="1"/>
  <c r="W45" i="21"/>
  <c r="AB45" i="21" s="1"/>
  <c r="W31" i="4"/>
  <c r="AA15" i="13" s="1"/>
  <c r="Y31" i="4"/>
  <c r="AC15" i="13" s="1"/>
  <c r="O31" i="4"/>
  <c r="X31" i="4"/>
  <c r="AB15" i="13" s="1"/>
  <c r="M99" i="4"/>
  <c r="N30" i="4"/>
  <c r="N77" i="7"/>
  <c r="Y30" i="21"/>
  <c r="O30" i="21"/>
  <c r="M31" i="2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AB17" i="13"/>
  <c r="AC17" i="13"/>
  <c r="AA17" i="13"/>
  <c r="O51" i="21"/>
  <c r="W51" i="21"/>
  <c r="AB51" i="21" s="1"/>
  <c r="N50" i="21"/>
  <c r="X51" i="21"/>
  <c r="Y51" i="21"/>
  <c r="BF18" i="13" l="1"/>
  <c r="BB18" i="13" s="1"/>
  <c r="AE13" i="13"/>
  <c r="AD13" i="13"/>
  <c r="AD12" i="13"/>
  <c r="AE12" i="13"/>
  <c r="AD15" i="13"/>
  <c r="AE15" i="13"/>
  <c r="AA18" i="13"/>
  <c r="AD18" i="13" s="1"/>
  <c r="S28" i="21"/>
  <c r="M157" i="21"/>
  <c r="N30" i="21"/>
  <c r="X31" i="21"/>
  <c r="W31" i="21"/>
  <c r="AB31" i="21" s="1"/>
  <c r="O31" i="21"/>
  <c r="Y31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BF20" i="13"/>
  <c r="AE16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AE17" i="13"/>
  <c r="AD17" i="13"/>
  <c r="BB20" i="13" l="1"/>
  <c r="AE18" i="13"/>
  <c r="S157" i="21"/>
  <c r="W157" i="21"/>
  <c r="AD20" i="13"/>
  <c r="AB19" i="13"/>
  <c r="O157" i="21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C27" i="13"/>
  <c r="AN27" i="13" l="1"/>
  <c r="AV27" i="13" s="1"/>
  <c r="AC62" i="13"/>
  <c r="AC60" i="13"/>
  <c r="AD27" i="13"/>
  <c r="AE27" i="13"/>
  <c r="AA60" i="13"/>
  <c r="AA62" i="13"/>
  <c r="AB60" i="13"/>
  <c r="AB62" i="13"/>
  <c r="BF27" i="13" l="1"/>
  <c r="BF61" i="13" s="1"/>
  <c r="AV60" i="13"/>
  <c r="AN60" i="13"/>
  <c r="I126" i="21"/>
  <c r="I157" i="2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<sst xmlns="http://schemas.openxmlformats.org/spreadsheetml/2006/main" count="3755" uniqueCount="1012">
  <si>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</si>
  <si>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</si>
  <si>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</si>
  <si>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</si>
  <si>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</si>
  <si>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</si>
  <si>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</si>
  <si>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</si>
  <si>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</si>
  <si>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</si>
  <si>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</si>
  <si>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</si>
  <si>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</si>
  <si>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</si>
  <si>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</si>
  <si>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</si>
  <si>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</si>
  <si>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</si>
  <si>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</si>
  <si>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</si>
  <si>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</si>
  <si>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</si>
  <si>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</si>
  <si>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</si>
  <si>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</si>
  <si>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</si>
  <si>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</si>
  <si>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</si>
  <si>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</si>
  <si>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</si>
  <si>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</si>
  <si>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</si>
  <si>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</si>
  <si>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</si>
  <si>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</si>
  <si>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</si>
  <si>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</si>
  <si>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</si>
  <si>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</si>
  <si>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</si>
  <si>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</si>
  <si>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</si>
  <si>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</si>
  <si>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</si>
  <si>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</si>
  <si>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</si>
  <si>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</si>
  <si>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</si>
  <si>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</si>
  <si>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</si>
  <si>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</si>
  <si>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</si>
  <si>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</si>
  <si>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</si>
  <si>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</si>
  <si>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</si>
  <si>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</si>
  <si>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</si>
  <si>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</si>
  <si>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</si>
  <si>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</si>
  <si>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</si>
  <si>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</si>
  <si>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</si>
  <si>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</si>
  <si>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</si>
  <si>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</si>
  <si>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</si>
  <si>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</si>
  <si>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</si>
  <si>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</si>
  <si>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</si>
  <si>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</si>
  <si>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</si>
  <si>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</si>
  <si>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</si>
  <si>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</si>
  <si>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</si>
  <si>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</si>
  <si>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</si>
  <si>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</si>
  <si>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</si>
  <si>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</si>
  <si>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</si>
  <si>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</si>
  <si>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</si>
  <si>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</si>
  <si>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</si>
  <si>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</si>
  <si>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</si>
  <si>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</si>
  <si>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</si>
  <si>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</si>
  <si>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</si>
  <si>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</si>
  <si>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</si>
  <si>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</si>
  <si>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</si>
  <si>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</si>
  <si>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</si>
  <si>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</si>
  <si>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</si>
  <si>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</si>
  <si>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</si>
  <si>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</si>
  <si>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</si>
  <si>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</si>
  <si>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</si>
  <si>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</si>
  <si>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</si>
  <si>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</si>
  <si>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</si>
  <si>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</si>
  <si>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</si>
  <si>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</si>
  <si>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</si>
  <si>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</si>
  <si>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</si>
  <si>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</si>
  <si>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</si>
  <si>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</si>
  <si>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</si>
  <si>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</si>
  <si>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</si>
  <si>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</si>
  <si>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</si>
  <si>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</si>
  <si>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</si>
  <si>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</si>
  <si>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</si>
  <si>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</si>
  <si>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</si>
  <si>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</si>
  <si>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</si>
  <si>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</si>
  <si>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</si>
  <si>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</si>
  <si>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</si>
  <si>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</si>
  <si>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</si>
  <si>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</si>
  <si>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</si>
  <si>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</si>
  <si>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</si>
  <si>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</si>
  <si>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</si>
  <si>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</si>
  <si>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</si>
  <si>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</si>
  <si>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</si>
  <si>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</si>
  <si>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</si>
  <si>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</si>
  <si>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</si>
  <si>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</si>
  <si>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</si>
  <si>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</si>
  <si>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</si>
  <si>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</si>
  <si>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</si>
  <si>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</si>
  <si>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</si>
  <si>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</si>
  <si>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</si>
  <si>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</si>
  <si>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</si>
  <si>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</si>
  <si>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</si>
  <si>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</si>
  <si>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</si>
  <si>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</si>
  <si>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</si>
  <si>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</si>
  <si>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</si>
  <si>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</si>
  <si>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</si>
  <si>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</si>
  <si>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</si>
  <si>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</si>
  <si>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</si>
  <si>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</si>
  <si>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</si>
  <si>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</si>
  <si>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</si>
  <si>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</si>
  <si>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</si>
  <si>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</si>
  <si>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</si>
  <si>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</si>
  <si>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</si>
  <si>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</si>
  <si>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</si>
  <si>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</si>
  <si>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</si>
  <si>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</si>
  <si>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</si>
  <si>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</si>
  <si>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</si>
  <si>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</si>
  <si>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</si>
  <si>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</si>
  <si>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</si>
  <si>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</si>
  <si>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</si>
  <si>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</si>
  <si>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</si>
  <si>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</si>
  <si>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</si>
  <si>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</si>
  <si>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</si>
  <si>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</si>
  <si>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</si>
  <si>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</si>
  <si>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</si>
  <si>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</si>
  <si>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</si>
  <si>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</si>
  <si>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</si>
  <si>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</si>
  <si>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</si>
  <si>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</si>
  <si>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</si>
  <si>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</si>
  <si>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</si>
  <si>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</si>
  <si>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</si>
  <si>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</si>
  <si>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</si>
  <si>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</si>
  <si>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</si>
  <si>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</si>
  <si>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</si>
  <si>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</si>
  <si>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</si>
  <si>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</si>
  <si>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</si>
  <si>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</si>
  <si>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</si>
  <si>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</si>
  <si>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</si>
  <si>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</si>
  <si>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</si>
  <si>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</si>
  <si>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</si>
  <si>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</si>
  <si>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</si>
  <si>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</si>
  <si>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</si>
  <si>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</si>
  <si>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</si>
  <si>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</si>
  <si>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</si>
  <si>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</si>
  <si>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</si>
  <si>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</si>
  <si>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</si>
  <si>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</si>
  <si>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</si>
  <si>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</si>
  <si>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</si>
  <si>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</si>
  <si>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</si>
  <si>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</si>
  <si>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</si>
  <si>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</si>
  <si>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</si>
  <si>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</si>
  <si>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</si>
  <si>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</si>
  <si>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</si>
  <si>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</si>
  <si>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</si>
  <si>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</si>
  <si>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</si>
  <si>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</si>
  <si>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</si>
  <si>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</si>
  <si>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</si>
  <si>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</si>
  <si>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</si>
  <si>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</si>
  <si>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</si>
  <si>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</si>
  <si>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</si>
  <si>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</si>
  <si>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</si>
  <si>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</si>
  <si>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</si>
  <si>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</si>
  <si>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</si>
  <si>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</si>
  <si>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</si>
  <si>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</si>
  <si>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</si>
  <si>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</si>
  <si>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</si>
  <si>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</si>
  <si>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</si>
  <si>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</si>
  <si>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</si>
  <si>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</si>
  <si>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</si>
  <si>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</si>
  <si>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</si>
  <si>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</si>
  <si>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</si>
  <si>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</si>
  <si>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</si>
  <si>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</si>
  <si>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</si>
  <si>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</si>
  <si>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</si>
  <si>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</si>
  <si>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</si>
  <si>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</si>
  <si>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</si>
  <si>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</si>
  <si>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</si>
  <si>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</si>
  <si>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</si>
  <si>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</si>
  <si>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</si>
  <si>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</si>
  <si>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</si>
  <si>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</si>
  <si>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</si>
  <si>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</si>
  <si>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</si>
  <si>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</si>
  <si>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</si>
  <si>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</si>
  <si>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</si>
  <si>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</si>
  <si>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</si>
  <si>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</si>
  <si>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</si>
  <si>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</si>
  <si>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</si>
  <si>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</si>
  <si>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</si>
  <si>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</si>
  <si>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</si>
  <si>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</si>
  <si>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</si>
  <si>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</si>
  <si>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</si>
  <si>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</si>
  <si>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</si>
  <si>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</si>
  <si>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</si>
  <si>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</si>
  <si>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</si>
  <si>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</si>
  <si>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</si>
  <si>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</si>
  <si>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</si>
  <si>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</si>
  <si>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</si>
  <si>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</si>
  <si>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</si>
  <si>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</si>
  <si>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</si>
  <si>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</si>
  <si>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</si>
  <si>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</si>
  <si>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</si>
  <si>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</si>
  <si>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</si>
  <si>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</si>
  <si>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</si>
  <si>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</si>
  <si>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</si>
  <si>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</si>
  <si>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</si>
  <si>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</si>
  <si>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</si>
  <si>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</si>
  <si>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</si>
  <si>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</si>
  <si>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</si>
  <si>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</si>
  <si>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</si>
  <si>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</si>
  <si>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</si>
  <si>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</si>
  <si>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</si>
  <si>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</si>
  <si>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</si>
  <si>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</si>
  <si>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</si>
  <si>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</si>
  <si>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</si>
  <si>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</si>
  <si>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</si>
  <si>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</si>
  <si>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</si>
  <si>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</si>
  <si>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</si>
  <si>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</si>
  <si>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</si>
  <si>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</si>
  <si>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</si>
  <si>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</si>
  <si>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</si>
  <si>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</si>
  <si>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</si>
  <si>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</si>
  <si>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</si>
  <si>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</si>
  <si>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</si>
  <si>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</si>
  <si>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</si>
  <si>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</si>
  <si>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</si>
  <si>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</si>
  <si>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</si>
  <si>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</si>
  <si>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</si>
  <si>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</si>
  <si>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</si>
  <si>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</si>
  <si>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</si>
  <si>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</si>
  <si>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</si>
  <si>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</si>
  <si>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</si>
  <si>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</si>
  <si>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</si>
  <si>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</si>
  <si>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</si>
  <si>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</si>
  <si>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</si>
  <si>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</si>
  <si>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</si>
  <si>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</si>
  <si>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</si>
  <si>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</si>
  <si>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</si>
  <si>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</si>
  <si>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</si>
  <si>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</si>
  <si>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</si>
  <si>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</si>
  <si>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</si>
  <si>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</si>
  <si>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</si>
  <si>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</si>
  <si>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</si>
  <si>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</si>
  <si>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</si>
  <si>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</si>
  <si>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</si>
  <si>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</si>
  <si>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</si>
  <si>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</si>
  <si>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</si>
  <si>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</si>
  <si>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</si>
  <si>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</si>
  <si>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</si>
  <si>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</si>
  <si>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</si>
  <si>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</si>
  <si>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</si>
  <si>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</si>
  <si>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</si>
  <si>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</si>
  <si>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</si>
  <si>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</si>
  <si>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</si>
  <si>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</si>
  <si>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</si>
  <si>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</si>
  <si>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</si>
  <si>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</si>
  <si>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</si>
  <si>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</si>
  <si>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</si>
  <si>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</si>
  <si>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</si>
  <si>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</si>
  <si>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</si>
  <si>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</si>
  <si>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</si>
  <si>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</si>
  <si>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</si>
  <si>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</si>
  <si>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</si>
  <si>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</si>
  <si>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</si>
  <si>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</si>
  <si>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</si>
  <si>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</si>
  <si>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</si>
  <si>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</si>
  <si>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</si>
  <si>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</si>
  <si>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</si>
  <si>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</si>
  <si>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</si>
  <si>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</si>
  <si>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</si>
  <si>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</si>
  <si>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</si>
  <si>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</si>
  <si>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</si>
  <si>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</si>
  <si>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</si>
  <si>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</si>
  <si>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</si>
  <si>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</si>
  <si>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</si>
  <si>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</si>
  <si>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</si>
  <si>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</si>
  <si>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</si>
  <si>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</si>
  <si>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</si>
  <si>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</si>
  <si>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</si>
  <si>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</si>
  <si>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</si>
  <si>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</si>
  <si>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</si>
  <si>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</si>
  <si>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</si>
  <si>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</si>
  <si>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</si>
  <si>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</si>
  <si>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</si>
  <si>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</si>
  <si>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</si>
  <si>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</si>
  <si>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</si>
  <si>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</si>
  <si>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</si>
  <si>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</si>
  <si>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</si>
  <si>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</si>
  <si>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</si>
  <si>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</si>
  <si>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</si>
  <si>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</si>
  <si>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</si>
  <si>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</si>
  <si>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</si>
  <si>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</si>
  <si>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</si>
  <si>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</si>
  <si>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</si>
  <si>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</si>
  <si>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</si>
  <si>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</si>
  <si>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</si>
  <si>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</si>
  <si>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</si>
  <si>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</si>
  <si>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</si>
  <si>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</si>
  <si>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</si>
  <si>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</si>
  <si>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</si>
  <si>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</si>
  <si>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</si>
  <si>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</si>
  <si>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</si>
  <si>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</si>
  <si>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</si>
  <si>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</si>
  <si>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</si>
  <si>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</si>
  <si>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</si>
  <si>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</si>
  <si>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</si>
  <si>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</si>
  <si>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</si>
  <si>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</si>
  <si>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</si>
  <si>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</si>
  <si>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</si>
  <si>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</si>
  <si>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</si>
  <si>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</si>
  <si>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</si>
  <si>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</si>
  <si>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</si>
  <si>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</si>
  <si>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</si>
  <si>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</si>
  <si>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</si>
  <si>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</si>
  <si>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</si>
  <si>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</si>
  <si>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</si>
  <si>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</si>
  <si>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</si>
  <si>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</si>
  <si>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</si>
  <si>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</si>
  <si>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</si>
  <si>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</si>
  <si>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</si>
  <si>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</si>
  <si>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</si>
  <si>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</si>
  <si>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</si>
  <si>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</si>
  <si>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</si>
  <si>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</si>
  <si>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</si>
  <si>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</si>
  <si>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</si>
  <si>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</si>
  <si>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</si>
  <si>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</si>
  <si>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</si>
  <si>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</si>
  <si>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</si>
  <si>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</si>
  <si>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</si>
  <si>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</si>
  <si>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</si>
  <si>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</si>
  <si>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</si>
  <si>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</si>
  <si>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</si>
  <si>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</si>
  <si>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</si>
  <si>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</si>
  <si>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</si>
  <si>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</si>
  <si>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</si>
  <si>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</si>
  <si>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</si>
  <si>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</si>
  <si>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</si>
  <si>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</si>
  <si>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</si>
  <si>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</si>
  <si>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</si>
  <si>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</si>
  <si>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</si>
  <si>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</si>
  <si>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</si>
  <si>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</si>
  <si>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</si>
  <si>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</si>
  <si>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</si>
  <si>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</si>
  <si>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</si>
  <si>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</si>
  <si>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</si>
  <si>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</si>
  <si>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</si>
  <si>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</si>
  <si>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</si>
  <si>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</si>
  <si>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</si>
  <si>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</si>
  <si>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</si>
  <si>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</si>
  <si>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</si>
  <si>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</si>
  <si>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</si>
  <si>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</si>
  <si>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</si>
  <si>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</si>
  <si>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</si>
  <si>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</si>
  <si>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</si>
  <si>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</si>
  <si>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</si>
  <si>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</si>
  <si>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</si>
  <si>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</si>
  <si>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</si>
  <si>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</si>
  <si>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</si>
  <si>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</si>
  <si>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</si>
  <si>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</si>
  <si>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</si>
  <si>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</si>
  <si>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</si>
  <si>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</si>
  <si>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</si>
  <si>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</si>
  <si>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</si>
  <si>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</si>
  <si>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</si>
  <si>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</si>
  <si>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</si>
  <si>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</si>
  <si>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</si>
  <si>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</si>
  <si>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</si>
  <si>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</si>
  <si>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</si>
  <si>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</si>
  <si>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</si>
  <si>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</si>
  <si>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</si>
  <si>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</si>
  <si>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</si>
  <si>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</si>
  <si>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</si>
  <si>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</si>
  <si>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</si>
  <si>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</si>
  <si>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</si>
  <si>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</si>
  <si>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</si>
  <si>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</si>
  <si>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</si>
  <si>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</si>
  <si>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</si>
  <si>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</si>
  <si>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</si>
  <si>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</si>
  <si>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</si>
  <si>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</si>
  <si>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</si>
  <si>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</si>
  <si>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</si>
  <si>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</si>
  <si>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</si>
  <si>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</si>
  <si>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</si>
  <si>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</si>
  <si>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</si>
  <si>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</si>
  <si>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</si>
  <si>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</si>
  <si>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</si>
  <si>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</si>
  <si>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</si>
  <si>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</si>
  <si>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</si>
  <si>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</si>
  <si>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</si>
  <si>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</si>
  <si>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</si>
  <si>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</si>
  <si>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</si>
  <si>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</si>
  <si>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</si>
  <si>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</si>
  <si>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</si>
  <si>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</si>
  <si>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</si>
  <si>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</si>
  <si>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</si>
  <si>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</si>
  <si>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</si>
  <si>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</si>
  <si>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</si>
  <si>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</si>
  <si>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</si>
  <si>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</si>
  <si>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</si>
  <si>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</si>
  <si>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</si>
  <si>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</si>
  <si>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</si>
  <si>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</si>
  <si>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</si>
  <si>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</si>
  <si>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</si>
  <si>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</si>
  <si>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</si>
  <si>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</si>
  <si>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</si>
  <si>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</si>
  <si>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</si>
  <si>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</si>
  <si>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</si>
  <si>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</si>
  <si>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</si>
  <si>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</si>
  <si>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</si>
  <si>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</si>
  <si>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</si>
  <si>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</si>
  <si>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</si>
  <si>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</si>
  <si>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</si>
  <si>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</si>
  <si>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</si>
  <si>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</si>
  <si>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</si>
  <si>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</si>
  <si>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</si>
  <si>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</si>
  <si>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</si>
  <si>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</si>
  <si>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</si>
  <si>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</si>
  <si>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</si>
  <si>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</si>
  <si>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</si>
  <si>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</si>
  <si>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</si>
  <si>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</si>
  <si>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</si>
  <si>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</si>
  <si>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</si>
  <si>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</si>
  <si>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</si>
  <si>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</si>
  <si>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</si>
  <si>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</si>
  <si>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</si>
  <si>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</si>
  <si>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</si>
  <si>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</si>
  <si>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</si>
  <si>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</si>
  <si>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</si>
  <si>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</si>
  <si>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</si>
  <si>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</si>
  <si>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</si>
  <si>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</si>
  <si>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</si>
  <si>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</si>
  <si>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</si>
  <si>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</si>
  <si>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</si>
  <si>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</si>
  <si>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</si>
  <si>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</si>
  <si>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</si>
  <si>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</si>
  <si>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</si>
  <si>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</si>
  <si>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</si>
  <si>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</si>
  <si>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</si>
  <si>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</si>
  <si>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</si>
  <si>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</si>
  <si>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</si>
  <si>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</si>
  <si>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</si>
  <si>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</si>
  <si>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</si>
  <si>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</si>
  <si>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</si>
  <si>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</si>
  <si>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</si>
  <si>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</si>
  <si>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</si>
  <si>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</si>
  <si>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</si>
  <si>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</si>
  <si>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</si>
  <si>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</si>
  <si>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</si>
  <si>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</si>
  <si>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</si>
  <si>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</si>
  <si>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</si>
  <si>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</si>
  <si>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</si>
  <si>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</si>
  <si>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</si>
  <si>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</si>
  <si>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</si>
  <si>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</si>
  <si>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</si>
  <si>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</si>
  <si>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</si>
  <si>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</si>
  <si>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</si>
  <si>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</si>
  <si>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</si>
  <si>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</si>
  <si>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</si>
  <si>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</si>
  <si>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</si>
  <si>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</si>
  <si>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</si>
  <si>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</si>
  <si>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</si>
  <si>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</si>
  <si>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</si>
  <si>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</si>
  <si>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</si>
  <si>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</si>
  <si>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</si>
  <si>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</si>
  <si>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</si>
  <si>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</si>
  <si>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</si>
  <si>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</si>
  <si>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</si>
  <si>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</si>
  <si>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</si>
  <si>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</si>
  <si>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</si>
  <si>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</si>
  <si>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</si>
  <si>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</si>
  <si>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</si>
  <si>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</si>
  <si>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</si>
  <si>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</si>
  <si>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</si>
  <si>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</si>
  <si>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</si>
  <si>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</si>
  <si>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</si>
  <si>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</si>
  <si>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</si>
  <si>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</si>
  <si>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</si>
  <si>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</si>
  <si>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</si>
  <si>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</si>
  <si>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</si>
  <si>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</si>
  <si>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</si>
  <si>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</si>
  <si>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</si>
  <si>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</si>
  <si>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</si>
  <si>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</si>
  <si>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</si>
  <si>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</si>
  <si>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</si>
  <si>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</si>
  <si>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</si>
  <si>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</si>
  <si>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</si>
  <si>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</si>
  <si>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</si>
  <si>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</si>
  <si>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</si>
  <si>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</si>
  <si>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ball mill 1,2 dan 3 mati 02:40</t>
  </si>
  <si>
    <t>10/18/2026</t>
  </si>
  <si>
    <t>batch 21 tank 2 finish pump jam 00:20</t>
  </si>
  <si>
    <t>ball mill 1,2 dan 3 jalan 01:30-6:30</t>
  </si>
  <si>
    <t xml:space="preserve">batch 23 tank 2 </t>
  </si>
  <si>
    <t>Batch 23 tank 2 finish pump 16:32</t>
  </si>
  <si>
    <t>ball mill 1,2 dan 3 mati ganti genset jam 17:20</t>
  </si>
  <si>
    <t>ball mill 1,2 dan 3 mati ganti genset 17:20</t>
  </si>
  <si>
    <t xml:space="preserve">ball mill 1,2 dan 3 jalan </t>
  </si>
  <si>
    <t>LF Bll Mill NS 1</t>
  </si>
  <si>
    <t>LF Bll Mill NS 2</t>
  </si>
  <si>
    <t>LF Bll Mill NS 3</t>
  </si>
  <si>
    <t>batch 22 tank 3  start pump jam 01:00</t>
  </si>
  <si>
    <t>Batch 23 tank 2 05:30</t>
  </si>
  <si>
    <t>batch 24 Tank 3 17:00</t>
  </si>
  <si>
    <t>Batch 24 Tank 3 finish Pump 06:00</t>
  </si>
  <si>
    <t xml:space="preserve">ball mill 1,2 dan 3 baru jalan 00:40 </t>
  </si>
  <si>
    <t xml:space="preserve">ball mill 3 mati 09:45 dan ball mill 1,2 mati 11:30 tidak ada air </t>
  </si>
  <si>
    <t xml:space="preserve">Tidak ada air </t>
  </si>
  <si>
    <t>start pump tank 2 06:30 batch 24</t>
  </si>
  <si>
    <t>10/19/2026</t>
  </si>
  <si>
    <t>batch 25 tank 2</t>
  </si>
  <si>
    <t>10/23/2026</t>
  </si>
  <si>
    <t>10/22/2026</t>
  </si>
  <si>
    <t>10/21/2026</t>
  </si>
  <si>
    <t>finish pump tank 2 batch 25 13:31</t>
  </si>
  <si>
    <t>ball mill 1 dan 2 jalan, ball mill 3 mati 19:00-07:00</t>
  </si>
  <si>
    <t>ball mill 1,2 jalan ball mill 3 jalan 08:40</t>
  </si>
  <si>
    <t>ball mill 1,2 dan 3 mati ganti filter genset jam 23:50-00:35, ball mill 1,2 dan 3 mati jam 02:55-07:00</t>
  </si>
  <si>
    <t>Start pump batch tank 3 jam 14:00</t>
  </si>
  <si>
    <t xml:space="preserve">LF THICKENER DS DAN LF BALL MILL DS 26/10/2026 tidak ada, dari tidak ada Air </t>
  </si>
  <si>
    <t>tidak ada logsheet</t>
  </si>
  <si>
    <t>25/26/2026</t>
  </si>
  <si>
    <t xml:space="preserve">ball mill nanti jalan jam 16:00 di karenakan tidak ada air </t>
  </si>
  <si>
    <t>ball mill 1,2 dan 3 mati tidak ada air baru start jam 16:00</t>
  </si>
  <si>
    <t>ball mill 1,2 jalan, ball mill 3 jalan nanti jam 21:45</t>
  </si>
  <si>
    <t>finish Pump jam 06:30 batch 26</t>
  </si>
  <si>
    <t>10/24/1016</t>
  </si>
  <si>
    <t>material dari stp belum di topo sudah di crushing</t>
  </si>
  <si>
    <t xml:space="preserve">Night </t>
  </si>
  <si>
    <t>Iyar/Adeng</t>
  </si>
  <si>
    <t>27/20/2026</t>
  </si>
  <si>
    <t>LF BALL MILL 23/10/2026 DS TIDAK ADA, TIDAK ADA AIR</t>
  </si>
  <si>
    <t>LF BALL MILL NS 1</t>
  </si>
  <si>
    <t>LF BALL MILL NS 2</t>
  </si>
  <si>
    <t>LF BALL MILL NS 3</t>
  </si>
  <si>
    <t>tidak mengambil sample di karenakan tidak ada air 25/10/2026</t>
  </si>
  <si>
    <t xml:space="preserve">Batch 27 tank 2 </t>
  </si>
  <si>
    <t>start pump batch 27 Tank 2 jam 07:00</t>
  </si>
  <si>
    <t>ball mill 1,2 jalan ball mill 3 mati 23:00-07:00 tidak ada air</t>
  </si>
  <si>
    <t>TANGGAL</t>
  </si>
  <si>
    <t>IN</t>
  </si>
  <si>
    <t>OUT</t>
  </si>
  <si>
    <t>26/10/2026</t>
  </si>
  <si>
    <t>Au In</t>
  </si>
  <si>
    <t>Au Out</t>
  </si>
  <si>
    <t>Flow</t>
  </si>
  <si>
    <t>Rata-rata deposisi</t>
  </si>
  <si>
    <t>Tonage carbon</t>
  </si>
  <si>
    <t>Preassure Tank</t>
  </si>
  <si>
    <t>PPM Cyanide</t>
  </si>
  <si>
    <t>volt</t>
  </si>
  <si>
    <t>Ampere</t>
  </si>
  <si>
    <t>Finish Pump Batch 27 Tank 2 21:00</t>
  </si>
  <si>
    <t>ball mill 1,2 jalan ball mill 3 mati 07:00-19:00 tidak ada air</t>
  </si>
  <si>
    <t>ball mill 1 dan 2 jalan, ball mill 3 mati 19:00-22:30 ada air</t>
  </si>
  <si>
    <t>Start Pump tank 3 batch 28 22:00 27/10/2026</t>
  </si>
  <si>
    <t xml:space="preserve">LF BALL MILL 25/10/2026 NS TIDAK ADA AIR </t>
  </si>
  <si>
    <t>BM 08:01</t>
  </si>
  <si>
    <t>BM 08:02</t>
  </si>
  <si>
    <t>BM 08:03</t>
  </si>
  <si>
    <t>BM 08:04</t>
  </si>
  <si>
    <t>BM 08:05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</si>
</sst>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  <numFmt numFmtId="189" formatCode="#,##0.000"/>
  </numFmts>
  <fonts count="152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  <font>
      <sz val="26"/>
      <color theme="1"/>
      <name val="Calibri"/>
      <family val="2"/>
      <charset val="1"/>
      <scheme val="minor"/>
    </font>
    <font>
      <sz val="22"/>
      <color theme="1"/>
      <name val="Calibri"/>
      <family val="2"/>
      <charset val="1"/>
      <scheme val="minor"/>
    </font>
    <font>
      <sz val="24"/>
      <color theme="1"/>
      <name val="Calibri"/>
      <family val="2"/>
      <charset val="1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108" fillId="0" borderId="0" applyFont="0" applyFill="0" applyBorder="0" applyAlignment="0" applyProtection="0"/>
    <xf numFmtId="9" fontId="108" fillId="0" borderId="0" applyFont="0" applyFill="0" applyBorder="0" applyAlignment="0" applyProtection="0"/>
    <xf numFmtId="164" fontId="109" fillId="0" borderId="0" applyFont="0" applyFill="0" applyBorder="0" applyAlignment="0" applyProtection="0"/>
  </cellStyleXfs>
  <cellXfs count="1961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09" fillId="2" borderId="12" xfId="0" applyFont="1" applyFill="1" applyBorder="1"/>
    <xf numFmtId="0" fontId="0" fillId="2" borderId="12" xfId="0" applyFill="1" applyBorder="1"/>
    <xf numFmtId="0" fontId="109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10" fillId="4" borderId="12" xfId="0" applyFont="1" applyFill="1" applyBorder="1" applyAlignment="1">
      <alignment horizontal="center"/>
    </xf>
    <xf numFmtId="0" fontId="110" fillId="3" borderId="12" xfId="0" applyFont="1" applyFill="1" applyBorder="1" applyAlignment="1">
      <alignment horizontal="center"/>
    </xf>
    <xf numFmtId="0" fontId="109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10" fillId="3" borderId="12" xfId="0" applyFont="1" applyFill="1" applyBorder="1"/>
    <xf numFmtId="0" fontId="0" fillId="3" borderId="12" xfId="0" applyFill="1" applyBorder="1"/>
    <xf numFmtId="0" fontId="110" fillId="3" borderId="31" xfId="0" applyFont="1" applyFill="1" applyBorder="1" applyAlignment="1">
      <alignment horizontal="center"/>
    </xf>
    <xf numFmtId="0" fontId="110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11" fillId="5" borderId="0" xfId="0" applyFont="1" applyFill="1"/>
    <xf numFmtId="0" fontId="112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13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13" fillId="2" borderId="0" xfId="3" applyNumberFormat="1" applyFont="1" applyFill="1"/>
    <xf numFmtId="170" fontId="113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09" fillId="2" borderId="12" xfId="0" applyNumberFormat="1" applyFont="1" applyFill="1" applyBorder="1" applyAlignment="1">
      <alignment horizontal="center" vertical="center"/>
    </xf>
    <xf numFmtId="0" fontId="109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14" fillId="5" borderId="0" xfId="2" applyNumberFormat="1" applyFont="1" applyFill="1"/>
    <xf numFmtId="172" fontId="113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15" fillId="6" borderId="12" xfId="0" applyFont="1" applyFill="1" applyBorder="1" applyAlignment="1">
      <alignment horizontal="center" vertical="center"/>
    </xf>
    <xf numFmtId="0" fontId="115" fillId="2" borderId="12" xfId="0" applyFont="1" applyFill="1" applyBorder="1" applyAlignment="1">
      <alignment horizontal="center" vertical="center"/>
    </xf>
    <xf numFmtId="0" fontId="115" fillId="8" borderId="12" xfId="0" applyFont="1" applyFill="1" applyBorder="1" applyAlignment="1">
      <alignment horizontal="center" vertical="center"/>
    </xf>
    <xf numFmtId="0" fontId="115" fillId="9" borderId="12" xfId="0" applyFont="1" applyFill="1" applyBorder="1" applyAlignment="1">
      <alignment horizontal="center" vertical="center"/>
    </xf>
    <xf numFmtId="14" fontId="115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15" fillId="7" borderId="20" xfId="0" applyNumberFormat="1" applyFont="1" applyFill="1" applyBorder="1" applyAlignment="1">
      <alignment horizontal="center" vertical="center"/>
    </xf>
    <xf numFmtId="14" fontId="115" fillId="7" borderId="21" xfId="0" applyNumberFormat="1" applyFont="1" applyFill="1" applyBorder="1" applyAlignment="1">
      <alignment horizontal="center" vertical="center"/>
    </xf>
    <xf numFmtId="14" fontId="115" fillId="7" borderId="28" xfId="0" applyNumberFormat="1" applyFont="1" applyFill="1" applyBorder="1" applyAlignment="1">
      <alignment horizontal="center" vertical="center"/>
    </xf>
    <xf numFmtId="0" fontId="110" fillId="10" borderId="12" xfId="0" applyFont="1" applyFill="1" applyBorder="1" applyAlignment="1">
      <alignment horizontal="center"/>
    </xf>
    <xf numFmtId="0" fontId="117" fillId="11" borderId="12" xfId="0" applyFont="1" applyFill="1" applyBorder="1" applyAlignment="1">
      <alignment horizontal="center" vertical="center"/>
    </xf>
    <xf numFmtId="0" fontId="110" fillId="10" borderId="12" xfId="0" applyFont="1" applyFill="1" applyBorder="1" applyAlignment="1">
      <alignment horizontal="center" vertical="center"/>
    </xf>
    <xf numFmtId="14" fontId="117" fillId="12" borderId="12" xfId="0" applyNumberFormat="1" applyFont="1" applyFill="1" applyBorder="1" applyAlignment="1">
      <alignment horizontal="center" vertical="center"/>
    </xf>
    <xf numFmtId="0" fontId="117" fillId="13" borderId="12" xfId="0" applyFont="1" applyFill="1" applyBorder="1" applyAlignment="1">
      <alignment horizontal="center" vertical="center"/>
    </xf>
    <xf numFmtId="0" fontId="109" fillId="0" borderId="7" xfId="0" applyFont="1" applyBorder="1" applyAlignment="1">
      <alignment horizontal="center"/>
    </xf>
    <xf numFmtId="20" fontId="109" fillId="2" borderId="28" xfId="0" applyNumberFormat="1" applyFont="1" applyFill="1" applyBorder="1" applyAlignment="1">
      <alignment horizontal="center" vertical="center"/>
    </xf>
    <xf numFmtId="1" fontId="109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09" fillId="2" borderId="12" xfId="0" applyFont="1" applyFill="1" applyBorder="1" applyAlignment="1">
      <alignment vertical="center"/>
    </xf>
    <xf numFmtId="0" fontId="109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09" fillId="2" borderId="12" xfId="0" applyNumberFormat="1" applyFont="1" applyFill="1" applyBorder="1" applyAlignment="1">
      <alignment horizontal="center" vertical="center"/>
    </xf>
    <xf numFmtId="0" fontId="110" fillId="3" borderId="12" xfId="0" applyFont="1" applyFill="1" applyBorder="1" applyAlignment="1">
      <alignment horizontal="right"/>
    </xf>
    <xf numFmtId="1" fontId="110" fillId="3" borderId="20" xfId="0" applyNumberFormat="1" applyFont="1" applyFill="1" applyBorder="1" applyAlignment="1">
      <alignment horizontal="right"/>
    </xf>
    <xf numFmtId="9" fontId="110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20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15" fillId="0" borderId="0" xfId="0" applyFont="1"/>
    <xf numFmtId="1" fontId="115" fillId="0" borderId="0" xfId="0" applyNumberFormat="1" applyFont="1" applyAlignment="1">
      <alignment horizontal="center"/>
    </xf>
    <xf numFmtId="0" fontId="115" fillId="0" borderId="0" xfId="0" applyFont="1" applyAlignment="1">
      <alignment horizontal="center"/>
    </xf>
    <xf numFmtId="0" fontId="121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15" fillId="0" borderId="38" xfId="0" applyFont="1" applyBorder="1"/>
    <xf numFmtId="1" fontId="115" fillId="0" borderId="38" xfId="0" applyNumberFormat="1" applyFont="1" applyBorder="1" applyAlignment="1">
      <alignment horizontal="center"/>
    </xf>
    <xf numFmtId="0" fontId="115" fillId="0" borderId="38" xfId="0" applyFont="1" applyBorder="1" applyAlignment="1">
      <alignment horizontal="center"/>
    </xf>
    <xf numFmtId="43" fontId="115" fillId="0" borderId="38" xfId="1" applyFont="1" applyBorder="1" applyAlignment="1">
      <alignment horizontal="center"/>
    </xf>
    <xf numFmtId="0" fontId="115" fillId="0" borderId="39" xfId="0" applyFont="1" applyBorder="1"/>
    <xf numFmtId="0" fontId="117" fillId="0" borderId="0" xfId="0" applyFont="1" applyAlignment="1">
      <alignment wrapText="1"/>
    </xf>
    <xf numFmtId="0" fontId="117" fillId="3" borderId="45" xfId="0" applyFont="1" applyFill="1" applyBorder="1" applyAlignment="1">
      <alignment horizontal="center" vertical="center" wrapText="1"/>
    </xf>
    <xf numFmtId="0" fontId="115" fillId="0" borderId="47" xfId="0" applyFont="1" applyBorder="1"/>
    <xf numFmtId="173" fontId="115" fillId="0" borderId="48" xfId="0" applyNumberFormat="1" applyFont="1" applyBorder="1" applyAlignment="1">
      <alignment horizontal="center"/>
    </xf>
    <xf numFmtId="1" fontId="115" fillId="0" borderId="48" xfId="0" applyNumberFormat="1" applyFont="1" applyBorder="1" applyAlignment="1">
      <alignment horizontal="center"/>
    </xf>
    <xf numFmtId="174" fontId="115" fillId="0" borderId="48" xfId="0" applyNumberFormat="1" applyFont="1" applyBorder="1" applyAlignment="1">
      <alignment horizontal="center"/>
    </xf>
    <xf numFmtId="0" fontId="115" fillId="0" borderId="48" xfId="0" applyFont="1" applyBorder="1"/>
    <xf numFmtId="9" fontId="115" fillId="0" borderId="48" xfId="0" applyNumberFormat="1" applyFont="1" applyBorder="1" applyAlignment="1">
      <alignment horizontal="center"/>
    </xf>
    <xf numFmtId="0" fontId="115" fillId="0" borderId="48" xfId="0" applyFont="1" applyBorder="1" applyAlignment="1">
      <alignment horizontal="center"/>
    </xf>
    <xf numFmtId="9" fontId="115" fillId="0" borderId="49" xfId="0" applyNumberFormat="1" applyFont="1" applyBorder="1" applyAlignment="1">
      <alignment horizontal="center"/>
    </xf>
    <xf numFmtId="0" fontId="115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16" fillId="2" borderId="12" xfId="0" applyFont="1" applyFill="1" applyBorder="1"/>
    <xf numFmtId="14" fontId="115" fillId="2" borderId="12" xfId="0" applyNumberFormat="1" applyFont="1" applyFill="1" applyBorder="1" applyAlignment="1">
      <alignment horizontal="center" vertical="center"/>
    </xf>
    <xf numFmtId="0" fontId="110" fillId="10" borderId="20" xfId="0" applyFont="1" applyFill="1" applyBorder="1"/>
    <xf numFmtId="0" fontId="110" fillId="10" borderId="28" xfId="0" applyFont="1" applyFill="1" applyBorder="1"/>
    <xf numFmtId="14" fontId="115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10" fillId="16" borderId="12" xfId="0" applyFont="1" applyFill="1" applyBorder="1" applyAlignment="1">
      <alignment horizontal="center"/>
    </xf>
    <xf numFmtId="0" fontId="110" fillId="10" borderId="7" xfId="0" applyFont="1" applyFill="1" applyBorder="1" applyAlignment="1">
      <alignment horizontal="center"/>
    </xf>
    <xf numFmtId="9" fontId="115" fillId="0" borderId="12" xfId="0" applyNumberFormat="1" applyFont="1" applyBorder="1" applyAlignment="1">
      <alignment horizontal="center"/>
    </xf>
    <xf numFmtId="0" fontId="110" fillId="17" borderId="12" xfId="0" applyFont="1" applyFill="1" applyBorder="1" applyAlignment="1">
      <alignment horizontal="center"/>
    </xf>
    <xf numFmtId="0" fontId="110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10" fillId="3" borderId="0" xfId="0" applyFont="1" applyFill="1" applyAlignment="1">
      <alignment horizontal="center"/>
    </xf>
    <xf numFmtId="0" fontId="110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10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25" fillId="18" borderId="12" xfId="0" applyNumberFormat="1" applyFont="1" applyFill="1" applyBorder="1" applyAlignment="1">
      <alignment horizontal="center"/>
    </xf>
    <xf numFmtId="2" fontId="125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10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10" fillId="3" borderId="20" xfId="0" applyNumberFormat="1" applyFont="1" applyFill="1" applyBorder="1" applyAlignment="1">
      <alignment horizontal="right"/>
    </xf>
    <xf numFmtId="0" fontId="125" fillId="18" borderId="7" xfId="0" applyFont="1" applyFill="1" applyBorder="1"/>
    <xf numFmtId="0" fontId="125" fillId="18" borderId="29" xfId="0" applyFont="1" applyFill="1" applyBorder="1"/>
    <xf numFmtId="174" fontId="125" fillId="18" borderId="29" xfId="0" applyNumberFormat="1" applyFont="1" applyFill="1" applyBorder="1" applyAlignment="1">
      <alignment horizontal="center"/>
    </xf>
    <xf numFmtId="0" fontId="126" fillId="2" borderId="0" xfId="0" applyFont="1" applyFill="1"/>
    <xf numFmtId="176" fontId="115" fillId="0" borderId="48" xfId="0" applyNumberFormat="1" applyFont="1" applyBorder="1" applyAlignment="1">
      <alignment horizontal="center"/>
    </xf>
    <xf numFmtId="0" fontId="109" fillId="2" borderId="7" xfId="0" applyFont="1" applyFill="1" applyBorder="1" applyAlignment="1">
      <alignment horizontal="center" vertical="center"/>
    </xf>
    <xf numFmtId="0" fontId="110" fillId="18" borderId="12" xfId="0" applyFont="1" applyFill="1" applyBorder="1" applyAlignment="1">
      <alignment horizontal="center"/>
    </xf>
    <xf numFmtId="0" fontId="115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10" fillId="2" borderId="0" xfId="0" applyFont="1" applyFill="1" applyAlignment="1">
      <alignment horizontal="center"/>
    </xf>
    <xf numFmtId="0" fontId="109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107" fillId="2" borderId="28" xfId="0" applyFont="1" applyFill="1" applyBorder="1" applyAlignment="1">
      <alignment horizontal="center" vertical="center"/>
    </xf>
    <xf numFmtId="9" fontId="125" fillId="18" borderId="29" xfId="2" applyFont="1" applyFill="1" applyBorder="1" applyAlignment="1">
      <alignment horizontal="center"/>
    </xf>
    <xf numFmtId="0" fontId="110" fillId="20" borderId="12" xfId="0" applyFont="1" applyFill="1" applyBorder="1"/>
    <xf numFmtId="9" fontId="115" fillId="0" borderId="0" xfId="2" applyFont="1" applyAlignment="1">
      <alignment horizontal="center"/>
    </xf>
    <xf numFmtId="0" fontId="110" fillId="0" borderId="12" xfId="0" applyFont="1" applyBorder="1"/>
    <xf numFmtId="176" fontId="0" fillId="0" borderId="12" xfId="0" applyNumberFormat="1" applyBorder="1"/>
    <xf numFmtId="1" fontId="128" fillId="2" borderId="12" xfId="0" applyNumberFormat="1" applyFont="1" applyFill="1" applyBorder="1"/>
    <xf numFmtId="9" fontId="128" fillId="2" borderId="12" xfId="0" applyNumberFormat="1" applyFont="1" applyFill="1" applyBorder="1"/>
    <xf numFmtId="0" fontId="120" fillId="2" borderId="12" xfId="0" applyFont="1" applyFill="1" applyBorder="1"/>
    <xf numFmtId="1" fontId="117" fillId="3" borderId="45" xfId="0" applyNumberFormat="1" applyFont="1" applyFill="1" applyBorder="1" applyAlignment="1">
      <alignment horizontal="center" vertical="center" wrapText="1"/>
    </xf>
    <xf numFmtId="43" fontId="117" fillId="3" borderId="45" xfId="1" applyFont="1" applyFill="1" applyBorder="1" applyAlignment="1">
      <alignment horizontal="center" vertical="center" wrapText="1"/>
    </xf>
    <xf numFmtId="0" fontId="110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06" fillId="2" borderId="28" xfId="0" applyFont="1" applyFill="1" applyBorder="1" applyAlignment="1">
      <alignment vertical="center"/>
    </xf>
    <xf numFmtId="20" fontId="106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105" fillId="2" borderId="12" xfId="0" applyFont="1" applyFill="1" applyBorder="1" applyAlignment="1">
      <alignment vertical="center"/>
    </xf>
    <xf numFmtId="0" fontId="105" fillId="2" borderId="12" xfId="0" applyFont="1" applyFill="1" applyBorder="1" applyAlignment="1">
      <alignment horizontal="center" vertical="center"/>
    </xf>
    <xf numFmtId="0" fontId="104" fillId="2" borderId="12" xfId="0" applyFont="1" applyFill="1" applyBorder="1" applyAlignment="1">
      <alignment vertical="center"/>
    </xf>
    <xf numFmtId="0" fontId="104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15" fillId="8" borderId="20" xfId="0" applyFont="1" applyFill="1" applyBorder="1" applyAlignment="1">
      <alignment horizontal="center" vertical="center"/>
    </xf>
    <xf numFmtId="14" fontId="115" fillId="7" borderId="12" xfId="0" applyNumberFormat="1" applyFont="1" applyFill="1" applyBorder="1" applyAlignment="1">
      <alignment horizontal="center" vertical="center"/>
    </xf>
    <xf numFmtId="20" fontId="103" fillId="2" borderId="28" xfId="0" applyNumberFormat="1" applyFont="1" applyFill="1" applyBorder="1" applyAlignment="1">
      <alignment horizontal="center" vertical="center"/>
    </xf>
    <xf numFmtId="0" fontId="103" fillId="2" borderId="12" xfId="0" applyFont="1" applyFill="1" applyBorder="1" applyAlignment="1">
      <alignment horizontal="center" vertical="center"/>
    </xf>
    <xf numFmtId="0" fontId="103" fillId="2" borderId="12" xfId="0" applyFont="1" applyFill="1" applyBorder="1" applyAlignment="1">
      <alignment vertical="center"/>
    </xf>
    <xf numFmtId="9" fontId="115" fillId="8" borderId="12" xfId="0" applyNumberFormat="1" applyFont="1" applyFill="1" applyBorder="1" applyAlignment="1">
      <alignment horizontal="center" vertical="center"/>
    </xf>
    <xf numFmtId="1" fontId="115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102" fillId="2" borderId="12" xfId="0" applyFont="1" applyFill="1" applyBorder="1" applyAlignment="1">
      <alignment vertical="center"/>
    </xf>
    <xf numFmtId="14" fontId="115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15" fillId="2" borderId="20" xfId="0" applyFont="1" applyFill="1" applyBorder="1" applyAlignment="1">
      <alignment horizontal="center" vertical="center"/>
    </xf>
    <xf numFmtId="14" fontId="115" fillId="7" borderId="28" xfId="0" applyNumberFormat="1" applyFont="1" applyFill="1" applyBorder="1" applyAlignment="1">
      <alignment vertical="center"/>
    </xf>
    <xf numFmtId="0" fontId="116" fillId="2" borderId="28" xfId="0" applyFont="1" applyFill="1" applyBorder="1"/>
    <xf numFmtId="0" fontId="115" fillId="2" borderId="28" xfId="0" applyFont="1" applyFill="1" applyBorder="1" applyAlignment="1">
      <alignment horizontal="center" vertical="center"/>
    </xf>
    <xf numFmtId="14" fontId="115" fillId="7" borderId="10" xfId="0" applyNumberFormat="1" applyFont="1" applyFill="1" applyBorder="1" applyAlignment="1">
      <alignment vertical="center"/>
    </xf>
    <xf numFmtId="14" fontId="115" fillId="7" borderId="10" xfId="0" applyNumberFormat="1" applyFont="1" applyFill="1" applyBorder="1" applyAlignment="1">
      <alignment horizontal="center" vertical="center"/>
    </xf>
    <xf numFmtId="14" fontId="115" fillId="2" borderId="10" xfId="0" applyNumberFormat="1" applyFont="1" applyFill="1" applyBorder="1" applyAlignment="1">
      <alignment vertical="center"/>
    </xf>
    <xf numFmtId="14" fontId="115" fillId="2" borderId="10" xfId="0" applyNumberFormat="1" applyFont="1" applyFill="1" applyBorder="1" applyAlignment="1">
      <alignment horizontal="center" vertical="center"/>
    </xf>
    <xf numFmtId="0" fontId="115" fillId="2" borderId="10" xfId="0" applyFont="1" applyFill="1" applyBorder="1" applyAlignment="1">
      <alignment horizontal="center" vertical="center"/>
    </xf>
    <xf numFmtId="1" fontId="115" fillId="8" borderId="10" xfId="0" applyNumberFormat="1" applyFont="1" applyFill="1" applyBorder="1" applyAlignment="1">
      <alignment horizontal="center" vertical="center"/>
    </xf>
    <xf numFmtId="0" fontId="115" fillId="8" borderId="10" xfId="0" applyFont="1" applyFill="1" applyBorder="1" applyAlignment="1">
      <alignment horizontal="center" vertical="center"/>
    </xf>
    <xf numFmtId="14" fontId="115" fillId="7" borderId="17" xfId="0" applyNumberFormat="1" applyFont="1" applyFill="1" applyBorder="1" applyAlignment="1">
      <alignment vertical="center"/>
    </xf>
    <xf numFmtId="14" fontId="115" fillId="2" borderId="17" xfId="0" applyNumberFormat="1" applyFont="1" applyFill="1" applyBorder="1" applyAlignment="1">
      <alignment vertical="center"/>
    </xf>
    <xf numFmtId="14" fontId="115" fillId="2" borderId="17" xfId="0" applyNumberFormat="1" applyFont="1" applyFill="1" applyBorder="1" applyAlignment="1">
      <alignment horizontal="center" vertical="center"/>
    </xf>
    <xf numFmtId="0" fontId="115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15" fillId="9" borderId="28" xfId="0" applyFont="1" applyFill="1" applyBorder="1" applyAlignment="1">
      <alignment horizontal="center" vertical="center"/>
    </xf>
    <xf numFmtId="0" fontId="116" fillId="2" borderId="10" xfId="0" applyFont="1" applyFill="1" applyBorder="1"/>
    <xf numFmtId="0" fontId="116" fillId="2" borderId="17" xfId="0" applyFont="1" applyFill="1" applyBorder="1"/>
    <xf numFmtId="0" fontId="0" fillId="2" borderId="17" xfId="0" applyFill="1" applyBorder="1"/>
    <xf numFmtId="0" fontId="115" fillId="9" borderId="17" xfId="0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vertical="center"/>
    </xf>
    <xf numFmtId="0" fontId="101" fillId="2" borderId="12" xfId="0" applyFont="1" applyFill="1" applyBorder="1" applyAlignment="1">
      <alignment horizontal="center" vertical="center"/>
    </xf>
    <xf numFmtId="9" fontId="115" fillId="2" borderId="12" xfId="0" applyNumberFormat="1" applyFont="1" applyFill="1" applyBorder="1" applyAlignment="1">
      <alignment horizontal="center" vertical="center"/>
    </xf>
    <xf numFmtId="1" fontId="115" fillId="8" borderId="28" xfId="0" applyNumberFormat="1" applyFont="1" applyFill="1" applyBorder="1" applyAlignment="1">
      <alignment horizontal="center" vertical="center"/>
    </xf>
    <xf numFmtId="0" fontId="110" fillId="18" borderId="28" xfId="0" applyFont="1" applyFill="1" applyBorder="1" applyAlignment="1">
      <alignment horizontal="center" vertical="center"/>
    </xf>
    <xf numFmtId="0" fontId="110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15" fillId="0" borderId="47" xfId="0" applyNumberFormat="1" applyFont="1" applyBorder="1" applyAlignment="1">
      <alignment horizontal="center"/>
    </xf>
    <xf numFmtId="1" fontId="115" fillId="0" borderId="12" xfId="0" applyNumberFormat="1" applyFont="1" applyBorder="1" applyAlignment="1">
      <alignment horizontal="center"/>
    </xf>
    <xf numFmtId="174" fontId="115" fillId="0" borderId="12" xfId="0" applyNumberFormat="1" applyFont="1" applyBorder="1" applyAlignment="1">
      <alignment horizontal="center"/>
    </xf>
    <xf numFmtId="0" fontId="115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15" fillId="2" borderId="12" xfId="0" applyFont="1" applyFill="1" applyBorder="1" applyAlignment="1">
      <alignment vertical="top" wrapText="1"/>
    </xf>
    <xf numFmtId="0" fontId="110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10" fillId="18" borderId="30" xfId="0" applyFont="1" applyFill="1" applyBorder="1" applyAlignment="1">
      <alignment horizontal="center" vertical="center"/>
    </xf>
    <xf numFmtId="0" fontId="110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10" fillId="20" borderId="12" xfId="0" applyFont="1" applyFill="1" applyBorder="1" applyAlignment="1">
      <alignment horizontal="center"/>
    </xf>
    <xf numFmtId="0" fontId="110" fillId="18" borderId="20" xfId="0" applyFont="1" applyFill="1" applyBorder="1" applyAlignment="1">
      <alignment horizontal="center" vertical="center"/>
    </xf>
    <xf numFmtId="0" fontId="110" fillId="18" borderId="21" xfId="0" applyFont="1" applyFill="1" applyBorder="1" applyAlignment="1">
      <alignment horizontal="center" vertical="center"/>
    </xf>
    <xf numFmtId="43" fontId="110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10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10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93" fillId="2" borderId="12" xfId="0" applyNumberFormat="1" applyFont="1" applyFill="1" applyBorder="1" applyAlignment="1">
      <alignment horizontal="center" vertical="center"/>
    </xf>
    <xf numFmtId="0" fontId="110" fillId="18" borderId="30" xfId="0" applyFont="1" applyFill="1" applyBorder="1" applyAlignment="1">
      <alignment horizontal="center"/>
    </xf>
    <xf numFmtId="0" fontId="110" fillId="18" borderId="32" xfId="0" applyFont="1" applyFill="1" applyBorder="1" applyAlignment="1">
      <alignment horizontal="center"/>
    </xf>
    <xf numFmtId="0" fontId="110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10" fillId="4" borderId="12" xfId="0" applyFont="1" applyFill="1" applyBorder="1"/>
    <xf numFmtId="0" fontId="110" fillId="18" borderId="12" xfId="0" applyFont="1" applyFill="1" applyBorder="1"/>
    <xf numFmtId="0" fontId="110" fillId="18" borderId="12" xfId="0" applyFont="1" applyFill="1" applyBorder="1" applyAlignment="1">
      <alignment horizontal="left"/>
    </xf>
    <xf numFmtId="0" fontId="91" fillId="2" borderId="12" xfId="0" applyFont="1" applyFill="1" applyBorder="1"/>
    <xf numFmtId="0" fontId="109" fillId="3" borderId="0" xfId="0" applyFont="1" applyFill="1" applyAlignment="1">
      <alignment horizontal="center"/>
    </xf>
    <xf numFmtId="0" fontId="109" fillId="3" borderId="19" xfId="0" applyFont="1" applyFill="1" applyBorder="1" applyAlignment="1">
      <alignment horizontal="center"/>
    </xf>
    <xf numFmtId="0" fontId="109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91" fillId="2" borderId="28" xfId="0" applyFont="1" applyFill="1" applyBorder="1" applyAlignment="1">
      <alignment horizontal="center" vertical="center"/>
    </xf>
    <xf numFmtId="0" fontId="91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25" fillId="3" borderId="19" xfId="0" applyFont="1" applyFill="1" applyBorder="1" applyAlignment="1">
      <alignment horizontal="center" vertical="center"/>
    </xf>
    <xf numFmtId="165" fontId="125" fillId="3" borderId="21" xfId="1" applyNumberFormat="1" applyFont="1" applyFill="1" applyBorder="1" applyAlignment="1">
      <alignment horizontal="center" vertical="center"/>
    </xf>
    <xf numFmtId="166" fontId="125" fillId="3" borderId="21" xfId="0" applyNumberFormat="1" applyFont="1" applyFill="1" applyBorder="1" applyAlignment="1">
      <alignment horizontal="center" vertical="center"/>
    </xf>
    <xf numFmtId="9" fontId="125" fillId="3" borderId="21" xfId="2" applyFont="1" applyFill="1" applyBorder="1" applyAlignment="1">
      <alignment horizontal="center" vertical="center"/>
    </xf>
    <xf numFmtId="9" fontId="125" fillId="3" borderId="22" xfId="2" applyFont="1" applyFill="1" applyBorder="1" applyAlignment="1">
      <alignment horizontal="center" vertical="center" wrapText="1"/>
    </xf>
    <xf numFmtId="14" fontId="130" fillId="2" borderId="9" xfId="0" applyNumberFormat="1" applyFont="1" applyFill="1" applyBorder="1" applyAlignment="1">
      <alignment horizontal="center" vertical="center"/>
    </xf>
    <xf numFmtId="0" fontId="130" fillId="2" borderId="10" xfId="0" applyFont="1" applyFill="1" applyBorder="1" applyAlignment="1">
      <alignment vertical="center"/>
    </xf>
    <xf numFmtId="165" fontId="130" fillId="2" borderId="10" xfId="1" applyNumberFormat="1" applyFont="1" applyFill="1" applyBorder="1" applyAlignment="1">
      <alignment horizontal="center" vertical="center"/>
    </xf>
    <xf numFmtId="166" fontId="130" fillId="2" borderId="10" xfId="0" applyNumberFormat="1" applyFont="1" applyFill="1" applyBorder="1" applyAlignment="1">
      <alignment horizontal="center" vertical="center"/>
    </xf>
    <xf numFmtId="9" fontId="130" fillId="2" borderId="10" xfId="2" applyFont="1" applyFill="1" applyBorder="1" applyAlignment="1">
      <alignment horizontal="center" vertical="center"/>
    </xf>
    <xf numFmtId="167" fontId="130" fillId="2" borderId="11" xfId="1" applyNumberFormat="1" applyFont="1" applyFill="1" applyBorder="1" applyAlignment="1">
      <alignment horizontal="center" vertical="center"/>
    </xf>
    <xf numFmtId="0" fontId="130" fillId="2" borderId="11" xfId="0" applyFont="1" applyFill="1" applyBorder="1" applyAlignment="1">
      <alignment horizontal="center" vertical="center"/>
    </xf>
    <xf numFmtId="1" fontId="130" fillId="2" borderId="11" xfId="0" applyNumberFormat="1" applyFont="1" applyFill="1" applyBorder="1" applyAlignment="1">
      <alignment horizontal="center" vertical="center"/>
    </xf>
    <xf numFmtId="165" fontId="130" fillId="2" borderId="10" xfId="0" applyNumberFormat="1" applyFont="1" applyFill="1" applyBorder="1" applyAlignment="1">
      <alignment horizontal="center" vertical="center"/>
    </xf>
    <xf numFmtId="0" fontId="130" fillId="2" borderId="12" xfId="0" applyFont="1" applyFill="1" applyBorder="1"/>
    <xf numFmtId="14" fontId="130" fillId="2" borderId="14" xfId="0" applyNumberFormat="1" applyFont="1" applyFill="1" applyBorder="1" applyAlignment="1">
      <alignment horizontal="center" vertical="center"/>
    </xf>
    <xf numFmtId="0" fontId="130" fillId="2" borderId="15" xfId="0" applyFont="1" applyFill="1" applyBorder="1" applyAlignment="1">
      <alignment vertical="center"/>
    </xf>
    <xf numFmtId="165" fontId="130" fillId="2" borderId="15" xfId="1" applyNumberFormat="1" applyFont="1" applyFill="1" applyBorder="1" applyAlignment="1">
      <alignment horizontal="center" vertical="center"/>
    </xf>
    <xf numFmtId="166" fontId="130" fillId="2" borderId="15" xfId="0" applyNumberFormat="1" applyFont="1" applyFill="1" applyBorder="1" applyAlignment="1">
      <alignment horizontal="center" vertical="center"/>
    </xf>
    <xf numFmtId="9" fontId="130" fillId="2" borderId="15" xfId="2" applyFont="1" applyFill="1" applyBorder="1" applyAlignment="1">
      <alignment horizontal="center" vertical="center"/>
    </xf>
    <xf numFmtId="165" fontId="130" fillId="2" borderId="17" xfId="1" applyNumberFormat="1" applyFont="1" applyFill="1" applyBorder="1" applyAlignment="1">
      <alignment horizontal="center" vertical="center"/>
    </xf>
    <xf numFmtId="167" fontId="130" fillId="2" borderId="16" xfId="1" applyNumberFormat="1" applyFont="1" applyFill="1" applyBorder="1" applyAlignment="1">
      <alignment horizontal="center" vertical="center"/>
    </xf>
    <xf numFmtId="165" fontId="130" fillId="2" borderId="12" xfId="0" applyNumberFormat="1" applyFont="1" applyFill="1" applyBorder="1"/>
    <xf numFmtId="168" fontId="130" fillId="2" borderId="12" xfId="0" applyNumberFormat="1" applyFont="1" applyFill="1" applyBorder="1"/>
    <xf numFmtId="165" fontId="130" fillId="2" borderId="15" xfId="0" applyNumberFormat="1" applyFont="1" applyFill="1" applyBorder="1" applyAlignment="1">
      <alignment horizontal="center" vertical="center"/>
    </xf>
    <xf numFmtId="165" fontId="130" fillId="2" borderId="17" xfId="0" applyNumberFormat="1" applyFont="1" applyFill="1" applyBorder="1" applyAlignment="1">
      <alignment horizontal="center" vertical="center"/>
    </xf>
    <xf numFmtId="167" fontId="130" fillId="2" borderId="12" xfId="0" applyNumberFormat="1" applyFont="1" applyFill="1" applyBorder="1"/>
    <xf numFmtId="0" fontId="130" fillId="2" borderId="17" xfId="0" applyFont="1" applyFill="1" applyBorder="1" applyAlignment="1">
      <alignment vertical="center"/>
    </xf>
    <xf numFmtId="1" fontId="130" fillId="2" borderId="16" xfId="0" applyNumberFormat="1" applyFont="1" applyFill="1" applyBorder="1" applyAlignment="1">
      <alignment horizontal="center" vertical="center"/>
    </xf>
    <xf numFmtId="14" fontId="130" fillId="2" borderId="19" xfId="0" applyNumberFormat="1" applyFont="1" applyFill="1" applyBorder="1" applyAlignment="1">
      <alignment horizontal="center" vertical="center"/>
    </xf>
    <xf numFmtId="0" fontId="130" fillId="2" borderId="20" xfId="0" applyFont="1" applyFill="1" applyBorder="1" applyAlignment="1">
      <alignment vertical="center"/>
    </xf>
    <xf numFmtId="165" fontId="130" fillId="2" borderId="20" xfId="1" applyNumberFormat="1" applyFont="1" applyFill="1" applyBorder="1" applyAlignment="1">
      <alignment horizontal="center" vertical="center"/>
    </xf>
    <xf numFmtId="166" fontId="130" fillId="2" borderId="21" xfId="0" applyNumberFormat="1" applyFont="1" applyFill="1" applyBorder="1" applyAlignment="1">
      <alignment horizontal="center" vertical="center"/>
    </xf>
    <xf numFmtId="9" fontId="130" fillId="2" borderId="21" xfId="2" applyFont="1" applyFill="1" applyBorder="1" applyAlignment="1">
      <alignment horizontal="center" vertical="center"/>
    </xf>
    <xf numFmtId="167" fontId="130" fillId="2" borderId="22" xfId="1" applyNumberFormat="1" applyFont="1" applyFill="1" applyBorder="1" applyAlignment="1">
      <alignment horizontal="center" vertical="center"/>
    </xf>
    <xf numFmtId="1" fontId="130" fillId="2" borderId="22" xfId="0" applyNumberFormat="1" applyFont="1" applyFill="1" applyBorder="1" applyAlignment="1">
      <alignment horizontal="center" vertical="center"/>
    </xf>
    <xf numFmtId="165" fontId="130" fillId="2" borderId="21" xfId="0" applyNumberFormat="1" applyFont="1" applyFill="1" applyBorder="1" applyAlignment="1">
      <alignment horizontal="center" vertical="center"/>
    </xf>
    <xf numFmtId="165" fontId="130" fillId="2" borderId="20" xfId="0" applyNumberFormat="1" applyFont="1" applyFill="1" applyBorder="1" applyAlignment="1">
      <alignment horizontal="center" vertical="center"/>
    </xf>
    <xf numFmtId="165" fontId="130" fillId="2" borderId="23" xfId="0" applyNumberFormat="1" applyFont="1" applyFill="1" applyBorder="1" applyAlignment="1">
      <alignment horizontal="center" vertical="center"/>
    </xf>
    <xf numFmtId="165" fontId="130" fillId="2" borderId="25" xfId="0" applyNumberFormat="1" applyFont="1" applyFill="1" applyBorder="1" applyAlignment="1">
      <alignment horizontal="center" vertical="center"/>
    </xf>
    <xf numFmtId="0" fontId="130" fillId="2" borderId="16" xfId="0" applyFont="1" applyFill="1" applyBorder="1" applyAlignment="1">
      <alignment horizontal="center" vertical="center"/>
    </xf>
    <xf numFmtId="0" fontId="130" fillId="2" borderId="27" xfId="0" applyFont="1" applyFill="1" applyBorder="1" applyAlignment="1">
      <alignment vertical="center"/>
    </xf>
    <xf numFmtId="165" fontId="130" fillId="2" borderId="27" xfId="1" applyNumberFormat="1" applyFont="1" applyFill="1" applyBorder="1" applyAlignment="1">
      <alignment horizontal="center" vertical="center"/>
    </xf>
    <xf numFmtId="166" fontId="130" fillId="2" borderId="27" xfId="0" applyNumberFormat="1" applyFont="1" applyFill="1" applyBorder="1" applyAlignment="1">
      <alignment horizontal="center" vertical="center"/>
    </xf>
    <xf numFmtId="9" fontId="130" fillId="2" borderId="27" xfId="2" applyFont="1" applyFill="1" applyBorder="1" applyAlignment="1">
      <alignment horizontal="center" vertical="center"/>
    </xf>
    <xf numFmtId="165" fontId="130" fillId="2" borderId="15" xfId="0" applyNumberFormat="1" applyFont="1" applyFill="1" applyBorder="1" applyAlignment="1">
      <alignment vertical="center"/>
    </xf>
    <xf numFmtId="165" fontId="130" fillId="2" borderId="17" xfId="0" applyNumberFormat="1" applyFont="1" applyFill="1" applyBorder="1" applyAlignment="1">
      <alignment vertical="center"/>
    </xf>
    <xf numFmtId="175" fontId="130" fillId="2" borderId="27" xfId="2" applyNumberFormat="1" applyFont="1" applyFill="1" applyBorder="1" applyAlignment="1">
      <alignment horizontal="center" vertical="center"/>
    </xf>
    <xf numFmtId="14" fontId="125" fillId="4" borderId="19" xfId="0" applyNumberFormat="1" applyFont="1" applyFill="1" applyBorder="1" applyAlignment="1">
      <alignment horizontal="center" vertical="center"/>
    </xf>
    <xf numFmtId="0" fontId="125" fillId="4" borderId="21" xfId="0" applyFont="1" applyFill="1" applyBorder="1" applyAlignment="1">
      <alignment vertical="center"/>
    </xf>
    <xf numFmtId="165" fontId="125" fillId="4" borderId="21" xfId="1" applyNumberFormat="1" applyFont="1" applyFill="1" applyBorder="1" applyAlignment="1">
      <alignment horizontal="center" vertical="center"/>
    </xf>
    <xf numFmtId="166" fontId="125" fillId="4" borderId="21" xfId="0" applyNumberFormat="1" applyFont="1" applyFill="1" applyBorder="1" applyAlignment="1">
      <alignment horizontal="center" vertical="center"/>
    </xf>
    <xf numFmtId="9" fontId="125" fillId="4" borderId="21" xfId="2" applyFont="1" applyFill="1" applyBorder="1" applyAlignment="1">
      <alignment horizontal="center" vertical="center"/>
    </xf>
    <xf numFmtId="167" fontId="125" fillId="4" borderId="22" xfId="1" applyNumberFormat="1" applyFont="1" applyFill="1" applyBorder="1" applyAlignment="1">
      <alignment horizontal="center" vertical="center"/>
    </xf>
    <xf numFmtId="0" fontId="125" fillId="4" borderId="22" xfId="0" applyFont="1" applyFill="1" applyBorder="1" applyAlignment="1">
      <alignment horizontal="center" vertical="center"/>
    </xf>
    <xf numFmtId="1" fontId="125" fillId="4" borderId="22" xfId="0" applyNumberFormat="1" applyFont="1" applyFill="1" applyBorder="1" applyAlignment="1">
      <alignment horizontal="center" vertical="center"/>
    </xf>
    <xf numFmtId="165" fontId="125" fillId="4" borderId="21" xfId="0" applyNumberFormat="1" applyFont="1" applyFill="1" applyBorder="1" applyAlignment="1">
      <alignment horizontal="center" vertical="center"/>
    </xf>
    <xf numFmtId="0" fontId="125" fillId="4" borderId="17" xfId="0" applyFont="1" applyFill="1" applyBorder="1"/>
    <xf numFmtId="165" fontId="125" fillId="4" borderId="17" xfId="1" applyNumberFormat="1" applyFont="1" applyFill="1" applyBorder="1" applyAlignment="1">
      <alignment horizontal="center" vertical="center"/>
    </xf>
    <xf numFmtId="9" fontId="125" fillId="4" borderId="17" xfId="2" applyFont="1" applyFill="1" applyBorder="1" applyAlignment="1">
      <alignment horizontal="center" vertical="center"/>
    </xf>
    <xf numFmtId="1" fontId="125" fillId="4" borderId="17" xfId="0" applyNumberFormat="1" applyFont="1" applyFill="1" applyBorder="1" applyAlignment="1">
      <alignment horizontal="center"/>
    </xf>
    <xf numFmtId="165" fontId="125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25" fillId="4" borderId="54" xfId="0" applyNumberFormat="1" applyFont="1" applyFill="1" applyBorder="1" applyAlignment="1">
      <alignment vertical="center"/>
    </xf>
    <xf numFmtId="0" fontId="125" fillId="3" borderId="22" xfId="0" applyFont="1" applyFill="1" applyBorder="1" applyAlignment="1">
      <alignment horizontal="center" vertical="center" wrapText="1"/>
    </xf>
    <xf numFmtId="0" fontId="125" fillId="3" borderId="21" xfId="0" applyFont="1" applyFill="1" applyBorder="1" applyAlignment="1">
      <alignment horizontal="center" vertical="center"/>
    </xf>
    <xf numFmtId="0" fontId="125" fillId="3" borderId="21" xfId="0" applyFont="1" applyFill="1" applyBorder="1" applyAlignment="1">
      <alignment horizontal="center" vertical="center" wrapText="1"/>
    </xf>
    <xf numFmtId="0" fontId="125" fillId="20" borderId="28" xfId="0" applyFont="1" applyFill="1" applyBorder="1" applyAlignment="1">
      <alignment horizontal="center" vertical="center"/>
    </xf>
    <xf numFmtId="14" fontId="130" fillId="17" borderId="9" xfId="0" applyNumberFormat="1" applyFont="1" applyFill="1" applyBorder="1" applyAlignment="1">
      <alignment horizontal="center" vertical="center"/>
    </xf>
    <xf numFmtId="0" fontId="130" fillId="17" borderId="10" xfId="0" applyFont="1" applyFill="1" applyBorder="1" applyAlignment="1">
      <alignment vertical="center"/>
    </xf>
    <xf numFmtId="165" fontId="130" fillId="17" borderId="10" xfId="1" applyNumberFormat="1" applyFont="1" applyFill="1" applyBorder="1" applyAlignment="1">
      <alignment horizontal="center" vertical="center"/>
    </xf>
    <xf numFmtId="166" fontId="130" fillId="17" borderId="10" xfId="0" applyNumberFormat="1" applyFont="1" applyFill="1" applyBorder="1" applyAlignment="1">
      <alignment horizontal="center" vertical="center"/>
    </xf>
    <xf numFmtId="9" fontId="130" fillId="17" borderId="10" xfId="2" applyFont="1" applyFill="1" applyBorder="1" applyAlignment="1">
      <alignment horizontal="center" vertical="center"/>
    </xf>
    <xf numFmtId="167" fontId="130" fillId="17" borderId="11" xfId="1" applyNumberFormat="1" applyFont="1" applyFill="1" applyBorder="1" applyAlignment="1">
      <alignment horizontal="center" vertical="center"/>
    </xf>
    <xf numFmtId="1" fontId="130" fillId="17" borderId="11" xfId="0" applyNumberFormat="1" applyFont="1" applyFill="1" applyBorder="1" applyAlignment="1">
      <alignment horizontal="center" vertical="center"/>
    </xf>
    <xf numFmtId="165" fontId="130" fillId="17" borderId="10" xfId="0" applyNumberFormat="1" applyFont="1" applyFill="1" applyBorder="1" applyAlignment="1">
      <alignment horizontal="center" vertical="center"/>
    </xf>
    <xf numFmtId="0" fontId="130" fillId="17" borderId="12" xfId="0" applyFont="1" applyFill="1" applyBorder="1"/>
    <xf numFmtId="14" fontId="130" fillId="17" borderId="14" xfId="0" applyNumberFormat="1" applyFont="1" applyFill="1" applyBorder="1" applyAlignment="1">
      <alignment horizontal="center" vertical="center"/>
    </xf>
    <xf numFmtId="0" fontId="130" fillId="17" borderId="15" xfId="0" applyFont="1" applyFill="1" applyBorder="1" applyAlignment="1">
      <alignment vertical="center"/>
    </xf>
    <xf numFmtId="165" fontId="130" fillId="17" borderId="17" xfId="1" applyNumberFormat="1" applyFont="1" applyFill="1" applyBorder="1" applyAlignment="1">
      <alignment horizontal="center" vertical="center"/>
    </xf>
    <xf numFmtId="9" fontId="130" fillId="17" borderId="15" xfId="2" applyFont="1" applyFill="1" applyBorder="1" applyAlignment="1">
      <alignment horizontal="center" vertical="center"/>
    </xf>
    <xf numFmtId="167" fontId="130" fillId="17" borderId="16" xfId="1" applyNumberFormat="1" applyFont="1" applyFill="1" applyBorder="1" applyAlignment="1">
      <alignment horizontal="center" vertical="center"/>
    </xf>
    <xf numFmtId="165" fontId="130" fillId="17" borderId="15" xfId="0" applyNumberFormat="1" applyFont="1" applyFill="1" applyBorder="1" applyAlignment="1">
      <alignment horizontal="center" vertical="center"/>
    </xf>
    <xf numFmtId="165" fontId="130" fillId="17" borderId="12" xfId="0" applyNumberFormat="1" applyFont="1" applyFill="1" applyBorder="1"/>
    <xf numFmtId="165" fontId="130" fillId="17" borderId="17" xfId="0" applyNumberFormat="1" applyFont="1" applyFill="1" applyBorder="1" applyAlignment="1">
      <alignment horizontal="center" vertical="center"/>
    </xf>
    <xf numFmtId="0" fontId="130" fillId="17" borderId="17" xfId="0" applyFont="1" applyFill="1" applyBorder="1" applyAlignment="1">
      <alignment vertical="center"/>
    </xf>
    <xf numFmtId="1" fontId="130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10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10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10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90" fillId="2" borderId="12" xfId="0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horizontal="center" vertical="center"/>
    </xf>
    <xf numFmtId="0" fontId="87" fillId="2" borderId="7" xfId="0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horizontal="left" vertical="center"/>
    </xf>
    <xf numFmtId="0" fontId="130" fillId="2" borderId="12" xfId="0" applyFont="1" applyFill="1" applyBorder="1" applyAlignment="1">
      <alignment wrapText="1"/>
    </xf>
    <xf numFmtId="0" fontId="86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10" fillId="4" borderId="12" xfId="0" applyFont="1" applyFill="1" applyBorder="1" applyAlignment="1">
      <alignment horizontal="center" wrapText="1"/>
    </xf>
    <xf numFmtId="166" fontId="131" fillId="17" borderId="10" xfId="0" applyNumberFormat="1" applyFont="1" applyFill="1" applyBorder="1" applyAlignment="1">
      <alignment horizontal="center" vertical="center"/>
    </xf>
    <xf numFmtId="166" fontId="131" fillId="2" borderId="21" xfId="0" applyNumberFormat="1" applyFont="1" applyFill="1" applyBorder="1" applyAlignment="1">
      <alignment horizontal="center" vertical="center"/>
    </xf>
    <xf numFmtId="166" fontId="131" fillId="17" borderId="15" xfId="0" applyNumberFormat="1" applyFont="1" applyFill="1" applyBorder="1" applyAlignment="1">
      <alignment horizontal="center" vertical="center"/>
    </xf>
    <xf numFmtId="166" fontId="131" fillId="2" borderId="15" xfId="0" applyNumberFormat="1" applyFont="1" applyFill="1" applyBorder="1" applyAlignment="1">
      <alignment horizontal="center" vertical="center"/>
    </xf>
    <xf numFmtId="166" fontId="131" fillId="2" borderId="10" xfId="0" applyNumberFormat="1" applyFont="1" applyFill="1" applyBorder="1" applyAlignment="1">
      <alignment horizontal="center" vertical="center"/>
    </xf>
    <xf numFmtId="0" fontId="85" fillId="2" borderId="12" xfId="0" applyFont="1" applyFill="1" applyBorder="1" applyAlignment="1">
      <alignment vertical="center"/>
    </xf>
    <xf numFmtId="0" fontId="85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15" fillId="18" borderId="12" xfId="0" applyFont="1" applyFill="1" applyBorder="1" applyAlignment="1">
      <alignment horizontal="center"/>
    </xf>
    <xf numFmtId="0" fontId="110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10" fillId="18" borderId="12" xfId="0" applyNumberFormat="1" applyFont="1" applyFill="1" applyBorder="1" applyAlignment="1">
      <alignment horizontal="center" wrapText="1"/>
    </xf>
    <xf numFmtId="14" fontId="84" fillId="2" borderId="12" xfId="0" applyNumberFormat="1" applyFont="1" applyFill="1" applyBorder="1"/>
    <xf numFmtId="0" fontId="83" fillId="2" borderId="12" xfId="0" applyFont="1" applyFill="1" applyBorder="1" applyAlignment="1">
      <alignment vertical="center"/>
    </xf>
    <xf numFmtId="0" fontId="83" fillId="2" borderId="12" xfId="0" applyFont="1" applyFill="1" applyBorder="1" applyAlignment="1">
      <alignment horizontal="center" vertical="center"/>
    </xf>
    <xf numFmtId="173" fontId="115" fillId="0" borderId="47" xfId="0" applyNumberFormat="1" applyFont="1" applyBorder="1" applyAlignment="1">
      <alignment horizontal="center"/>
    </xf>
    <xf numFmtId="1" fontId="115" fillId="0" borderId="20" xfId="0" applyNumberFormat="1" applyFont="1" applyBorder="1" applyAlignment="1">
      <alignment horizontal="center"/>
    </xf>
    <xf numFmtId="0" fontId="115" fillId="0" borderId="20" xfId="0" applyFont="1" applyBorder="1"/>
    <xf numFmtId="9" fontId="115" fillId="0" borderId="20" xfId="0" applyNumberFormat="1" applyFont="1" applyBorder="1" applyAlignment="1">
      <alignment horizontal="center"/>
    </xf>
    <xf numFmtId="0" fontId="115" fillId="0" borderId="20" xfId="0" applyFont="1" applyBorder="1" applyAlignment="1">
      <alignment horizontal="center"/>
    </xf>
    <xf numFmtId="173" fontId="115" fillId="14" borderId="12" xfId="0" applyNumberFormat="1" applyFont="1" applyFill="1" applyBorder="1" applyAlignment="1">
      <alignment horizontal="center"/>
    </xf>
    <xf numFmtId="43" fontId="115" fillId="14" borderId="12" xfId="1" applyFont="1" applyFill="1" applyBorder="1" applyAlignment="1">
      <alignment horizontal="center"/>
    </xf>
    <xf numFmtId="0" fontId="115" fillId="21" borderId="12" xfId="0" applyFont="1" applyFill="1" applyBorder="1" applyAlignment="1">
      <alignment horizontal="center"/>
    </xf>
    <xf numFmtId="0" fontId="115" fillId="14" borderId="12" xfId="0" applyFont="1" applyFill="1" applyBorder="1"/>
    <xf numFmtId="1" fontId="115" fillId="21" borderId="12" xfId="0" applyNumberFormat="1" applyFont="1" applyFill="1" applyBorder="1" applyAlignment="1">
      <alignment horizontal="center"/>
    </xf>
    <xf numFmtId="2" fontId="115" fillId="21" borderId="12" xfId="0" applyNumberFormat="1" applyFont="1" applyFill="1" applyBorder="1" applyAlignment="1">
      <alignment horizontal="center"/>
    </xf>
    <xf numFmtId="176" fontId="115" fillId="21" borderId="12" xfId="0" applyNumberFormat="1" applyFont="1" applyFill="1" applyBorder="1" applyAlignment="1">
      <alignment horizontal="center"/>
    </xf>
    <xf numFmtId="9" fontId="115" fillId="21" borderId="12" xfId="0" applyNumberFormat="1" applyFont="1" applyFill="1" applyBorder="1" applyAlignment="1">
      <alignment horizontal="center"/>
    </xf>
    <xf numFmtId="0" fontId="115" fillId="14" borderId="12" xfId="0" applyFont="1" applyFill="1" applyBorder="1" applyAlignment="1">
      <alignment horizontal="center"/>
    </xf>
    <xf numFmtId="0" fontId="117" fillId="21" borderId="12" xfId="0" applyFont="1" applyFill="1" applyBorder="1" applyAlignment="1">
      <alignment horizontal="center" wrapText="1"/>
    </xf>
    <xf numFmtId="43" fontId="115" fillId="21" borderId="12" xfId="1" applyFont="1" applyFill="1" applyBorder="1" applyAlignment="1">
      <alignment horizontal="center"/>
    </xf>
    <xf numFmtId="1" fontId="115" fillId="14" borderId="48" xfId="0" applyNumberFormat="1" applyFont="1" applyFill="1" applyBorder="1" applyAlignment="1">
      <alignment horizontal="center"/>
    </xf>
    <xf numFmtId="0" fontId="110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82" fillId="2" borderId="7" xfId="0" applyFont="1" applyFill="1" applyBorder="1" applyAlignment="1">
      <alignment vertical="center"/>
    </xf>
    <xf numFmtId="0" fontId="110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80" fillId="2" borderId="7" xfId="0" applyFont="1" applyFill="1" applyBorder="1" applyAlignment="1">
      <alignment vertical="center"/>
    </xf>
    <xf numFmtId="0" fontId="113" fillId="16" borderId="0" xfId="0" applyFont="1" applyFill="1"/>
    <xf numFmtId="0" fontId="0" fillId="16" borderId="0" xfId="0" applyFill="1"/>
    <xf numFmtId="180" fontId="113" fillId="16" borderId="0" xfId="3" applyNumberFormat="1" applyFont="1" applyFill="1"/>
    <xf numFmtId="0" fontId="110" fillId="0" borderId="0" xfId="0" applyFont="1" applyAlignment="1">
      <alignment horizontal="center"/>
    </xf>
    <xf numFmtId="0" fontId="110" fillId="18" borderId="7" xfId="0" applyFont="1" applyFill="1" applyBorder="1" applyAlignment="1">
      <alignment horizontal="center"/>
    </xf>
    <xf numFmtId="0" fontId="110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13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10" fillId="4" borderId="12" xfId="0" applyNumberFormat="1" applyFont="1" applyFill="1" applyBorder="1" applyAlignment="1">
      <alignment horizontal="center"/>
    </xf>
    <xf numFmtId="0" fontId="109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76" fillId="2" borderId="7" xfId="0" applyFont="1" applyFill="1" applyBorder="1" applyAlignment="1">
      <alignment vertical="center"/>
    </xf>
    <xf numFmtId="0" fontId="75" fillId="2" borderId="28" xfId="0" applyFont="1" applyFill="1" applyBorder="1" applyAlignment="1">
      <alignment horizontal="center" vertical="center"/>
    </xf>
    <xf numFmtId="0" fontId="75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74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09" fillId="2" borderId="13" xfId="0" applyNumberFormat="1" applyFont="1" applyFill="1" applyBorder="1" applyAlignment="1">
      <alignment vertical="center"/>
    </xf>
    <xf numFmtId="14" fontId="109" fillId="2" borderId="14" xfId="0" applyNumberFormat="1" applyFont="1" applyFill="1" applyBorder="1" applyAlignment="1">
      <alignment vertical="center"/>
    </xf>
    <xf numFmtId="1" fontId="125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70" fillId="2" borderId="12" xfId="0" applyFont="1" applyFill="1" applyBorder="1" applyAlignment="1">
      <alignment horizontal="left" vertical="center"/>
    </xf>
    <xf numFmtId="14" fontId="70" fillId="2" borderId="20" xfId="0" applyNumberFormat="1" applyFont="1" applyFill="1" applyBorder="1" applyAlignment="1">
      <alignment horizontal="center" vertical="center"/>
    </xf>
    <xf numFmtId="0" fontId="70" fillId="2" borderId="7" xfId="0" applyFont="1" applyFill="1" applyBorder="1" applyAlignment="1">
      <alignment vertical="center"/>
    </xf>
    <xf numFmtId="0" fontId="69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25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09" fillId="2" borderId="12" xfId="0" applyNumberFormat="1" applyFont="1" applyFill="1" applyBorder="1" applyAlignment="1">
      <alignment horizontal="center" vertical="center"/>
    </xf>
    <xf numFmtId="1" fontId="109" fillId="2" borderId="12" xfId="0" applyNumberFormat="1" applyFont="1" applyFill="1" applyBorder="1" applyAlignment="1">
      <alignment horizontal="center" vertical="center"/>
    </xf>
    <xf numFmtId="14" fontId="109" fillId="23" borderId="12" xfId="0" applyNumberFormat="1" applyFont="1" applyFill="1" applyBorder="1" applyAlignment="1">
      <alignment horizontal="center" vertical="center"/>
    </xf>
    <xf numFmtId="20" fontId="109" fillId="23" borderId="12" xfId="0" applyNumberFormat="1" applyFont="1" applyFill="1" applyBorder="1" applyAlignment="1">
      <alignment horizontal="center" vertical="center"/>
    </xf>
    <xf numFmtId="1" fontId="109" fillId="23" borderId="12" xfId="0" applyNumberFormat="1" applyFont="1" applyFill="1" applyBorder="1" applyAlignment="1">
      <alignment horizontal="center" vertical="center"/>
    </xf>
    <xf numFmtId="14" fontId="109" fillId="22" borderId="12" xfId="0" applyNumberFormat="1" applyFont="1" applyFill="1" applyBorder="1" applyAlignment="1">
      <alignment horizontal="center" vertical="center"/>
    </xf>
    <xf numFmtId="20" fontId="109" fillId="22" borderId="12" xfId="0" applyNumberFormat="1" applyFont="1" applyFill="1" applyBorder="1" applyAlignment="1">
      <alignment horizontal="center" vertical="center"/>
    </xf>
    <xf numFmtId="1" fontId="109" fillId="22" borderId="12" xfId="0" applyNumberFormat="1" applyFont="1" applyFill="1" applyBorder="1" applyAlignment="1">
      <alignment horizontal="center" vertical="center"/>
    </xf>
    <xf numFmtId="0" fontId="70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26" fillId="2" borderId="0" xfId="0" applyFont="1" applyFill="1" applyAlignment="1">
      <alignment horizontal="center"/>
    </xf>
    <xf numFmtId="14" fontId="80" fillId="22" borderId="10" xfId="0" applyNumberFormat="1" applyFont="1" applyFill="1" applyBorder="1" applyAlignment="1">
      <alignment horizontal="center" vertical="center"/>
    </xf>
    <xf numFmtId="14" fontId="80" fillId="22" borderId="17" xfId="0" applyNumberFormat="1" applyFont="1" applyFill="1" applyBorder="1" applyAlignment="1">
      <alignment horizontal="center" vertical="center"/>
    </xf>
    <xf numFmtId="14" fontId="78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80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80" fillId="23" borderId="17" xfId="0" applyNumberFormat="1" applyFont="1" applyFill="1" applyBorder="1" applyAlignment="1">
      <alignment horizontal="center" vertical="center"/>
    </xf>
    <xf numFmtId="14" fontId="109" fillId="23" borderId="17" xfId="0" applyNumberFormat="1" applyFont="1" applyFill="1" applyBorder="1" applyAlignment="1">
      <alignment horizontal="center" vertical="center"/>
    </xf>
    <xf numFmtId="14" fontId="81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81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79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79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09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102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74" fillId="22" borderId="12" xfId="0" applyNumberFormat="1" applyFont="1" applyFill="1" applyBorder="1" applyAlignment="1">
      <alignment horizontal="center" vertical="center" wrapText="1"/>
    </xf>
    <xf numFmtId="14" fontId="74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73" fillId="22" borderId="28" xfId="0" applyNumberFormat="1" applyFont="1" applyFill="1" applyBorder="1" applyAlignment="1">
      <alignment horizontal="center" vertical="center"/>
    </xf>
    <xf numFmtId="14" fontId="74" fillId="23" borderId="12" xfId="0" applyNumberFormat="1" applyFont="1" applyFill="1" applyBorder="1" applyAlignment="1">
      <alignment horizontal="center" vertical="center"/>
    </xf>
    <xf numFmtId="14" fontId="73" fillId="23" borderId="12" xfId="0" applyNumberFormat="1" applyFont="1" applyFill="1" applyBorder="1" applyAlignment="1">
      <alignment horizontal="center" vertical="center"/>
    </xf>
    <xf numFmtId="14" fontId="71" fillId="23" borderId="20" xfId="0" applyNumberFormat="1" applyFont="1" applyFill="1" applyBorder="1" applyAlignment="1">
      <alignment horizontal="center" vertical="center"/>
    </xf>
    <xf numFmtId="14" fontId="70" fillId="23" borderId="20" xfId="0" applyNumberFormat="1" applyFont="1" applyFill="1" applyBorder="1" applyAlignment="1">
      <alignment horizontal="center" vertical="center"/>
    </xf>
    <xf numFmtId="14" fontId="70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10" fillId="2" borderId="0" xfId="0" applyFont="1" applyFill="1"/>
    <xf numFmtId="0" fontId="110" fillId="22" borderId="10" xfId="0" applyFont="1" applyFill="1" applyBorder="1" applyAlignment="1">
      <alignment horizontal="center"/>
    </xf>
    <xf numFmtId="0" fontId="110" fillId="22" borderId="17" xfId="0" applyFont="1" applyFill="1" applyBorder="1" applyAlignment="1">
      <alignment horizontal="center"/>
    </xf>
    <xf numFmtId="0" fontId="110" fillId="23" borderId="10" xfId="0" applyFont="1" applyFill="1" applyBorder="1" applyAlignment="1">
      <alignment horizontal="center"/>
    </xf>
    <xf numFmtId="0" fontId="110" fillId="23" borderId="17" xfId="0" applyFont="1" applyFill="1" applyBorder="1" applyAlignment="1">
      <alignment horizontal="center"/>
    </xf>
    <xf numFmtId="0" fontId="110" fillId="23" borderId="28" xfId="0" applyFont="1" applyFill="1" applyBorder="1" applyAlignment="1">
      <alignment horizontal="center"/>
    </xf>
    <xf numFmtId="0" fontId="110" fillId="23" borderId="20" xfId="0" applyFont="1" applyFill="1" applyBorder="1" applyAlignment="1">
      <alignment horizontal="center"/>
    </xf>
    <xf numFmtId="0" fontId="110" fillId="22" borderId="12" xfId="0" applyFont="1" applyFill="1" applyBorder="1" applyAlignment="1">
      <alignment horizontal="center"/>
    </xf>
    <xf numFmtId="0" fontId="110" fillId="22" borderId="28" xfId="0" applyFont="1" applyFill="1" applyBorder="1" applyAlignment="1">
      <alignment horizontal="center"/>
    </xf>
    <xf numFmtId="0" fontId="110" fillId="23" borderId="12" xfId="0" applyFont="1" applyFill="1" applyBorder="1" applyAlignment="1">
      <alignment horizontal="center"/>
    </xf>
    <xf numFmtId="0" fontId="110" fillId="2" borderId="20" xfId="0" applyFont="1" applyFill="1" applyBorder="1" applyAlignment="1">
      <alignment horizontal="center"/>
    </xf>
    <xf numFmtId="0" fontId="110" fillId="2" borderId="10" xfId="0" applyFont="1" applyFill="1" applyBorder="1" applyAlignment="1">
      <alignment horizontal="center"/>
    </xf>
    <xf numFmtId="14" fontId="77" fillId="22" borderId="12" xfId="0" applyNumberFormat="1" applyFont="1" applyFill="1" applyBorder="1" applyAlignment="1">
      <alignment horizontal="center" vertical="center" wrapText="1"/>
    </xf>
    <xf numFmtId="14" fontId="72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70" fillId="22" borderId="12" xfId="0" applyNumberFormat="1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14" fontId="68" fillId="22" borderId="12" xfId="0" applyNumberFormat="1" applyFont="1" applyFill="1" applyBorder="1" applyAlignment="1">
      <alignment horizontal="center" vertical="center"/>
    </xf>
    <xf numFmtId="14" fontId="100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10" fillId="2" borderId="0" xfId="0" applyFont="1" applyFill="1" applyAlignment="1">
      <alignment horizontal="center" vertical="center"/>
    </xf>
    <xf numFmtId="0" fontId="110" fillId="3" borderId="0" xfId="0" applyFont="1" applyFill="1" applyAlignment="1">
      <alignment horizontal="center" vertical="center"/>
    </xf>
    <xf numFmtId="20" fontId="106" fillId="22" borderId="12" xfId="0" applyNumberFormat="1" applyFont="1" applyFill="1" applyBorder="1" applyAlignment="1">
      <alignment horizontal="center" vertical="center"/>
    </xf>
    <xf numFmtId="0" fontId="80" fillId="22" borderId="12" xfId="0" applyFont="1" applyFill="1" applyBorder="1" applyAlignment="1">
      <alignment horizontal="left" vertical="top" wrapText="1"/>
    </xf>
    <xf numFmtId="0" fontId="79" fillId="22" borderId="12" xfId="0" applyFont="1" applyFill="1" applyBorder="1" applyAlignment="1">
      <alignment horizontal="left" vertical="center" wrapText="1"/>
    </xf>
    <xf numFmtId="0" fontId="79" fillId="23" borderId="12" xfId="0" applyFont="1" applyFill="1" applyBorder="1" applyAlignment="1">
      <alignment horizontal="left" vertical="center" wrapText="1"/>
    </xf>
    <xf numFmtId="20" fontId="103" fillId="23" borderId="12" xfId="0" applyNumberFormat="1" applyFont="1" applyFill="1" applyBorder="1" applyAlignment="1">
      <alignment horizontal="center" vertical="center"/>
    </xf>
    <xf numFmtId="0" fontId="79" fillId="23" borderId="12" xfId="0" applyFont="1" applyFill="1" applyBorder="1" applyAlignment="1">
      <alignment horizontal="left" vertical="center"/>
    </xf>
    <xf numFmtId="0" fontId="106" fillId="22" borderId="12" xfId="0" applyFont="1" applyFill="1" applyBorder="1" applyAlignment="1">
      <alignment horizontal="center" vertical="center"/>
    </xf>
    <xf numFmtId="0" fontId="105" fillId="22" borderId="12" xfId="0" applyFont="1" applyFill="1" applyBorder="1" applyAlignment="1">
      <alignment horizontal="center" vertical="center"/>
    </xf>
    <xf numFmtId="0" fontId="105" fillId="23" borderId="12" xfId="0" applyFont="1" applyFill="1" applyBorder="1" applyAlignment="1">
      <alignment horizontal="center" vertical="center"/>
    </xf>
    <xf numFmtId="0" fontId="104" fillId="23" borderId="12" xfId="0" applyFont="1" applyFill="1" applyBorder="1" applyAlignment="1">
      <alignment horizontal="center" vertical="center"/>
    </xf>
    <xf numFmtId="0" fontId="103" fillId="23" borderId="12" xfId="0" applyFont="1" applyFill="1" applyBorder="1" applyAlignment="1">
      <alignment horizontal="center" vertical="center"/>
    </xf>
    <xf numFmtId="0" fontId="99" fillId="2" borderId="12" xfId="0" applyFont="1" applyFill="1" applyBorder="1" applyAlignment="1">
      <alignment horizontal="center" vertical="center"/>
    </xf>
    <xf numFmtId="0" fontId="99" fillId="23" borderId="12" xfId="0" applyFont="1" applyFill="1" applyBorder="1" applyAlignment="1">
      <alignment horizontal="center" vertical="center"/>
    </xf>
    <xf numFmtId="14" fontId="74" fillId="22" borderId="12" xfId="0" applyNumberFormat="1" applyFont="1" applyFill="1" applyBorder="1" applyAlignment="1">
      <alignment horizontal="center" vertical="center"/>
    </xf>
    <xf numFmtId="14" fontId="101" fillId="22" borderId="12" xfId="0" applyNumberFormat="1" applyFont="1" applyFill="1" applyBorder="1" applyAlignment="1">
      <alignment horizontal="center" vertical="center"/>
    </xf>
    <xf numFmtId="0" fontId="102" fillId="22" borderId="12" xfId="0" applyFont="1" applyFill="1" applyBorder="1" applyAlignment="1">
      <alignment horizontal="center" vertical="center"/>
    </xf>
    <xf numFmtId="0" fontId="77" fillId="22" borderId="12" xfId="0" applyFont="1" applyFill="1" applyBorder="1" applyAlignment="1">
      <alignment horizontal="left" vertical="center" wrapText="1"/>
    </xf>
    <xf numFmtId="0" fontId="74" fillId="22" borderId="12" xfId="0" applyFont="1" applyFill="1" applyBorder="1" applyAlignment="1">
      <alignment horizontal="center" vertical="center"/>
    </xf>
    <xf numFmtId="0" fontId="74" fillId="22" borderId="12" xfId="0" applyFont="1" applyFill="1" applyBorder="1" applyAlignment="1">
      <alignment horizontal="left" vertical="center" wrapText="1"/>
    </xf>
    <xf numFmtId="0" fontId="100" fillId="22" borderId="12" xfId="0" applyFont="1" applyFill="1" applyBorder="1" applyAlignment="1">
      <alignment horizontal="center" vertical="center"/>
    </xf>
    <xf numFmtId="0" fontId="70" fillId="22" borderId="12" xfId="0" applyFont="1" applyFill="1" applyBorder="1" applyAlignment="1">
      <alignment horizontal="left" vertical="center" wrapText="1"/>
    </xf>
    <xf numFmtId="0" fontId="100" fillId="23" borderId="12" xfId="0" applyFont="1" applyFill="1" applyBorder="1" applyAlignment="1">
      <alignment horizontal="center" vertical="center"/>
    </xf>
    <xf numFmtId="0" fontId="73" fillId="23" borderId="12" xfId="0" applyFont="1" applyFill="1" applyBorder="1" applyAlignment="1">
      <alignment horizontal="left" vertical="center" wrapText="1"/>
    </xf>
    <xf numFmtId="0" fontId="70" fillId="23" borderId="12" xfId="0" applyFont="1" applyFill="1" applyBorder="1" applyAlignment="1">
      <alignment horizontal="center" vertical="center"/>
    </xf>
    <xf numFmtId="0" fontId="99" fillId="22" borderId="12" xfId="0" applyFont="1" applyFill="1" applyBorder="1" applyAlignment="1">
      <alignment horizontal="center" vertical="center"/>
    </xf>
    <xf numFmtId="0" fontId="68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97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67" fillId="2" borderId="20" xfId="0" applyNumberFormat="1" applyFont="1" applyFill="1" applyBorder="1" applyAlignment="1">
      <alignment horizontal="center" vertical="center"/>
    </xf>
    <xf numFmtId="14" fontId="67" fillId="23" borderId="12" xfId="0" applyNumberFormat="1" applyFont="1" applyFill="1" applyBorder="1" applyAlignment="1">
      <alignment horizontal="center" vertical="center"/>
    </xf>
    <xf numFmtId="1" fontId="109" fillId="23" borderId="28" xfId="0" applyNumberFormat="1" applyFont="1" applyFill="1" applyBorder="1" applyAlignment="1">
      <alignment horizontal="center" vertical="center"/>
    </xf>
    <xf numFmtId="0" fontId="96" fillId="23" borderId="20" xfId="0" applyFont="1" applyFill="1" applyBorder="1" applyAlignment="1">
      <alignment horizontal="center" vertical="center"/>
    </xf>
    <xf numFmtId="20" fontId="109" fillId="23" borderId="20" xfId="0" applyNumberFormat="1" applyFont="1" applyFill="1" applyBorder="1" applyAlignment="1">
      <alignment horizontal="center" vertical="center"/>
    </xf>
    <xf numFmtId="0" fontId="95" fillId="23" borderId="28" xfId="0" applyFont="1" applyFill="1" applyBorder="1" applyAlignment="1">
      <alignment horizontal="center" vertical="center"/>
    </xf>
    <xf numFmtId="20" fontId="109" fillId="23" borderId="28" xfId="0" applyNumberFormat="1" applyFont="1" applyFill="1" applyBorder="1" applyAlignment="1">
      <alignment horizontal="center" vertical="center"/>
    </xf>
    <xf numFmtId="0" fontId="95" fillId="23" borderId="70" xfId="0" applyFont="1" applyFill="1" applyBorder="1" applyAlignment="1">
      <alignment horizontal="center" vertical="center"/>
    </xf>
    <xf numFmtId="20" fontId="109" fillId="23" borderId="70" xfId="0" applyNumberFormat="1" applyFont="1" applyFill="1" applyBorder="1" applyAlignment="1">
      <alignment horizontal="center" vertical="center"/>
    </xf>
    <xf numFmtId="1" fontId="109" fillId="23" borderId="70" xfId="0" applyNumberFormat="1" applyFont="1" applyFill="1" applyBorder="1" applyAlignment="1">
      <alignment horizontal="center" vertical="center"/>
    </xf>
    <xf numFmtId="0" fontId="67" fillId="23" borderId="70" xfId="0" applyFont="1" applyFill="1" applyBorder="1" applyAlignment="1">
      <alignment horizontal="left" vertical="center" wrapText="1"/>
    </xf>
    <xf numFmtId="1" fontId="109" fillId="22" borderId="7" xfId="0" applyNumberFormat="1" applyFont="1" applyFill="1" applyBorder="1" applyAlignment="1">
      <alignment horizontal="center" vertical="center"/>
    </xf>
    <xf numFmtId="0" fontId="110" fillId="22" borderId="20" xfId="0" applyFont="1" applyFill="1" applyBorder="1" applyAlignment="1">
      <alignment horizontal="left"/>
    </xf>
    <xf numFmtId="0" fontId="67" fillId="22" borderId="68" xfId="0" applyFont="1" applyFill="1" applyBorder="1" applyAlignment="1">
      <alignment horizontal="left" vertical="center" wrapText="1"/>
    </xf>
    <xf numFmtId="1" fontId="109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66" fillId="22" borderId="12" xfId="0" applyNumberFormat="1" applyFont="1" applyFill="1" applyBorder="1" applyAlignment="1">
      <alignment horizontal="left" vertical="center" wrapText="1"/>
    </xf>
    <xf numFmtId="0" fontId="65" fillId="23" borderId="68" xfId="0" applyFont="1" applyFill="1" applyBorder="1" applyAlignment="1">
      <alignment horizontal="left" vertical="center" wrapText="1"/>
    </xf>
    <xf numFmtId="0" fontId="65" fillId="23" borderId="28" xfId="0" applyFont="1" applyFill="1" applyBorder="1" applyAlignment="1">
      <alignment horizontal="left" vertical="center" wrapText="1"/>
    </xf>
    <xf numFmtId="0" fontId="115" fillId="24" borderId="47" xfId="0" applyFont="1" applyFill="1" applyBorder="1"/>
    <xf numFmtId="173" fontId="115" fillId="24" borderId="48" xfId="0" applyNumberFormat="1" applyFont="1" applyFill="1" applyBorder="1" applyAlignment="1">
      <alignment horizontal="center"/>
    </xf>
    <xf numFmtId="1" fontId="115" fillId="24" borderId="48" xfId="0" applyNumberFormat="1" applyFont="1" applyFill="1" applyBorder="1" applyAlignment="1">
      <alignment horizontal="center"/>
    </xf>
    <xf numFmtId="174" fontId="115" fillId="24" borderId="48" xfId="0" applyNumberFormat="1" applyFont="1" applyFill="1" applyBorder="1" applyAlignment="1">
      <alignment horizontal="center"/>
    </xf>
    <xf numFmtId="176" fontId="115" fillId="24" borderId="48" xfId="0" applyNumberFormat="1" applyFont="1" applyFill="1" applyBorder="1" applyAlignment="1">
      <alignment horizontal="center"/>
    </xf>
    <xf numFmtId="9" fontId="115" fillId="24" borderId="48" xfId="0" applyNumberFormat="1" applyFont="1" applyFill="1" applyBorder="1" applyAlignment="1">
      <alignment horizontal="center"/>
    </xf>
    <xf numFmtId="9" fontId="115" fillId="24" borderId="49" xfId="0" applyNumberFormat="1" applyFont="1" applyFill="1" applyBorder="1" applyAlignment="1">
      <alignment horizontal="center"/>
    </xf>
    <xf numFmtId="9" fontId="115" fillId="24" borderId="12" xfId="0" applyNumberFormat="1" applyFont="1" applyFill="1" applyBorder="1" applyAlignment="1">
      <alignment horizontal="center"/>
    </xf>
    <xf numFmtId="0" fontId="115" fillId="24" borderId="12" xfId="0" applyFont="1" applyFill="1" applyBorder="1"/>
    <xf numFmtId="0" fontId="115" fillId="24" borderId="48" xfId="0" applyFont="1" applyFill="1" applyBorder="1"/>
    <xf numFmtId="0" fontId="115" fillId="24" borderId="48" xfId="0" applyFont="1" applyFill="1" applyBorder="1" applyAlignment="1">
      <alignment horizontal="center"/>
    </xf>
    <xf numFmtId="0" fontId="115" fillId="24" borderId="0" xfId="0" applyFont="1" applyFill="1"/>
    <xf numFmtId="0" fontId="0" fillId="24" borderId="0" xfId="0" applyFill="1"/>
    <xf numFmtId="0" fontId="115" fillId="24" borderId="47" xfId="0" applyFont="1" applyFill="1" applyBorder="1" applyAlignment="1">
      <alignment horizontal="center"/>
    </xf>
    <xf numFmtId="0" fontId="115" fillId="24" borderId="50" xfId="0" applyFont="1" applyFill="1" applyBorder="1" applyAlignment="1">
      <alignment horizontal="center"/>
    </xf>
    <xf numFmtId="1" fontId="115" fillId="24" borderId="50" xfId="0" applyNumberFormat="1" applyFont="1" applyFill="1" applyBorder="1" applyAlignment="1">
      <alignment horizontal="center"/>
    </xf>
    <xf numFmtId="176" fontId="115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15" fillId="24" borderId="49" xfId="0" applyFont="1" applyFill="1" applyBorder="1"/>
    <xf numFmtId="0" fontId="115" fillId="24" borderId="49" xfId="0" applyFont="1" applyFill="1" applyBorder="1" applyAlignment="1">
      <alignment horizontal="center"/>
    </xf>
    <xf numFmtId="9" fontId="115" fillId="24" borderId="47" xfId="0" applyNumberFormat="1" applyFont="1" applyFill="1" applyBorder="1" applyAlignment="1">
      <alignment horizontal="center"/>
    </xf>
    <xf numFmtId="2" fontId="115" fillId="24" borderId="48" xfId="0" applyNumberFormat="1" applyFont="1" applyFill="1" applyBorder="1" applyAlignment="1">
      <alignment horizontal="center"/>
    </xf>
    <xf numFmtId="1" fontId="115" fillId="24" borderId="47" xfId="0" applyNumberFormat="1" applyFont="1" applyFill="1" applyBorder="1" applyAlignment="1">
      <alignment horizontal="center"/>
    </xf>
    <xf numFmtId="1" fontId="115" fillId="24" borderId="12" xfId="0" applyNumberFormat="1" applyFont="1" applyFill="1" applyBorder="1" applyAlignment="1">
      <alignment horizontal="center"/>
    </xf>
    <xf numFmtId="0" fontId="115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10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63" fillId="2" borderId="17" xfId="0" applyNumberFormat="1" applyFont="1" applyFill="1" applyBorder="1" applyAlignment="1">
      <alignment horizontal="center" vertical="center"/>
    </xf>
    <xf numFmtId="0" fontId="110" fillId="17" borderId="0" xfId="0" applyFont="1" applyFill="1" applyAlignment="1">
      <alignment horizontal="center" vertical="center"/>
    </xf>
    <xf numFmtId="14" fontId="68" fillId="22" borderId="20" xfId="0" applyNumberFormat="1" applyFont="1" applyFill="1" applyBorder="1" applyAlignment="1">
      <alignment horizontal="center" vertical="center"/>
    </xf>
    <xf numFmtId="14" fontId="64" fillId="17" borderId="12" xfId="0" applyNumberFormat="1" applyFont="1" applyFill="1" applyBorder="1" applyAlignment="1">
      <alignment horizontal="center" vertical="center"/>
    </xf>
    <xf numFmtId="0" fontId="62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10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10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67" fillId="23" borderId="28" xfId="0" applyNumberFormat="1" applyFont="1" applyFill="1" applyBorder="1" applyAlignment="1">
      <alignment horizontal="left" vertical="center" wrapText="1"/>
    </xf>
    <xf numFmtId="0" fontId="110" fillId="23" borderId="21" xfId="0" applyFont="1" applyFill="1" applyBorder="1" applyAlignment="1">
      <alignment horizontal="center"/>
    </xf>
    <xf numFmtId="14" fontId="67" fillId="23" borderId="10" xfId="0" applyNumberFormat="1" applyFont="1" applyFill="1" applyBorder="1" applyAlignment="1">
      <alignment horizontal="center" vertical="center"/>
    </xf>
    <xf numFmtId="14" fontId="67" fillId="23" borderId="17" xfId="0" applyNumberFormat="1" applyFont="1" applyFill="1" applyBorder="1" applyAlignment="1">
      <alignment horizontal="left" vertical="center" wrapText="1"/>
    </xf>
    <xf numFmtId="14" fontId="63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61" fillId="17" borderId="28" xfId="0" applyNumberFormat="1" applyFont="1" applyFill="1" applyBorder="1" applyAlignment="1">
      <alignment horizontal="left" vertical="center" wrapText="1"/>
    </xf>
    <xf numFmtId="14" fontId="63" fillId="22" borderId="28" xfId="0" applyNumberFormat="1" applyFont="1" applyFill="1" applyBorder="1" applyAlignment="1">
      <alignment horizontal="center" vertical="center"/>
    </xf>
    <xf numFmtId="0" fontId="110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13" fillId="5" borderId="18" xfId="0" applyFont="1" applyFill="1" applyBorder="1"/>
    <xf numFmtId="0" fontId="113" fillId="5" borderId="67" xfId="0" applyFont="1" applyFill="1" applyBorder="1"/>
    <xf numFmtId="170" fontId="113" fillId="5" borderId="0" xfId="3" applyNumberFormat="1" applyFont="1" applyFill="1" applyBorder="1"/>
    <xf numFmtId="0" fontId="113" fillId="5" borderId="13" xfId="0" applyFont="1" applyFill="1" applyBorder="1"/>
    <xf numFmtId="0" fontId="113" fillId="5" borderId="51" xfId="0" applyFont="1" applyFill="1" applyBorder="1"/>
    <xf numFmtId="0" fontId="113" fillId="5" borderId="26" xfId="0" applyFont="1" applyFill="1" applyBorder="1"/>
    <xf numFmtId="181" fontId="0" fillId="2" borderId="0" xfId="0" applyNumberFormat="1" applyFill="1"/>
    <xf numFmtId="0" fontId="114" fillId="5" borderId="0" xfId="0" applyFont="1" applyFill="1"/>
    <xf numFmtId="169" fontId="113" fillId="5" borderId="0" xfId="3" applyNumberFormat="1" applyFont="1" applyFill="1" applyBorder="1"/>
    <xf numFmtId="10" fontId="114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12" fillId="2" borderId="0" xfId="0" applyFont="1" applyFill="1"/>
    <xf numFmtId="180" fontId="113" fillId="0" borderId="72" xfId="3" applyNumberFormat="1" applyFont="1" applyFill="1" applyBorder="1"/>
    <xf numFmtId="0" fontId="110" fillId="3" borderId="71" xfId="0" applyFont="1" applyFill="1" applyBorder="1"/>
    <xf numFmtId="178" fontId="0" fillId="2" borderId="72" xfId="0" applyNumberFormat="1" applyFill="1" applyBorder="1"/>
    <xf numFmtId="0" fontId="113" fillId="23" borderId="18" xfId="0" applyFont="1" applyFill="1" applyBorder="1"/>
    <xf numFmtId="0" fontId="113" fillId="23" borderId="0" xfId="0" applyFont="1" applyFill="1"/>
    <xf numFmtId="171" fontId="113" fillId="23" borderId="0" xfId="0" applyNumberFormat="1" applyFont="1" applyFill="1"/>
    <xf numFmtId="0" fontId="113" fillId="23" borderId="67" xfId="0" applyFont="1" applyFill="1" applyBorder="1"/>
    <xf numFmtId="172" fontId="113" fillId="23" borderId="0" xfId="0" applyNumberFormat="1" applyFont="1" applyFill="1"/>
    <xf numFmtId="1" fontId="109" fillId="23" borderId="20" xfId="0" applyNumberFormat="1" applyFont="1" applyFill="1" applyBorder="1" applyAlignment="1">
      <alignment horizontal="center" vertical="center"/>
    </xf>
    <xf numFmtId="0" fontId="65" fillId="23" borderId="20" xfId="0" applyFont="1" applyFill="1" applyBorder="1" applyAlignment="1">
      <alignment horizontal="left" vertical="center"/>
    </xf>
    <xf numFmtId="14" fontId="109" fillId="23" borderId="74" xfId="0" applyNumberFormat="1" applyFont="1" applyFill="1" applyBorder="1" applyAlignment="1">
      <alignment horizontal="center" vertical="center"/>
    </xf>
    <xf numFmtId="20" fontId="109" fillId="23" borderId="74" xfId="0" applyNumberFormat="1" applyFont="1" applyFill="1" applyBorder="1" applyAlignment="1">
      <alignment horizontal="center" vertical="center"/>
    </xf>
    <xf numFmtId="1" fontId="109" fillId="23" borderId="74" xfId="0" applyNumberFormat="1" applyFont="1" applyFill="1" applyBorder="1" applyAlignment="1">
      <alignment horizontal="center" vertical="center"/>
    </xf>
    <xf numFmtId="0" fontId="68" fillId="23" borderId="74" xfId="0" applyFont="1" applyFill="1" applyBorder="1" applyAlignment="1">
      <alignment horizontal="left" vertical="center" wrapText="1"/>
    </xf>
    <xf numFmtId="0" fontId="94" fillId="23" borderId="76" xfId="0" applyFont="1" applyFill="1" applyBorder="1" applyAlignment="1">
      <alignment horizontal="center" vertical="center"/>
    </xf>
    <xf numFmtId="20" fontId="109" fillId="23" borderId="76" xfId="0" applyNumberFormat="1" applyFont="1" applyFill="1" applyBorder="1" applyAlignment="1">
      <alignment horizontal="center" vertical="center"/>
    </xf>
    <xf numFmtId="1" fontId="109" fillId="23" borderId="76" xfId="0" applyNumberFormat="1" applyFont="1" applyFill="1" applyBorder="1" applyAlignment="1">
      <alignment horizontal="center" vertical="center"/>
    </xf>
    <xf numFmtId="0" fontId="94" fillId="23" borderId="76" xfId="0" applyFont="1" applyFill="1" applyBorder="1" applyAlignment="1">
      <alignment horizontal="left" vertical="center"/>
    </xf>
    <xf numFmtId="20" fontId="109" fillId="22" borderId="28" xfId="0" applyNumberFormat="1" applyFont="1" applyFill="1" applyBorder="1" applyAlignment="1">
      <alignment horizontal="center" vertical="center"/>
    </xf>
    <xf numFmtId="1" fontId="109" fillId="22" borderId="28" xfId="0" applyNumberFormat="1" applyFont="1" applyFill="1" applyBorder="1" applyAlignment="1">
      <alignment horizontal="center" vertical="center"/>
    </xf>
    <xf numFmtId="0" fontId="61" fillId="22" borderId="28" xfId="0" applyFont="1" applyFill="1" applyBorder="1" applyAlignment="1">
      <alignment horizontal="center" vertical="center"/>
    </xf>
    <xf numFmtId="14" fontId="81" fillId="22" borderId="12" xfId="0" applyNumberFormat="1" applyFont="1" applyFill="1" applyBorder="1" applyAlignment="1">
      <alignment horizontal="center" vertical="center"/>
    </xf>
    <xf numFmtId="14" fontId="80" fillId="22" borderId="12" xfId="0" applyNumberFormat="1" applyFont="1" applyFill="1" applyBorder="1" applyAlignment="1">
      <alignment horizontal="center" vertical="center"/>
    </xf>
    <xf numFmtId="14" fontId="80" fillId="23" borderId="12" xfId="0" applyNumberFormat="1" applyFont="1" applyFill="1" applyBorder="1" applyAlignment="1">
      <alignment horizontal="center" vertical="center"/>
    </xf>
    <xf numFmtId="14" fontId="79" fillId="23" borderId="12" xfId="0" applyNumberFormat="1" applyFont="1" applyFill="1" applyBorder="1" applyAlignment="1">
      <alignment horizontal="center" vertical="center"/>
    </xf>
    <xf numFmtId="0" fontId="110" fillId="2" borderId="12" xfId="0" applyFont="1" applyFill="1" applyBorder="1" applyAlignment="1">
      <alignment horizontal="center" vertical="center"/>
    </xf>
    <xf numFmtId="14" fontId="73" fillId="22" borderId="12" xfId="0" applyNumberFormat="1" applyFont="1" applyFill="1" applyBorder="1" applyAlignment="1">
      <alignment horizontal="center" vertical="center"/>
    </xf>
    <xf numFmtId="14" fontId="71" fillId="23" borderId="12" xfId="0" applyNumberFormat="1" applyFont="1" applyFill="1" applyBorder="1" applyAlignment="1">
      <alignment horizontal="center" vertical="center"/>
    </xf>
    <xf numFmtId="14" fontId="70" fillId="23" borderId="12" xfId="0" applyNumberFormat="1" applyFont="1" applyFill="1" applyBorder="1" applyAlignment="1">
      <alignment horizontal="center" vertical="center"/>
    </xf>
    <xf numFmtId="14" fontId="72" fillId="23" borderId="12" xfId="0" applyNumberFormat="1" applyFont="1" applyFill="1" applyBorder="1" applyAlignment="1">
      <alignment horizontal="center" vertical="center" wrapText="1"/>
    </xf>
    <xf numFmtId="14" fontId="70" fillId="2" borderId="12" xfId="0" applyNumberFormat="1" applyFont="1" applyFill="1" applyBorder="1" applyAlignment="1">
      <alignment horizontal="center" vertical="center"/>
    </xf>
    <xf numFmtId="14" fontId="67" fillId="2" borderId="12" xfId="0" applyNumberFormat="1" applyFont="1" applyFill="1" applyBorder="1" applyAlignment="1">
      <alignment horizontal="center" vertical="center"/>
    </xf>
    <xf numFmtId="14" fontId="67" fillId="23" borderId="12" xfId="0" applyNumberFormat="1" applyFont="1" applyFill="1" applyBorder="1" applyAlignment="1">
      <alignment horizontal="left" vertical="center" wrapText="1"/>
    </xf>
    <xf numFmtId="14" fontId="63" fillId="23" borderId="12" xfId="0" applyNumberFormat="1" applyFont="1" applyFill="1" applyBorder="1" applyAlignment="1">
      <alignment horizontal="center" vertical="center"/>
    </xf>
    <xf numFmtId="14" fontId="63" fillId="2" borderId="12" xfId="0" applyNumberFormat="1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0" fontId="60" fillId="23" borderId="20" xfId="0" applyFont="1" applyFill="1" applyBorder="1" applyAlignment="1">
      <alignment horizontal="center" vertical="center"/>
    </xf>
    <xf numFmtId="0" fontId="60" fillId="23" borderId="74" xfId="0" applyFont="1" applyFill="1" applyBorder="1" applyAlignment="1">
      <alignment horizontal="center" vertical="center"/>
    </xf>
    <xf numFmtId="0" fontId="60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98" fillId="22" borderId="12" xfId="0" applyNumberFormat="1" applyFont="1" applyFill="1" applyBorder="1" applyAlignment="1">
      <alignment horizontal="center" vertical="center"/>
    </xf>
    <xf numFmtId="14" fontId="110" fillId="22" borderId="12" xfId="0" applyNumberFormat="1" applyFont="1" applyFill="1" applyBorder="1" applyAlignment="1">
      <alignment horizontal="center" vertical="center"/>
    </xf>
    <xf numFmtId="9" fontId="110" fillId="22" borderId="12" xfId="0" applyNumberFormat="1" applyFont="1" applyFill="1" applyBorder="1" applyAlignment="1">
      <alignment horizontal="center"/>
    </xf>
    <xf numFmtId="1" fontId="110" fillId="22" borderId="27" xfId="0" applyNumberFormat="1" applyFont="1" applyFill="1" applyBorder="1" applyAlignment="1">
      <alignment horizontal="center" vertical="center"/>
    </xf>
    <xf numFmtId="1" fontId="110" fillId="22" borderId="12" xfId="0" applyNumberFormat="1" applyFont="1" applyFill="1" applyBorder="1" applyAlignment="1">
      <alignment horizontal="center"/>
    </xf>
    <xf numFmtId="176" fontId="110" fillId="22" borderId="23" xfId="0" applyNumberFormat="1" applyFont="1" applyFill="1" applyBorder="1" applyAlignment="1">
      <alignment horizontal="center" vertical="center"/>
    </xf>
    <xf numFmtId="176" fontId="110" fillId="22" borderId="11" xfId="0" applyNumberFormat="1" applyFont="1" applyFill="1" applyBorder="1" applyAlignment="1">
      <alignment horizontal="center" vertical="center"/>
    </xf>
    <xf numFmtId="176" fontId="110" fillId="22" borderId="25" xfId="0" applyNumberFormat="1" applyFont="1" applyFill="1" applyBorder="1" applyAlignment="1">
      <alignment horizontal="center" vertical="center"/>
    </xf>
    <xf numFmtId="176" fontId="110" fillId="22" borderId="54" xfId="0" applyNumberFormat="1" applyFont="1" applyFill="1" applyBorder="1" applyAlignment="1">
      <alignment horizontal="center" vertical="center"/>
    </xf>
    <xf numFmtId="14" fontId="96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60" fillId="23" borderId="10" xfId="0" applyNumberFormat="1" applyFont="1" applyFill="1" applyBorder="1" applyAlignment="1">
      <alignment horizontal="left" vertical="center" wrapText="1"/>
    </xf>
    <xf numFmtId="14" fontId="60" fillId="22" borderId="28" xfId="0" applyNumberFormat="1" applyFont="1" applyFill="1" applyBorder="1" applyAlignment="1">
      <alignment horizontal="center" vertical="center"/>
    </xf>
    <xf numFmtId="0" fontId="110" fillId="23" borderId="12" xfId="0" applyFont="1" applyFill="1" applyBorder="1" applyAlignment="1">
      <alignment horizontal="center" vertical="center"/>
    </xf>
    <xf numFmtId="0" fontId="110" fillId="2" borderId="7" xfId="0" applyFont="1" applyFill="1" applyBorder="1" applyAlignment="1">
      <alignment horizontal="center"/>
    </xf>
    <xf numFmtId="0" fontId="103" fillId="22" borderId="12" xfId="0" applyFont="1" applyFill="1" applyBorder="1" applyAlignment="1">
      <alignment horizontal="center" vertical="center"/>
    </xf>
    <xf numFmtId="20" fontId="103" fillId="22" borderId="12" xfId="0" applyNumberFormat="1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left" vertical="center"/>
    </xf>
    <xf numFmtId="14" fontId="64" fillId="23" borderId="12" xfId="0" applyNumberFormat="1" applyFont="1" applyFill="1" applyBorder="1" applyAlignment="1">
      <alignment horizontal="center" vertical="center"/>
    </xf>
    <xf numFmtId="14" fontId="80" fillId="23" borderId="20" xfId="0" applyNumberFormat="1" applyFont="1" applyFill="1" applyBorder="1" applyAlignment="1">
      <alignment horizontal="center" vertical="center"/>
    </xf>
    <xf numFmtId="14" fontId="79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78" fillId="2" borderId="28" xfId="0" applyNumberFormat="1" applyFont="1" applyFill="1" applyBorder="1" applyAlignment="1">
      <alignment horizontal="center" vertical="center"/>
    </xf>
    <xf numFmtId="0" fontId="110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102" fillId="23" borderId="76" xfId="0" applyNumberFormat="1" applyFont="1" applyFill="1" applyBorder="1" applyAlignment="1">
      <alignment horizontal="center" vertical="center"/>
    </xf>
    <xf numFmtId="0" fontId="110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10" fillId="3" borderId="30" xfId="0" applyFont="1" applyFill="1" applyBorder="1" applyAlignment="1">
      <alignment horizontal="center" vertical="center"/>
    </xf>
    <xf numFmtId="0" fontId="110" fillId="3" borderId="31" xfId="0" applyFont="1" applyFill="1" applyBorder="1" applyAlignment="1">
      <alignment horizontal="center" vertical="center"/>
    </xf>
    <xf numFmtId="0" fontId="110" fillId="3" borderId="20" xfId="0" applyFont="1" applyFill="1" applyBorder="1" applyAlignment="1">
      <alignment horizontal="center" vertical="center"/>
    </xf>
    <xf numFmtId="0" fontId="110" fillId="3" borderId="20" xfId="0" applyFont="1" applyFill="1" applyBorder="1" applyAlignment="1">
      <alignment horizontal="center" vertical="center" wrapText="1"/>
    </xf>
    <xf numFmtId="1" fontId="110" fillId="23" borderId="74" xfId="0" applyNumberFormat="1" applyFont="1" applyFill="1" applyBorder="1" applyAlignment="1">
      <alignment horizontal="center"/>
    </xf>
    <xf numFmtId="1" fontId="110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57" fillId="22" borderId="12" xfId="0" applyFont="1" applyFill="1" applyBorder="1" applyAlignment="1">
      <alignment horizontal="center" vertical="center"/>
    </xf>
    <xf numFmtId="0" fontId="57" fillId="22" borderId="12" xfId="0" applyFont="1" applyFill="1" applyBorder="1" applyAlignment="1">
      <alignment horizontal="left" vertical="center" wrapText="1"/>
    </xf>
    <xf numFmtId="14" fontId="58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10" fillId="23" borderId="7" xfId="0" applyFont="1" applyFill="1" applyBorder="1" applyAlignment="1">
      <alignment horizontal="center"/>
    </xf>
    <xf numFmtId="14" fontId="110" fillId="23" borderId="12" xfId="0" applyNumberFormat="1" applyFont="1" applyFill="1" applyBorder="1" applyAlignment="1">
      <alignment horizontal="center" vertical="center"/>
    </xf>
    <xf numFmtId="176" fontId="110" fillId="23" borderId="25" xfId="0" applyNumberFormat="1" applyFont="1" applyFill="1" applyBorder="1" applyAlignment="1">
      <alignment horizontal="center" vertical="center"/>
    </xf>
    <xf numFmtId="0" fontId="56" fillId="22" borderId="12" xfId="0" applyFont="1" applyFill="1" applyBorder="1" applyAlignment="1">
      <alignment horizontal="center" vertical="center"/>
    </xf>
    <xf numFmtId="166" fontId="109" fillId="23" borderId="12" xfId="0" applyNumberFormat="1" applyFont="1" applyFill="1" applyBorder="1" applyAlignment="1">
      <alignment horizontal="center" vertical="center"/>
    </xf>
    <xf numFmtId="0" fontId="56" fillId="23" borderId="12" xfId="0" applyFont="1" applyFill="1" applyBorder="1" applyAlignment="1">
      <alignment horizontal="center" vertical="center"/>
    </xf>
    <xf numFmtId="0" fontId="56" fillId="23" borderId="12" xfId="0" applyFont="1" applyFill="1" applyBorder="1" applyAlignment="1">
      <alignment horizontal="left" vertical="center" wrapText="1"/>
    </xf>
    <xf numFmtId="0" fontId="55" fillId="2" borderId="7" xfId="0" applyFont="1" applyFill="1" applyBorder="1" applyAlignment="1">
      <alignment vertical="center"/>
    </xf>
    <xf numFmtId="0" fontId="54" fillId="22" borderId="12" xfId="0" applyFont="1" applyFill="1" applyBorder="1" applyAlignment="1">
      <alignment horizontal="left" vertical="center" wrapText="1"/>
    </xf>
    <xf numFmtId="0" fontId="54" fillId="23" borderId="12" xfId="0" applyFont="1" applyFill="1" applyBorder="1" applyAlignment="1">
      <alignment horizontal="center" vertical="center"/>
    </xf>
    <xf numFmtId="0" fontId="54" fillId="23" borderId="12" xfId="0" applyFont="1" applyFill="1" applyBorder="1" applyAlignment="1">
      <alignment horizontal="left" vertical="center"/>
    </xf>
    <xf numFmtId="14" fontId="110" fillId="22" borderId="12" xfId="0" applyNumberFormat="1" applyFont="1" applyFill="1" applyBorder="1" applyAlignment="1">
      <alignment horizontal="center" vertical="center" wrapText="1"/>
    </xf>
    <xf numFmtId="14" fontId="67" fillId="23" borderId="12" xfId="0" applyNumberFormat="1" applyFont="1" applyFill="1" applyBorder="1" applyAlignment="1">
      <alignment horizontal="center" vertical="center" wrapText="1"/>
    </xf>
    <xf numFmtId="14" fontId="66" fillId="22" borderId="12" xfId="0" applyNumberFormat="1" applyFont="1" applyFill="1" applyBorder="1" applyAlignment="1">
      <alignment horizontal="center" vertical="center" wrapText="1"/>
    </xf>
    <xf numFmtId="0" fontId="53" fillId="23" borderId="12" xfId="0" applyFont="1" applyFill="1" applyBorder="1" applyAlignment="1">
      <alignment horizontal="center" vertical="center"/>
    </xf>
    <xf numFmtId="0" fontId="53" fillId="23" borderId="12" xfId="0" applyFont="1" applyFill="1" applyBorder="1" applyAlignment="1">
      <alignment horizontal="left" vertical="center" wrapText="1"/>
    </xf>
    <xf numFmtId="0" fontId="133" fillId="2" borderId="1" xfId="0" applyFont="1" applyFill="1" applyBorder="1"/>
    <xf numFmtId="0" fontId="133" fillId="2" borderId="2" xfId="0" applyFont="1" applyFill="1" applyBorder="1"/>
    <xf numFmtId="0" fontId="133" fillId="2" borderId="3" xfId="0" applyFont="1" applyFill="1" applyBorder="1"/>
    <xf numFmtId="0" fontId="133" fillId="2" borderId="0" xfId="0" applyFont="1" applyFill="1"/>
    <xf numFmtId="0" fontId="134" fillId="2" borderId="18" xfId="0" applyFont="1" applyFill="1" applyBorder="1" applyAlignment="1">
      <alignment horizontal="center"/>
    </xf>
    <xf numFmtId="0" fontId="135" fillId="2" borderId="18" xfId="0" applyFont="1" applyFill="1" applyBorder="1"/>
    <xf numFmtId="0" fontId="134" fillId="2" borderId="1" xfId="0" applyFont="1" applyFill="1" applyBorder="1"/>
    <xf numFmtId="0" fontId="134" fillId="2" borderId="2" xfId="0" applyFont="1" applyFill="1" applyBorder="1"/>
    <xf numFmtId="0" fontId="134" fillId="2" borderId="3" xfId="0" applyFont="1" applyFill="1" applyBorder="1"/>
    <xf numFmtId="0" fontId="134" fillId="2" borderId="0" xfId="0" applyFont="1" applyFill="1"/>
    <xf numFmtId="0" fontId="133" fillId="2" borderId="18" xfId="0" applyFont="1" applyFill="1" applyBorder="1"/>
    <xf numFmtId="0" fontId="133" fillId="2" borderId="67" xfId="0" applyFont="1" applyFill="1" applyBorder="1"/>
    <xf numFmtId="0" fontId="134" fillId="4" borderId="12" xfId="0" applyFont="1" applyFill="1" applyBorder="1" applyAlignment="1">
      <alignment horizontal="center"/>
    </xf>
    <xf numFmtId="0" fontId="133" fillId="2" borderId="18" xfId="0" applyFont="1" applyFill="1" applyBorder="1" applyAlignment="1">
      <alignment horizontal="center"/>
    </xf>
    <xf numFmtId="0" fontId="135" fillId="2" borderId="12" xfId="0" applyFont="1" applyFill="1" applyBorder="1" applyAlignment="1">
      <alignment horizontal="center"/>
    </xf>
    <xf numFmtId="0" fontId="133" fillId="2" borderId="12" xfId="0" applyFont="1" applyFill="1" applyBorder="1" applyAlignment="1">
      <alignment horizontal="center"/>
    </xf>
    <xf numFmtId="0" fontId="133" fillId="2" borderId="12" xfId="0" applyFont="1" applyFill="1" applyBorder="1"/>
    <xf numFmtId="0" fontId="133" fillId="2" borderId="13" xfId="0" applyFont="1" applyFill="1" applyBorder="1"/>
    <xf numFmtId="0" fontId="133" fillId="2" borderId="51" xfId="0" applyFont="1" applyFill="1" applyBorder="1"/>
    <xf numFmtId="0" fontId="133" fillId="2" borderId="26" xfId="0" applyFont="1" applyFill="1" applyBorder="1"/>
    <xf numFmtId="14" fontId="135" fillId="2" borderId="12" xfId="0" applyNumberFormat="1" applyFont="1" applyFill="1" applyBorder="1" applyAlignment="1">
      <alignment horizontal="center"/>
    </xf>
    <xf numFmtId="14" fontId="133" fillId="2" borderId="12" xfId="0" applyNumberFormat="1" applyFont="1" applyFill="1" applyBorder="1" applyAlignment="1">
      <alignment horizontal="center"/>
    </xf>
    <xf numFmtId="0" fontId="110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52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25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25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25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10" fillId="22" borderId="12" xfId="0" applyNumberFormat="1" applyFont="1" applyFill="1" applyBorder="1" applyAlignment="1">
      <alignment horizontal="center" vertical="center"/>
    </xf>
    <xf numFmtId="9" fontId="110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10" fillId="3" borderId="12" xfId="0" applyFont="1" applyFill="1" applyBorder="1" applyAlignment="1">
      <alignment horizontal="center" vertical="center"/>
    </xf>
    <xf numFmtId="0" fontId="106" fillId="22" borderId="28" xfId="0" applyFont="1" applyFill="1" applyBorder="1" applyAlignment="1">
      <alignment horizontal="center" vertical="center"/>
    </xf>
    <xf numFmtId="20" fontId="106" fillId="22" borderId="28" xfId="0" applyNumberFormat="1" applyFont="1" applyFill="1" applyBorder="1" applyAlignment="1">
      <alignment horizontal="center" vertical="center"/>
    </xf>
    <xf numFmtId="0" fontId="80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10" fillId="3" borderId="12" xfId="0" applyFont="1" applyFill="1" applyBorder="1" applyAlignment="1">
      <alignment horizontal="center" vertical="center" wrapText="1"/>
    </xf>
    <xf numFmtId="14" fontId="110" fillId="22" borderId="28" xfId="0" applyNumberFormat="1" applyFont="1" applyFill="1" applyBorder="1" applyAlignment="1">
      <alignment horizontal="center" vertical="center"/>
    </xf>
    <xf numFmtId="14" fontId="110" fillId="2" borderId="12" xfId="0" applyNumberFormat="1" applyFont="1" applyFill="1" applyBorder="1" applyAlignment="1">
      <alignment horizontal="center" vertical="center"/>
    </xf>
    <xf numFmtId="0" fontId="110" fillId="2" borderId="20" xfId="0" applyFont="1" applyFill="1" applyBorder="1" applyAlignment="1">
      <alignment horizontal="center" vertical="center"/>
    </xf>
    <xf numFmtId="0" fontId="110" fillId="2" borderId="28" xfId="0" applyFont="1" applyFill="1" applyBorder="1" applyAlignment="1">
      <alignment horizontal="center" vertical="center"/>
    </xf>
    <xf numFmtId="14" fontId="109" fillId="17" borderId="12" xfId="0" applyNumberFormat="1" applyFont="1" applyFill="1" applyBorder="1" applyAlignment="1">
      <alignment horizontal="center" vertical="center"/>
    </xf>
    <xf numFmtId="0" fontId="110" fillId="23" borderId="20" xfId="0" applyFont="1" applyFill="1" applyBorder="1" applyAlignment="1">
      <alignment horizontal="center" vertical="center"/>
    </xf>
    <xf numFmtId="0" fontId="110" fillId="23" borderId="74" xfId="0" applyFont="1" applyFill="1" applyBorder="1" applyAlignment="1">
      <alignment horizontal="center" vertical="center"/>
    </xf>
    <xf numFmtId="0" fontId="110" fillId="23" borderId="76" xfId="0" applyFont="1" applyFill="1" applyBorder="1" applyAlignment="1">
      <alignment horizontal="center" vertical="center"/>
    </xf>
    <xf numFmtId="0" fontId="110" fillId="22" borderId="10" xfId="0" applyFont="1" applyFill="1" applyBorder="1" applyAlignment="1">
      <alignment horizontal="center" vertical="center"/>
    </xf>
    <xf numFmtId="0" fontId="110" fillId="22" borderId="20" xfId="0" applyFont="1" applyFill="1" applyBorder="1" applyAlignment="1">
      <alignment horizontal="center" vertical="center"/>
    </xf>
    <xf numFmtId="0" fontId="110" fillId="23" borderId="10" xfId="0" applyFont="1" applyFill="1" applyBorder="1" applyAlignment="1">
      <alignment horizontal="center" vertical="center"/>
    </xf>
    <xf numFmtId="0" fontId="110" fillId="2" borderId="10" xfId="0" applyFont="1" applyFill="1" applyBorder="1" applyAlignment="1">
      <alignment horizontal="center" vertical="center"/>
    </xf>
    <xf numFmtId="0" fontId="110" fillId="3" borderId="78" xfId="0" applyFont="1" applyFill="1" applyBorder="1" applyAlignment="1">
      <alignment horizontal="center" vertical="center" wrapText="1"/>
    </xf>
    <xf numFmtId="0" fontId="110" fillId="23" borderId="81" xfId="0" applyFont="1" applyFill="1" applyBorder="1" applyAlignment="1">
      <alignment horizontal="center" vertical="center"/>
    </xf>
    <xf numFmtId="0" fontId="110" fillId="23" borderId="83" xfId="0" applyFont="1" applyFill="1" applyBorder="1" applyAlignment="1">
      <alignment horizontal="center" vertical="center"/>
    </xf>
    <xf numFmtId="0" fontId="110" fillId="23" borderId="12" xfId="0" applyFont="1" applyFill="1" applyBorder="1" applyAlignment="1">
      <alignment horizontal="center" wrapText="1"/>
    </xf>
    <xf numFmtId="0" fontId="51" fillId="23" borderId="12" xfId="0" applyFont="1" applyFill="1" applyBorder="1" applyAlignment="1">
      <alignment horizontal="center" vertical="center"/>
    </xf>
    <xf numFmtId="0" fontId="51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10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25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15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50" fillId="23" borderId="12" xfId="0" applyFont="1" applyFill="1" applyBorder="1" applyAlignment="1">
      <alignment horizontal="left" vertical="center" wrapText="1"/>
    </xf>
    <xf numFmtId="166" fontId="109" fillId="17" borderId="12" xfId="0" applyNumberFormat="1" applyFont="1" applyFill="1" applyBorder="1" applyAlignment="1">
      <alignment horizontal="center" vertical="center"/>
    </xf>
    <xf numFmtId="1" fontId="109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50" fillId="17" borderId="12" xfId="0" applyFont="1" applyFill="1" applyBorder="1" applyAlignment="1">
      <alignment horizontal="center" vertical="center"/>
    </xf>
    <xf numFmtId="0" fontId="50" fillId="17" borderId="12" xfId="0" applyFont="1" applyFill="1" applyBorder="1" applyAlignment="1">
      <alignment horizontal="left" vertical="center" wrapText="1"/>
    </xf>
    <xf numFmtId="14" fontId="50" fillId="17" borderId="12" xfId="0" applyNumberFormat="1" applyFont="1" applyFill="1" applyBorder="1" applyAlignment="1">
      <alignment horizontal="center" vertical="center"/>
    </xf>
    <xf numFmtId="0" fontId="110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26" fillId="2" borderId="72" xfId="0" applyFont="1" applyFill="1" applyBorder="1" applyAlignment="1">
      <alignment wrapText="1"/>
    </xf>
    <xf numFmtId="1" fontId="137" fillId="2" borderId="71" xfId="0" applyNumberFormat="1" applyFont="1" applyFill="1" applyBorder="1" applyAlignment="1">
      <alignment horizontal="center" vertical="center"/>
    </xf>
    <xf numFmtId="1" fontId="138" fillId="2" borderId="71" xfId="0" applyNumberFormat="1" applyFont="1" applyFill="1" applyBorder="1" applyAlignment="1">
      <alignment horizontal="center" vertical="center"/>
    </xf>
    <xf numFmtId="9" fontId="139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10" fillId="18" borderId="60" xfId="0" applyFont="1" applyFill="1" applyBorder="1" applyAlignment="1">
      <alignment horizontal="center"/>
    </xf>
    <xf numFmtId="0" fontId="110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49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10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10" fillId="19" borderId="12" xfId="0" applyFont="1" applyFill="1" applyBorder="1" applyAlignment="1">
      <alignment horizontal="center" vertical="center"/>
    </xf>
    <xf numFmtId="14" fontId="109" fillId="19" borderId="12" xfId="0" applyNumberFormat="1" applyFont="1" applyFill="1" applyBorder="1" applyAlignment="1">
      <alignment horizontal="center" vertical="center"/>
    </xf>
    <xf numFmtId="0" fontId="110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61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10" fillId="4" borderId="12" xfId="0" applyNumberFormat="1" applyFont="1" applyFill="1" applyBorder="1" applyAlignment="1">
      <alignment horizontal="center"/>
    </xf>
    <xf numFmtId="14" fontId="49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10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110" fillId="18" borderId="12" xfId="0" applyNumberFormat="1" applyFont="1" applyFill="1" applyBorder="1" applyAlignment="1">
      <alignment horizontal="center"/>
    </xf>
    <xf numFmtId="14" fontId="130" fillId="2" borderId="4" xfId="0" applyNumberFormat="1" applyFont="1" applyFill="1" applyBorder="1" applyAlignment="1">
      <alignment horizontal="center" vertical="center"/>
    </xf>
    <xf numFmtId="14" fontId="48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49" fillId="19" borderId="12" xfId="0" applyFont="1" applyFill="1" applyBorder="1" applyAlignment="1">
      <alignment horizontal="center" vertical="center"/>
    </xf>
    <xf numFmtId="166" fontId="109" fillId="19" borderId="12" xfId="0" applyNumberFormat="1" applyFont="1" applyFill="1" applyBorder="1" applyAlignment="1">
      <alignment horizontal="center" vertical="center"/>
    </xf>
    <xf numFmtId="1" fontId="109" fillId="19" borderId="12" xfId="0" applyNumberFormat="1" applyFont="1" applyFill="1" applyBorder="1" applyAlignment="1">
      <alignment horizontal="center" vertical="center"/>
    </xf>
    <xf numFmtId="0" fontId="48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48" fillId="19" borderId="12" xfId="0" applyFont="1" applyFill="1" applyBorder="1" applyAlignment="1">
      <alignment horizontal="center" vertical="center"/>
    </xf>
    <xf numFmtId="0" fontId="48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15" fillId="24" borderId="12" xfId="0" applyNumberFormat="1" applyFont="1" applyFill="1" applyBorder="1" applyAlignment="1">
      <alignment horizontal="center"/>
    </xf>
    <xf numFmtId="1" fontId="130" fillId="2" borderId="15" xfId="0" applyNumberFormat="1" applyFont="1" applyFill="1" applyBorder="1" applyAlignment="1">
      <alignment horizontal="center" vertical="center"/>
    </xf>
    <xf numFmtId="1" fontId="130" fillId="2" borderId="25" xfId="0" applyNumberFormat="1" applyFont="1" applyFill="1" applyBorder="1" applyAlignment="1">
      <alignment horizontal="center" vertical="center"/>
    </xf>
    <xf numFmtId="0" fontId="130" fillId="2" borderId="5" xfId="0" applyFont="1" applyFill="1" applyBorder="1" applyAlignment="1">
      <alignment vertical="center"/>
    </xf>
    <xf numFmtId="165" fontId="130" fillId="2" borderId="5" xfId="1" applyNumberFormat="1" applyFont="1" applyFill="1" applyBorder="1" applyAlignment="1">
      <alignment horizontal="center" vertical="center"/>
    </xf>
    <xf numFmtId="166" fontId="130" fillId="2" borderId="5" xfId="0" applyNumberFormat="1" applyFont="1" applyFill="1" applyBorder="1" applyAlignment="1">
      <alignment horizontal="center" vertical="center"/>
    </xf>
    <xf numFmtId="9" fontId="130" fillId="2" borderId="5" xfId="2" applyFont="1" applyFill="1" applyBorder="1" applyAlignment="1">
      <alignment horizontal="center" vertical="center"/>
    </xf>
    <xf numFmtId="167" fontId="130" fillId="2" borderId="6" xfId="1" applyNumberFormat="1" applyFont="1" applyFill="1" applyBorder="1" applyAlignment="1">
      <alignment horizontal="center" vertical="center"/>
    </xf>
    <xf numFmtId="0" fontId="130" fillId="2" borderId="6" xfId="0" applyFont="1" applyFill="1" applyBorder="1" applyAlignment="1">
      <alignment horizontal="center" vertical="center"/>
    </xf>
    <xf numFmtId="1" fontId="130" fillId="2" borderId="6" xfId="0" applyNumberFormat="1" applyFont="1" applyFill="1" applyBorder="1" applyAlignment="1">
      <alignment horizontal="center" vertical="center"/>
    </xf>
    <xf numFmtId="1" fontId="130" fillId="2" borderId="5" xfId="0" applyNumberFormat="1" applyFont="1" applyFill="1" applyBorder="1" applyAlignment="1">
      <alignment horizontal="center" vertical="center"/>
    </xf>
    <xf numFmtId="1" fontId="130" fillId="2" borderId="59" xfId="0" applyNumberFormat="1" applyFont="1" applyFill="1" applyBorder="1" applyAlignment="1">
      <alignment horizontal="center" vertical="center"/>
    </xf>
    <xf numFmtId="167" fontId="130" fillId="2" borderId="32" xfId="1" applyNumberFormat="1" applyFont="1" applyFill="1" applyBorder="1" applyAlignment="1">
      <alignment horizontal="center" vertical="center"/>
    </xf>
    <xf numFmtId="0" fontId="130" fillId="2" borderId="32" xfId="0" applyFont="1" applyFill="1" applyBorder="1" applyAlignment="1">
      <alignment horizontal="center" vertical="center"/>
    </xf>
    <xf numFmtId="14" fontId="130" fillId="2" borderId="12" xfId="0" applyNumberFormat="1" applyFont="1" applyFill="1" applyBorder="1" applyAlignment="1">
      <alignment horizontal="center" vertical="center"/>
    </xf>
    <xf numFmtId="0" fontId="130" fillId="2" borderId="12" xfId="0" applyFont="1" applyFill="1" applyBorder="1" applyAlignment="1">
      <alignment vertical="center"/>
    </xf>
    <xf numFmtId="165" fontId="130" fillId="2" borderId="12" xfId="1" applyNumberFormat="1" applyFont="1" applyFill="1" applyBorder="1" applyAlignment="1">
      <alignment horizontal="center" vertical="center"/>
    </xf>
    <xf numFmtId="166" fontId="130" fillId="2" borderId="12" xfId="0" applyNumberFormat="1" applyFont="1" applyFill="1" applyBorder="1" applyAlignment="1">
      <alignment horizontal="center" vertical="center"/>
    </xf>
    <xf numFmtId="9" fontId="130" fillId="2" borderId="12" xfId="2" applyFont="1" applyFill="1" applyBorder="1" applyAlignment="1">
      <alignment horizontal="center" vertical="center"/>
    </xf>
    <xf numFmtId="167" fontId="130" fillId="2" borderId="12" xfId="1" applyNumberFormat="1" applyFont="1" applyFill="1" applyBorder="1" applyAlignment="1">
      <alignment horizontal="center" vertical="center"/>
    </xf>
    <xf numFmtId="0" fontId="130" fillId="2" borderId="12" xfId="0" applyFont="1" applyFill="1" applyBorder="1" applyAlignment="1">
      <alignment horizontal="center" vertical="center"/>
    </xf>
    <xf numFmtId="1" fontId="130" fillId="2" borderId="12" xfId="0" applyNumberFormat="1" applyFont="1" applyFill="1" applyBorder="1" applyAlignment="1">
      <alignment horizontal="center" vertical="center"/>
    </xf>
    <xf numFmtId="0" fontId="47" fillId="19" borderId="12" xfId="0" applyFont="1" applyFill="1" applyBorder="1" applyAlignment="1">
      <alignment horizontal="left" vertical="center" wrapText="1"/>
    </xf>
    <xf numFmtId="0" fontId="47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46" fillId="17" borderId="12" xfId="0" applyFont="1" applyFill="1" applyBorder="1" applyAlignment="1">
      <alignment horizontal="center" vertical="center"/>
    </xf>
    <xf numFmtId="0" fontId="46" fillId="17" borderId="12" xfId="0" applyFont="1" applyFill="1" applyBorder="1" applyAlignment="1">
      <alignment horizontal="left" vertical="center" wrapText="1"/>
    </xf>
    <xf numFmtId="0" fontId="110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46" fillId="19" borderId="12" xfId="0" applyNumberFormat="1" applyFont="1" applyFill="1" applyBorder="1" applyAlignment="1">
      <alignment horizontal="center" vertical="center" wrapText="1"/>
    </xf>
    <xf numFmtId="173" fontId="115" fillId="0" borderId="0" xfId="0" applyNumberFormat="1" applyFont="1" applyAlignment="1">
      <alignment horizontal="center"/>
    </xf>
    <xf numFmtId="173" fontId="115" fillId="0" borderId="49" xfId="0" applyNumberFormat="1" applyFont="1" applyBorder="1" applyAlignment="1">
      <alignment horizontal="center"/>
    </xf>
    <xf numFmtId="174" fontId="115" fillId="0" borderId="47" xfId="0" applyNumberFormat="1" applyFont="1" applyBorder="1" applyAlignment="1">
      <alignment horizontal="center"/>
    </xf>
    <xf numFmtId="176" fontId="115" fillId="0" borderId="47" xfId="0" applyNumberFormat="1" applyFont="1" applyBorder="1" applyAlignment="1">
      <alignment horizontal="center"/>
    </xf>
    <xf numFmtId="1" fontId="115" fillId="21" borderId="28" xfId="0" applyNumberFormat="1" applyFont="1" applyFill="1" applyBorder="1" applyAlignment="1">
      <alignment horizontal="center"/>
    </xf>
    <xf numFmtId="2" fontId="115" fillId="21" borderId="28" xfId="0" applyNumberFormat="1" applyFont="1" applyFill="1" applyBorder="1" applyAlignment="1">
      <alignment horizontal="center"/>
    </xf>
    <xf numFmtId="176" fontId="115" fillId="21" borderId="28" xfId="0" applyNumberFormat="1" applyFont="1" applyFill="1" applyBorder="1" applyAlignment="1">
      <alignment horizontal="center"/>
    </xf>
    <xf numFmtId="9" fontId="115" fillId="21" borderId="28" xfId="0" applyNumberFormat="1" applyFont="1" applyFill="1" applyBorder="1" applyAlignment="1">
      <alignment horizontal="center"/>
    </xf>
    <xf numFmtId="0" fontId="115" fillId="21" borderId="28" xfId="0" applyFont="1" applyFill="1" applyBorder="1" applyAlignment="1">
      <alignment horizontal="center"/>
    </xf>
    <xf numFmtId="176" fontId="115" fillId="0" borderId="12" xfId="0" applyNumberFormat="1" applyFont="1" applyBorder="1" applyAlignment="1">
      <alignment horizontal="center"/>
    </xf>
    <xf numFmtId="9" fontId="115" fillId="22" borderId="48" xfId="2" applyFont="1" applyFill="1" applyBorder="1" applyAlignment="1">
      <alignment horizontal="center" vertical="center"/>
    </xf>
    <xf numFmtId="0" fontId="115" fillId="0" borderId="49" xfId="0" applyFont="1" applyBorder="1"/>
    <xf numFmtId="0" fontId="115" fillId="24" borderId="7" xfId="0" applyFont="1" applyFill="1" applyBorder="1"/>
    <xf numFmtId="0" fontId="115" fillId="0" borderId="7" xfId="0" applyFont="1" applyBorder="1"/>
    <xf numFmtId="0" fontId="115" fillId="0" borderId="30" xfId="0" applyFont="1" applyBorder="1"/>
    <xf numFmtId="0" fontId="115" fillId="24" borderId="8" xfId="0" applyFont="1" applyFill="1" applyBorder="1" applyAlignment="1">
      <alignment horizontal="center"/>
    </xf>
    <xf numFmtId="0" fontId="115" fillId="0" borderId="8" xfId="0" applyFont="1" applyBorder="1" applyAlignment="1">
      <alignment horizontal="center"/>
    </xf>
    <xf numFmtId="0" fontId="115" fillId="0" borderId="31" xfId="0" applyFont="1" applyBorder="1" applyAlignment="1">
      <alignment horizontal="center"/>
    </xf>
    <xf numFmtId="14" fontId="45" fillId="17" borderId="12" xfId="0" applyNumberFormat="1" applyFont="1" applyFill="1" applyBorder="1" applyAlignment="1">
      <alignment horizontal="center" vertical="center"/>
    </xf>
    <xf numFmtId="0" fontId="45" fillId="17" borderId="12" xfId="0" applyFont="1" applyFill="1" applyBorder="1" applyAlignment="1">
      <alignment horizontal="center" vertical="center"/>
    </xf>
    <xf numFmtId="0" fontId="45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25" fillId="4" borderId="28" xfId="0" applyNumberFormat="1" applyFont="1" applyFill="1" applyBorder="1" applyAlignment="1">
      <alignment horizontal="center" vertical="center"/>
    </xf>
    <xf numFmtId="0" fontId="130" fillId="2" borderId="22" xfId="0" applyFont="1" applyFill="1" applyBorder="1" applyAlignment="1">
      <alignment horizontal="center" vertical="center"/>
    </xf>
    <xf numFmtId="1" fontId="130" fillId="2" borderId="21" xfId="0" applyNumberFormat="1" applyFont="1" applyFill="1" applyBorder="1" applyAlignment="1">
      <alignment horizontal="center" vertical="center"/>
    </xf>
    <xf numFmtId="1" fontId="130" fillId="2" borderId="61" xfId="0" applyNumberFormat="1" applyFont="1" applyFill="1" applyBorder="1" applyAlignment="1">
      <alignment horizontal="center" vertical="center"/>
    </xf>
    <xf numFmtId="1" fontId="130" fillId="2" borderId="32" xfId="0" applyNumberFormat="1" applyFont="1" applyFill="1" applyBorder="1" applyAlignment="1">
      <alignment horizontal="center" vertical="center"/>
    </xf>
    <xf numFmtId="165" fontId="130" fillId="2" borderId="28" xfId="0" applyNumberFormat="1" applyFont="1" applyFill="1" applyBorder="1" applyAlignment="1">
      <alignment horizontal="center" vertical="center"/>
    </xf>
    <xf numFmtId="165" fontId="130" fillId="2" borderId="66" xfId="0" applyNumberFormat="1" applyFont="1" applyFill="1" applyBorder="1" applyAlignment="1">
      <alignment horizontal="center" vertical="center"/>
    </xf>
    <xf numFmtId="165" fontId="130" fillId="2" borderId="12" xfId="0" applyNumberFormat="1" applyFont="1" applyFill="1" applyBorder="1" applyAlignment="1">
      <alignment horizontal="center" vertical="center"/>
    </xf>
    <xf numFmtId="14" fontId="130" fillId="2" borderId="33" xfId="0" applyNumberFormat="1" applyFont="1" applyFill="1" applyBorder="1" applyAlignment="1">
      <alignment horizontal="center" vertical="center"/>
    </xf>
    <xf numFmtId="0" fontId="44" fillId="17" borderId="12" xfId="0" applyFont="1" applyFill="1" applyBorder="1" applyAlignment="1">
      <alignment horizontal="center" vertical="center"/>
    </xf>
    <xf numFmtId="14" fontId="84" fillId="18" borderId="12" xfId="0" applyNumberFormat="1" applyFont="1" applyFill="1" applyBorder="1"/>
    <xf numFmtId="0" fontId="43" fillId="17" borderId="12" xfId="0" applyFont="1" applyFill="1" applyBorder="1" applyAlignment="1">
      <alignment horizontal="left" vertical="center" wrapText="1"/>
    </xf>
    <xf numFmtId="0" fontId="42" fillId="2" borderId="7" xfId="0" applyFont="1" applyFill="1" applyBorder="1" applyAlignment="1">
      <alignment vertical="center"/>
    </xf>
    <xf numFmtId="14" fontId="42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42" fillId="17" borderId="12" xfId="0" applyFont="1" applyFill="1" applyBorder="1" applyAlignment="1">
      <alignment horizontal="center" vertical="center"/>
    </xf>
    <xf numFmtId="166" fontId="42" fillId="17" borderId="12" xfId="0" applyNumberFormat="1" applyFont="1" applyFill="1" applyBorder="1" applyAlignment="1">
      <alignment horizontal="center" vertical="center"/>
    </xf>
    <xf numFmtId="0" fontId="42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41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41" fillId="17" borderId="12" xfId="0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40" fillId="17" borderId="12" xfId="0" applyFont="1" applyFill="1" applyBorder="1" applyAlignment="1">
      <alignment horizontal="center" vertical="center"/>
    </xf>
    <xf numFmtId="0" fontId="40" fillId="17" borderId="12" xfId="0" applyFont="1" applyFill="1" applyBorder="1" applyAlignment="1">
      <alignment horizontal="left" vertical="center" wrapText="1"/>
    </xf>
    <xf numFmtId="14" fontId="40" fillId="17" borderId="12" xfId="0" applyNumberFormat="1" applyFont="1" applyFill="1" applyBorder="1" applyAlignment="1">
      <alignment horizontal="center" vertical="center"/>
    </xf>
    <xf numFmtId="174" fontId="133" fillId="2" borderId="12" xfId="0" applyNumberFormat="1" applyFont="1" applyFill="1" applyBorder="1" applyAlignment="1">
      <alignment horizontal="center"/>
    </xf>
    <xf numFmtId="0" fontId="40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10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25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39" fillId="17" borderId="12" xfId="0" applyNumberFormat="1" applyFont="1" applyFill="1" applyBorder="1" applyAlignment="1">
      <alignment horizontal="center" vertical="center"/>
    </xf>
    <xf numFmtId="0" fontId="38" fillId="17" borderId="12" xfId="0" applyFont="1" applyFill="1" applyBorder="1" applyAlignment="1">
      <alignment horizontal="center" vertical="center"/>
    </xf>
    <xf numFmtId="166" fontId="38" fillId="17" borderId="12" xfId="0" applyNumberFormat="1" applyFont="1" applyFill="1" applyBorder="1" applyAlignment="1">
      <alignment horizontal="center" vertical="center"/>
    </xf>
    <xf numFmtId="0" fontId="38" fillId="17" borderId="12" xfId="0" applyFont="1" applyFill="1" applyBorder="1" applyAlignment="1">
      <alignment horizontal="left" vertical="center"/>
    </xf>
    <xf numFmtId="14" fontId="38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38" fillId="2" borderId="7" xfId="0" applyFont="1" applyFill="1" applyBorder="1" applyAlignment="1">
      <alignment vertical="center"/>
    </xf>
    <xf numFmtId="0" fontId="37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37" fillId="19" borderId="12" xfId="0" applyFont="1" applyFill="1" applyBorder="1" applyAlignment="1">
      <alignment horizontal="center" vertical="center"/>
    </xf>
    <xf numFmtId="166" fontId="37" fillId="19" borderId="12" xfId="0" applyNumberFormat="1" applyFont="1" applyFill="1" applyBorder="1" applyAlignment="1">
      <alignment horizontal="center" vertical="center"/>
    </xf>
    <xf numFmtId="0" fontId="37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36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20" fillId="4" borderId="12" xfId="0" applyFont="1" applyFill="1" applyBorder="1" applyAlignment="1">
      <alignment horizontal="center" vertical="center"/>
    </xf>
    <xf numFmtId="0" fontId="120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36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36" fillId="19" borderId="12" xfId="0" applyFont="1" applyFill="1" applyBorder="1" applyAlignment="1">
      <alignment horizontal="center" vertical="center"/>
    </xf>
    <xf numFmtId="0" fontId="36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35" fillId="19" borderId="12" xfId="0" applyFont="1" applyFill="1" applyBorder="1" applyAlignment="1">
      <alignment horizontal="center" vertical="center"/>
    </xf>
    <xf numFmtId="0" fontId="35" fillId="19" borderId="12" xfId="0" applyFont="1" applyFill="1" applyBorder="1" applyAlignment="1">
      <alignment horizontal="left" vertical="center" wrapText="1"/>
    </xf>
    <xf numFmtId="0" fontId="35" fillId="2" borderId="7" xfId="0" applyFont="1" applyFill="1" applyBorder="1" applyAlignment="1">
      <alignment vertical="center"/>
    </xf>
    <xf numFmtId="176" fontId="0" fillId="0" borderId="0" xfId="0" applyNumberFormat="1"/>
    <xf numFmtId="14" fontId="34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10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110" fillId="18" borderId="20" xfId="1" applyFont="1" applyFill="1" applyBorder="1" applyAlignment="1">
      <alignment horizontal="center"/>
    </xf>
    <xf numFmtId="43" fontId="110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10" fillId="19" borderId="12" xfId="0" applyFont="1" applyFill="1" applyBorder="1"/>
    <xf numFmtId="1" fontId="110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33" fillId="2" borderId="7" xfId="0" applyFont="1" applyFill="1" applyBorder="1" applyAlignment="1">
      <alignment vertical="center"/>
    </xf>
    <xf numFmtId="0" fontId="33" fillId="19" borderId="12" xfId="0" applyFont="1" applyFill="1" applyBorder="1" applyAlignment="1">
      <alignment horizontal="center" vertical="center"/>
    </xf>
    <xf numFmtId="0" fontId="33" fillId="19" borderId="12" xfId="0" applyFont="1" applyFill="1" applyBorder="1" applyAlignment="1">
      <alignment horizontal="left" vertical="center"/>
    </xf>
    <xf numFmtId="0" fontId="33" fillId="19" borderId="12" xfId="0" applyFont="1" applyFill="1" applyBorder="1" applyAlignment="1">
      <alignment horizontal="left" vertical="center" wrapText="1"/>
    </xf>
    <xf numFmtId="0" fontId="33" fillId="17" borderId="12" xfId="0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left" vertical="center" wrapText="1"/>
    </xf>
    <xf numFmtId="0" fontId="33" fillId="17" borderId="12" xfId="0" applyFont="1" applyFill="1" applyBorder="1" applyAlignment="1">
      <alignment horizontal="left" vertical="center"/>
    </xf>
    <xf numFmtId="14" fontId="33" fillId="17" borderId="12" xfId="0" applyNumberFormat="1" applyFont="1" applyFill="1" applyBorder="1" applyAlignment="1">
      <alignment horizontal="center" vertical="center"/>
    </xf>
    <xf numFmtId="14" fontId="32" fillId="17" borderId="12" xfId="0" applyNumberFormat="1" applyFont="1" applyFill="1" applyBorder="1" applyAlignment="1">
      <alignment horizontal="center" vertical="center"/>
    </xf>
    <xf numFmtId="0" fontId="32" fillId="17" borderId="12" xfId="0" applyFont="1" applyFill="1" applyBorder="1" applyAlignment="1">
      <alignment horizontal="center" vertical="center"/>
    </xf>
    <xf numFmtId="0" fontId="32" fillId="17" borderId="12" xfId="0" applyFont="1" applyFill="1" applyBorder="1" applyAlignment="1">
      <alignment horizontal="left" vertical="center"/>
    </xf>
    <xf numFmtId="0" fontId="32" fillId="17" borderId="12" xfId="0" applyFont="1" applyFill="1" applyBorder="1" applyAlignment="1">
      <alignment horizontal="left" vertical="center" wrapText="1"/>
    </xf>
    <xf numFmtId="0" fontId="31" fillId="17" borderId="12" xfId="0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left" vertical="center"/>
    </xf>
    <xf numFmtId="0" fontId="31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30" fillId="19" borderId="12" xfId="0" applyNumberFormat="1" applyFont="1" applyFill="1" applyBorder="1" applyAlignment="1">
      <alignment horizontal="center" vertical="center"/>
    </xf>
    <xf numFmtId="0" fontId="109" fillId="2" borderId="0" xfId="0" applyFont="1" applyFill="1" applyAlignment="1">
      <alignment vertical="center"/>
    </xf>
    <xf numFmtId="0" fontId="125" fillId="4" borderId="12" xfId="0" applyFont="1" applyFill="1" applyBorder="1"/>
    <xf numFmtId="165" fontId="130" fillId="2" borderId="52" xfId="0" applyNumberFormat="1" applyFont="1" applyFill="1" applyBorder="1" applyAlignment="1">
      <alignment horizontal="center" vertical="center"/>
    </xf>
    <xf numFmtId="0" fontId="110" fillId="19" borderId="7" xfId="0" applyFont="1" applyFill="1" applyBorder="1" applyAlignment="1">
      <alignment horizontal="center"/>
    </xf>
    <xf numFmtId="0" fontId="109" fillId="19" borderId="12" xfId="0" applyFont="1" applyFill="1" applyBorder="1" applyAlignment="1">
      <alignment horizontal="center" vertical="center"/>
    </xf>
    <xf numFmtId="0" fontId="29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30" fillId="2" borderId="28" xfId="0" applyFont="1" applyFill="1" applyBorder="1"/>
    <xf numFmtId="165" fontId="125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28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27" fillId="19" borderId="12" xfId="0" applyFont="1" applyFill="1" applyBorder="1" applyAlignment="1">
      <alignment horizontal="left" vertical="center"/>
    </xf>
    <xf numFmtId="0" fontId="109" fillId="17" borderId="12" xfId="0" applyFont="1" applyFill="1" applyBorder="1" applyAlignment="1">
      <alignment horizontal="center" vertical="center"/>
    </xf>
    <xf numFmtId="0" fontId="27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26" fillId="17" borderId="12" xfId="0" applyFont="1" applyFill="1" applyBorder="1" applyAlignment="1">
      <alignment horizontal="left" vertical="center"/>
    </xf>
    <xf numFmtId="0" fontId="26" fillId="17" borderId="12" xfId="0" applyFont="1" applyFill="1" applyBorder="1" applyAlignment="1">
      <alignment horizontal="left" vertical="center" wrapText="1"/>
    </xf>
    <xf numFmtId="0" fontId="26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09" fillId="28" borderId="12" xfId="0" applyNumberFormat="1" applyFont="1" applyFill="1" applyBorder="1" applyAlignment="1">
      <alignment horizontal="center" vertical="center"/>
    </xf>
    <xf numFmtId="166" fontId="109" fillId="28" borderId="12" xfId="0" applyNumberFormat="1" applyFont="1" applyFill="1" applyBorder="1" applyAlignment="1">
      <alignment horizontal="center" vertical="center"/>
    </xf>
    <xf numFmtId="1" fontId="109" fillId="28" borderId="12" xfId="0" applyNumberFormat="1" applyFont="1" applyFill="1" applyBorder="1" applyAlignment="1">
      <alignment horizontal="center" vertical="center"/>
    </xf>
    <xf numFmtId="0" fontId="109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25" fillId="28" borderId="12" xfId="0" applyFont="1" applyFill="1" applyBorder="1" applyAlignment="1">
      <alignment horizontal="center" vertical="center"/>
    </xf>
    <xf numFmtId="0" fontId="25" fillId="28" borderId="12" xfId="0" applyFont="1" applyFill="1" applyBorder="1" applyAlignment="1">
      <alignment horizontal="left" vertical="center"/>
    </xf>
    <xf numFmtId="166" fontId="25" fillId="28" borderId="12" xfId="0" applyNumberFormat="1" applyFont="1" applyFill="1" applyBorder="1" applyAlignment="1">
      <alignment horizontal="center" vertical="center"/>
    </xf>
    <xf numFmtId="0" fontId="110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32" fillId="23" borderId="12" xfId="0" applyFont="1" applyFill="1" applyBorder="1" applyAlignment="1">
      <alignment horizontal="center" vertical="center"/>
    </xf>
    <xf numFmtId="0" fontId="132" fillId="2" borderId="12" xfId="0" applyFont="1" applyFill="1" applyBorder="1" applyAlignment="1">
      <alignment horizontal="center" vertical="center"/>
    </xf>
    <xf numFmtId="0" fontId="132" fillId="2" borderId="0" xfId="0" applyFont="1" applyFill="1" applyAlignment="1">
      <alignment horizontal="center" vertical="center"/>
    </xf>
    <xf numFmtId="0" fontId="132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10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10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23" fillId="2" borderId="7" xfId="0" applyFont="1" applyFill="1" applyBorder="1" applyAlignment="1">
      <alignment vertical="center"/>
    </xf>
    <xf numFmtId="0" fontId="110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22" fillId="2" borderId="12" xfId="0" applyFont="1" applyFill="1" applyBorder="1" applyAlignment="1">
      <alignment horizontal="left" vertical="center"/>
    </xf>
    <xf numFmtId="0" fontId="22" fillId="2" borderId="12" xfId="0" applyFont="1" applyFill="1" applyBorder="1" applyAlignment="1">
      <alignment horizontal="left" vertical="center" wrapText="1"/>
    </xf>
    <xf numFmtId="0" fontId="24" fillId="17" borderId="12" xfId="0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left" vertical="center" wrapText="1"/>
    </xf>
    <xf numFmtId="14" fontId="109" fillId="26" borderId="12" xfId="0" applyNumberFormat="1" applyFont="1" applyFill="1" applyBorder="1" applyAlignment="1">
      <alignment horizontal="center" vertical="center"/>
    </xf>
    <xf numFmtId="0" fontId="109" fillId="26" borderId="12" xfId="0" applyFont="1" applyFill="1" applyBorder="1" applyAlignment="1">
      <alignment horizontal="center" vertical="center"/>
    </xf>
    <xf numFmtId="166" fontId="109" fillId="26" borderId="12" xfId="0" applyNumberFormat="1" applyFont="1" applyFill="1" applyBorder="1" applyAlignment="1">
      <alignment horizontal="center" vertical="center"/>
    </xf>
    <xf numFmtId="1" fontId="109" fillId="26" borderId="12" xfId="0" applyNumberFormat="1" applyFont="1" applyFill="1" applyBorder="1" applyAlignment="1">
      <alignment horizontal="center" vertical="center"/>
    </xf>
    <xf numFmtId="0" fontId="24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22" fillId="17" borderId="12" xfId="0" applyFont="1" applyFill="1" applyBorder="1" applyAlignment="1">
      <alignment horizontal="left" vertical="center"/>
    </xf>
    <xf numFmtId="0" fontId="22" fillId="26" borderId="12" xfId="0" applyFont="1" applyFill="1" applyBorder="1" applyAlignment="1">
      <alignment horizontal="left" vertical="center" wrapText="1"/>
    </xf>
    <xf numFmtId="0" fontId="22" fillId="19" borderId="12" xfId="0" applyFont="1" applyFill="1" applyBorder="1" applyAlignment="1">
      <alignment horizontal="left" vertical="center"/>
    </xf>
    <xf numFmtId="0" fontId="21" fillId="17" borderId="12" xfId="0" applyFont="1" applyFill="1" applyBorder="1" applyAlignment="1">
      <alignment horizontal="left" vertical="center"/>
    </xf>
    <xf numFmtId="0" fontId="21" fillId="17" borderId="12" xfId="0" applyFont="1" applyFill="1" applyBorder="1" applyAlignment="1">
      <alignment horizontal="left" vertical="center" wrapText="1"/>
    </xf>
    <xf numFmtId="0" fontId="20" fillId="17" borderId="12" xfId="0" applyFont="1" applyFill="1" applyBorder="1" applyAlignment="1">
      <alignment horizontal="left" vertical="center"/>
    </xf>
    <xf numFmtId="0" fontId="20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19" fillId="26" borderId="12" xfId="0" applyFont="1" applyFill="1" applyBorder="1" applyAlignment="1">
      <alignment horizontal="left" vertical="center"/>
    </xf>
    <xf numFmtId="0" fontId="18" fillId="26" borderId="12" xfId="0" applyFont="1" applyFill="1" applyBorder="1" applyAlignment="1">
      <alignment horizontal="left" vertical="center" wrapText="1"/>
    </xf>
    <xf numFmtId="0" fontId="110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17" fillId="26" borderId="12" xfId="0" applyFont="1" applyFill="1" applyBorder="1" applyAlignment="1">
      <alignment horizontal="left" vertical="center"/>
    </xf>
    <xf numFmtId="0" fontId="17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16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15" fillId="0" borderId="28" xfId="0" applyNumberFormat="1" applyFont="1" applyBorder="1" applyAlignment="1">
      <alignment horizontal="center"/>
    </xf>
    <xf numFmtId="1" fontId="115" fillId="0" borderId="21" xfId="0" applyNumberFormat="1" applyFont="1" applyBorder="1" applyAlignment="1">
      <alignment horizontal="center"/>
    </xf>
    <xf numFmtId="174" fontId="115" fillId="0" borderId="28" xfId="0" applyNumberFormat="1" applyFont="1" applyBorder="1" applyAlignment="1">
      <alignment horizontal="center"/>
    </xf>
    <xf numFmtId="0" fontId="115" fillId="0" borderId="28" xfId="0" applyFont="1" applyBorder="1"/>
    <xf numFmtId="176" fontId="115" fillId="0" borderId="28" xfId="0" applyNumberFormat="1" applyFont="1" applyBorder="1" applyAlignment="1">
      <alignment horizontal="center"/>
    </xf>
    <xf numFmtId="9" fontId="115" fillId="0" borderId="28" xfId="0" applyNumberFormat="1" applyFont="1" applyBorder="1" applyAlignment="1">
      <alignment horizontal="center"/>
    </xf>
    <xf numFmtId="9" fontId="115" fillId="0" borderId="0" xfId="0" applyNumberFormat="1" applyFont="1" applyAlignment="1">
      <alignment horizontal="center"/>
    </xf>
    <xf numFmtId="9" fontId="115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15" fillId="17" borderId="12" xfId="0" applyFont="1" applyFill="1" applyBorder="1" applyAlignment="1">
      <alignment horizontal="left" vertical="center"/>
    </xf>
    <xf numFmtId="0" fontId="0" fillId="26" borderId="0" xfId="0" applyFill="1"/>
    <xf numFmtId="0" fontId="14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13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12" fillId="26" borderId="12" xfId="0" applyFont="1" applyFill="1" applyBorder="1" applyAlignment="1">
      <alignment horizontal="left" vertical="center"/>
    </xf>
    <xf numFmtId="0" fontId="11" fillId="26" borderId="12" xfId="0" applyFont="1" applyFill="1" applyBorder="1" applyAlignment="1">
      <alignment horizontal="left" vertical="center"/>
    </xf>
    <xf numFmtId="0" fontId="11" fillId="17" borderId="12" xfId="0" applyFont="1" applyFill="1" applyBorder="1" applyAlignment="1">
      <alignment horizontal="left" vertical="center"/>
    </xf>
    <xf numFmtId="0" fontId="110" fillId="4" borderId="20" xfId="0" applyFont="1" applyFill="1" applyBorder="1"/>
    <xf numFmtId="0" fontId="110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10" fillId="4" borderId="52" xfId="0" applyFont="1" applyFill="1" applyBorder="1" applyAlignment="1">
      <alignment horizontal="center"/>
    </xf>
    <xf numFmtId="0" fontId="0" fillId="2" borderId="86" xfId="0" applyFill="1" applyBorder="1"/>
    <xf numFmtId="0" fontId="110" fillId="18" borderId="15" xfId="0" applyFont="1" applyFill="1" applyBorder="1" applyAlignment="1">
      <alignment horizontal="center"/>
    </xf>
    <xf numFmtId="176" fontId="110" fillId="18" borderId="15" xfId="0" applyNumberFormat="1" applyFont="1" applyFill="1" applyBorder="1" applyAlignment="1">
      <alignment horizontal="center"/>
    </xf>
    <xf numFmtId="176" fontId="110" fillId="18" borderId="62" xfId="0" applyNumberFormat="1" applyFont="1" applyFill="1" applyBorder="1" applyAlignment="1">
      <alignment horizontal="center"/>
    </xf>
    <xf numFmtId="0" fontId="10" fillId="17" borderId="12" xfId="0" applyFont="1" applyFill="1" applyBorder="1" applyAlignment="1">
      <alignment horizontal="left" vertical="center"/>
    </xf>
    <xf numFmtId="0" fontId="109" fillId="17" borderId="12" xfId="0" applyFont="1" applyFill="1" applyBorder="1" applyAlignment="1">
      <alignment horizontal="left" vertical="center"/>
    </xf>
    <xf numFmtId="176" fontId="0" fillId="34" borderId="12" xfId="0" applyNumberFormat="1" applyFill="1" applyBorder="1"/>
    <xf numFmtId="0" fontId="0" fillId="36" borderId="12" xfId="0" applyFill="1" applyBorder="1"/>
    <xf numFmtId="14" fontId="0" fillId="36" borderId="12" xfId="0" applyNumberFormat="1" applyFill="1" applyBorder="1"/>
    <xf numFmtId="176" fontId="0" fillId="26" borderId="12" xfId="0" applyNumberFormat="1" applyFill="1" applyBorder="1"/>
    <xf numFmtId="178" fontId="0" fillId="2" borderId="0" xfId="0" applyNumberFormat="1" applyFill="1" applyAlignment="1">
      <alignment horizontal="right" vertical="center"/>
    </xf>
    <xf numFmtId="0" fontId="0" fillId="26" borderId="20" xfId="0" applyFill="1" applyBorder="1" applyAlignment="1">
      <alignment horizontal="center"/>
    </xf>
    <xf numFmtId="9" fontId="0" fillId="26" borderId="20" xfId="0" applyNumberFormat="1" applyFill="1" applyBorder="1" applyAlignment="1">
      <alignment horizontal="center" vertical="center"/>
    </xf>
    <xf numFmtId="0" fontId="143" fillId="17" borderId="20" xfId="0" applyFont="1" applyFill="1" applyBorder="1" applyAlignment="1">
      <alignment vertical="center"/>
    </xf>
    <xf numFmtId="0" fontId="143" fillId="17" borderId="21" xfId="0" applyFont="1" applyFill="1" applyBorder="1" applyAlignment="1">
      <alignment vertical="center"/>
    </xf>
    <xf numFmtId="0" fontId="9" fillId="17" borderId="12" xfId="0" applyFont="1" applyFill="1" applyBorder="1" applyAlignment="1">
      <alignment horizontal="left" vertical="center"/>
    </xf>
    <xf numFmtId="0" fontId="125" fillId="18" borderId="32" xfId="0" applyFont="1" applyFill="1" applyBorder="1"/>
    <xf numFmtId="0" fontId="125" fillId="18" borderId="53" xfId="0" applyFont="1" applyFill="1" applyBorder="1"/>
    <xf numFmtId="0" fontId="109" fillId="26" borderId="12" xfId="0" applyFont="1" applyFill="1" applyBorder="1" applyAlignment="1">
      <alignment horizontal="left" vertical="center"/>
    </xf>
    <xf numFmtId="0" fontId="9" fillId="26" borderId="12" xfId="0" applyFont="1" applyFill="1" applyBorder="1" applyAlignment="1">
      <alignment horizontal="left" vertical="center"/>
    </xf>
    <xf numFmtId="0" fontId="0" fillId="37" borderId="12" xfId="0" applyFill="1" applyBorder="1"/>
    <xf numFmtId="14" fontId="0" fillId="37" borderId="12" xfId="0" applyNumberFormat="1" applyFill="1" applyBorder="1"/>
    <xf numFmtId="0" fontId="0" fillId="38" borderId="12" xfId="0" applyFill="1" applyBorder="1"/>
    <xf numFmtId="14" fontId="0" fillId="38" borderId="12" xfId="0" applyNumberFormat="1" applyFill="1" applyBorder="1"/>
    <xf numFmtId="175" fontId="0" fillId="17" borderId="12" xfId="2" applyNumberFormat="1" applyFont="1" applyFill="1" applyBorder="1" applyAlignment="1">
      <alignment horizontal="center"/>
    </xf>
    <xf numFmtId="0" fontId="8" fillId="17" borderId="12" xfId="0" applyFont="1" applyFill="1" applyBorder="1" applyAlignment="1">
      <alignment horizontal="left" vertical="center"/>
    </xf>
    <xf numFmtId="0" fontId="144" fillId="2" borderId="19" xfId="0" applyFont="1" applyFill="1" applyBorder="1" applyAlignment="1">
      <alignment vertical="center"/>
    </xf>
    <xf numFmtId="14" fontId="109" fillId="2" borderId="7" xfId="0" applyNumberFormat="1" applyFont="1" applyFill="1" applyBorder="1" applyAlignment="1">
      <alignment horizontal="center" vertical="center"/>
    </xf>
    <xf numFmtId="14" fontId="109" fillId="2" borderId="8" xfId="0" applyNumberFormat="1" applyFont="1" applyFill="1" applyBorder="1" applyAlignment="1">
      <alignment horizontal="center" vertical="center"/>
    </xf>
    <xf numFmtId="166" fontId="7" fillId="17" borderId="12" xfId="0" applyNumberFormat="1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left" vertical="center" wrapText="1"/>
    </xf>
    <xf numFmtId="0" fontId="144" fillId="2" borderId="19" xfId="0" applyFont="1" applyFill="1" applyBorder="1" applyAlignment="1">
      <alignment horizontal="center" vertical="center"/>
    </xf>
    <xf numFmtId="0" fontId="0" fillId="39" borderId="12" xfId="0" applyFill="1" applyBorder="1"/>
    <xf numFmtId="14" fontId="0" fillId="39" borderId="12" xfId="0" applyNumberFormat="1" applyFill="1" applyBorder="1"/>
    <xf numFmtId="0" fontId="0" fillId="40" borderId="12" xfId="0" applyFill="1" applyBorder="1"/>
    <xf numFmtId="14" fontId="0" fillId="40" borderId="12" xfId="0" applyNumberFormat="1" applyFill="1" applyBorder="1"/>
    <xf numFmtId="0" fontId="6" fillId="26" borderId="12" xfId="0" applyFont="1" applyFill="1" applyBorder="1" applyAlignment="1">
      <alignment horizontal="left" vertical="center"/>
    </xf>
    <xf numFmtId="0" fontId="5" fillId="26" borderId="12" xfId="0" applyFont="1" applyFill="1" applyBorder="1" applyAlignment="1">
      <alignment horizontal="left" vertical="center"/>
    </xf>
    <xf numFmtId="0" fontId="5" fillId="17" borderId="12" xfId="0" applyFont="1" applyFill="1" applyBorder="1" applyAlignment="1">
      <alignment horizontal="left" vertical="center" wrapText="1"/>
    </xf>
    <xf numFmtId="0" fontId="4" fillId="17" borderId="12" xfId="0" applyFont="1" applyFill="1" applyBorder="1" applyAlignment="1">
      <alignment horizontal="left" vertical="center"/>
    </xf>
    <xf numFmtId="0" fontId="0" fillId="29" borderId="0" xfId="0" applyFill="1"/>
    <xf numFmtId="189" fontId="0" fillId="26" borderId="12" xfId="0" applyNumberFormat="1" applyFill="1" applyBorder="1"/>
    <xf numFmtId="14" fontId="130" fillId="2" borderId="22" xfId="0" applyNumberFormat="1" applyFont="1" applyFill="1" applyBorder="1" applyAlignment="1">
      <alignment vertical="center"/>
    </xf>
    <xf numFmtId="14" fontId="130" fillId="2" borderId="19" xfId="0" applyNumberFormat="1" applyFont="1" applyFill="1" applyBorder="1" applyAlignment="1">
      <alignment vertical="center"/>
    </xf>
    <xf numFmtId="14" fontId="130" fillId="2" borderId="32" xfId="0" applyNumberFormat="1" applyFont="1" applyFill="1" applyBorder="1" applyAlignment="1">
      <alignment vertical="center"/>
    </xf>
    <xf numFmtId="14" fontId="130" fillId="2" borderId="33" xfId="0" applyNumberFormat="1" applyFont="1" applyFill="1" applyBorder="1" applyAlignment="1">
      <alignment vertical="center"/>
    </xf>
    <xf numFmtId="165" fontId="131" fillId="2" borderId="0" xfId="1" applyNumberFormat="1" applyFont="1" applyFill="1" applyAlignment="1">
      <alignment horizontal="center" vertical="center"/>
    </xf>
    <xf numFmtId="0" fontId="3" fillId="26" borderId="12" xfId="0" applyFont="1" applyFill="1" applyBorder="1" applyAlignment="1">
      <alignment horizontal="left" vertical="center"/>
    </xf>
    <xf numFmtId="0" fontId="0" fillId="41" borderId="12" xfId="0" applyFill="1" applyBorder="1"/>
    <xf numFmtId="14" fontId="0" fillId="41" borderId="12" xfId="0" applyNumberFormat="1" applyFill="1" applyBorder="1"/>
    <xf numFmtId="176" fontId="0" fillId="16" borderId="12" xfId="0" applyNumberFormat="1" applyFill="1" applyBorder="1" applyAlignment="1">
      <alignment horizontal="center"/>
    </xf>
    <xf numFmtId="0" fontId="2" fillId="26" borderId="12" xfId="0" applyFont="1" applyFill="1" applyBorder="1" applyAlignment="1">
      <alignment horizontal="left" vertical="center"/>
    </xf>
    <xf numFmtId="14" fontId="109" fillId="17" borderId="7" xfId="0" applyNumberFormat="1" applyFont="1" applyFill="1" applyBorder="1" applyAlignment="1">
      <alignment horizontal="center" vertical="center"/>
    </xf>
    <xf numFmtId="14" fontId="109" fillId="17" borderId="8" xfId="0" applyNumberFormat="1" applyFont="1" applyFill="1" applyBorder="1" applyAlignment="1">
      <alignment horizontal="center" vertical="center"/>
    </xf>
    <xf numFmtId="0" fontId="144" fillId="17" borderId="19" xfId="0" applyFont="1" applyFill="1" applyBorder="1" applyAlignment="1">
      <alignment horizontal="center" vertical="center"/>
    </xf>
    <xf numFmtId="0" fontId="0" fillId="29" borderId="12" xfId="0" applyFill="1" applyBorder="1" applyAlignment="1">
      <alignment horizontal="center"/>
    </xf>
    <xf numFmtId="0" fontId="0" fillId="29" borderId="21" xfId="0" applyFill="1" applyBorder="1" applyAlignment="1">
      <alignment horizontal="center"/>
    </xf>
    <xf numFmtId="9" fontId="0" fillId="0" borderId="12" xfId="2" applyFont="1" applyBorder="1" applyAlignment="1">
      <alignment horizontal="center"/>
    </xf>
    <xf numFmtId="9" fontId="0" fillId="27" borderId="12" xfId="2" applyFont="1" applyFill="1" applyBorder="1" applyAlignment="1">
      <alignment horizontal="center"/>
    </xf>
    <xf numFmtId="9" fontId="0" fillId="0" borderId="0" xfId="0" applyNumberFormat="1" applyAlignment="1">
      <alignment horizontal="center"/>
    </xf>
    <xf numFmtId="166" fontId="1" fillId="26" borderId="12" xfId="0" applyNumberFormat="1" applyFont="1" applyFill="1" applyBorder="1" applyAlignment="1">
      <alignment horizontal="center" vertical="center"/>
    </xf>
    <xf numFmtId="0" fontId="1" fillId="26" borderId="12" xfId="0" applyFont="1" applyFill="1" applyBorder="1" applyAlignment="1">
      <alignment horizontal="left" vertical="center"/>
    </xf>
    <xf numFmtId="0" fontId="1" fillId="26" borderId="12" xfId="0" applyFont="1" applyFill="1" applyBorder="1" applyAlignment="1">
      <alignment horizontal="left" vertical="center" wrapText="1"/>
    </xf>
    <xf numFmtId="174" fontId="110" fillId="26" borderId="12" xfId="0" applyNumberFormat="1" applyFont="1" applyFill="1" applyBorder="1" applyAlignment="1">
      <alignment horizontal="center" vertical="center"/>
    </xf>
    <xf numFmtId="0" fontId="110" fillId="18" borderId="12" xfId="0" applyFont="1" applyFill="1" applyBorder="1" applyAlignment="1">
      <alignment horizontal="center"/>
    </xf>
    <xf numFmtId="0" fontId="110" fillId="18" borderId="7" xfId="0" applyFont="1" applyFill="1" applyBorder="1" applyAlignment="1">
      <alignment horizontal="center"/>
    </xf>
    <xf numFmtId="0" fontId="110" fillId="18" borderId="29" xfId="0" applyFont="1" applyFill="1" applyBorder="1" applyAlignment="1">
      <alignment horizontal="center"/>
    </xf>
    <xf numFmtId="0" fontId="110" fillId="18" borderId="8" xfId="0" applyFont="1" applyFill="1" applyBorder="1" applyAlignment="1">
      <alignment horizontal="center"/>
    </xf>
    <xf numFmtId="178" fontId="110" fillId="18" borderId="7" xfId="0" applyNumberFormat="1" applyFont="1" applyFill="1" applyBorder="1" applyAlignment="1">
      <alignment horizontal="center"/>
    </xf>
    <xf numFmtId="178" fontId="110" fillId="18" borderId="29" xfId="0" applyNumberFormat="1" applyFont="1" applyFill="1" applyBorder="1" applyAlignment="1">
      <alignment horizontal="center"/>
    </xf>
    <xf numFmtId="178" fontId="110" fillId="18" borderId="8" xfId="0" applyNumberFormat="1" applyFont="1" applyFill="1" applyBorder="1" applyAlignment="1">
      <alignment horizontal="center"/>
    </xf>
    <xf numFmtId="0" fontId="110" fillId="19" borderId="7" xfId="0" applyFont="1" applyFill="1" applyBorder="1" applyAlignment="1">
      <alignment horizontal="center"/>
    </xf>
    <xf numFmtId="0" fontId="110" fillId="19" borderId="29" xfId="0" applyFont="1" applyFill="1" applyBorder="1" applyAlignment="1">
      <alignment horizontal="center"/>
    </xf>
    <xf numFmtId="0" fontId="110" fillId="19" borderId="8" xfId="0" applyFont="1" applyFill="1" applyBorder="1" applyAlignment="1">
      <alignment horizontal="center"/>
    </xf>
    <xf numFmtId="0" fontId="110" fillId="18" borderId="12" xfId="0" applyFont="1" applyFill="1" applyBorder="1" applyAlignment="1">
      <alignment horizontal="center" vertical="center"/>
    </xf>
    <xf numFmtId="0" fontId="110" fillId="20" borderId="12" xfId="0" applyFont="1" applyFill="1" applyBorder="1" applyAlignment="1">
      <alignment horizontal="center"/>
    </xf>
    <xf numFmtId="0" fontId="110" fillId="18" borderId="30" xfId="0" applyFont="1" applyFill="1" applyBorder="1" applyAlignment="1">
      <alignment horizontal="center" vertical="center"/>
    </xf>
    <xf numFmtId="0" fontId="110" fillId="18" borderId="34" xfId="0" applyFont="1" applyFill="1" applyBorder="1" applyAlignment="1">
      <alignment horizontal="center" vertical="center"/>
    </xf>
    <xf numFmtId="0" fontId="110" fillId="18" borderId="31" xfId="0" applyFont="1" applyFill="1" applyBorder="1" applyAlignment="1">
      <alignment horizontal="center" vertical="center"/>
    </xf>
    <xf numFmtId="0" fontId="110" fillId="18" borderId="32" xfId="0" applyFont="1" applyFill="1" applyBorder="1" applyAlignment="1">
      <alignment horizontal="center" vertical="center"/>
    </xf>
    <xf numFmtId="0" fontId="110" fillId="18" borderId="53" xfId="0" applyFont="1" applyFill="1" applyBorder="1" applyAlignment="1">
      <alignment horizontal="center" vertical="center"/>
    </xf>
    <xf numFmtId="0" fontId="110" fillId="18" borderId="33" xfId="0" applyFont="1" applyFill="1" applyBorder="1" applyAlignment="1">
      <alignment horizontal="center" vertical="center"/>
    </xf>
    <xf numFmtId="0" fontId="110" fillId="18" borderId="20" xfId="0" applyFont="1" applyFill="1" applyBorder="1" applyAlignment="1">
      <alignment horizontal="center" vertical="center"/>
    </xf>
    <xf numFmtId="0" fontId="110" fillId="18" borderId="28" xfId="0" applyFont="1" applyFill="1" applyBorder="1" applyAlignment="1">
      <alignment horizontal="center" vertical="center"/>
    </xf>
    <xf numFmtId="43" fontId="110" fillId="18" borderId="20" xfId="1" applyFont="1" applyFill="1" applyBorder="1" applyAlignment="1">
      <alignment horizontal="center" vertical="center"/>
    </xf>
    <xf numFmtId="43" fontId="110" fillId="18" borderId="21" xfId="1" applyFont="1" applyFill="1" applyBorder="1" applyAlignment="1">
      <alignment horizontal="center" vertical="center"/>
    </xf>
    <xf numFmtId="43" fontId="110" fillId="18" borderId="28" xfId="1" applyFont="1" applyFill="1" applyBorder="1" applyAlignment="1">
      <alignment horizontal="center" vertical="center"/>
    </xf>
    <xf numFmtId="0" fontId="129" fillId="4" borderId="36" xfId="0" applyFont="1" applyFill="1" applyBorder="1" applyAlignment="1">
      <alignment horizontal="center"/>
    </xf>
    <xf numFmtId="0" fontId="129" fillId="4" borderId="55" xfId="0" applyFont="1" applyFill="1" applyBorder="1" applyAlignment="1">
      <alignment horizontal="center"/>
    </xf>
    <xf numFmtId="0" fontId="129" fillId="4" borderId="56" xfId="0" applyFont="1" applyFill="1" applyBorder="1" applyAlignment="1">
      <alignment horizontal="center"/>
    </xf>
    <xf numFmtId="0" fontId="110" fillId="18" borderId="12" xfId="0" applyFont="1" applyFill="1" applyBorder="1" applyAlignment="1">
      <alignment horizontal="center" vertical="center" wrapText="1"/>
    </xf>
    <xf numFmtId="0" fontId="110" fillId="18" borderId="21" xfId="0" applyFont="1" applyFill="1" applyBorder="1" applyAlignment="1">
      <alignment horizontal="center" vertical="center"/>
    </xf>
    <xf numFmtId="17" fontId="129" fillId="4" borderId="36" xfId="0" applyNumberFormat="1" applyFont="1" applyFill="1" applyBorder="1" applyAlignment="1">
      <alignment horizontal="center"/>
    </xf>
    <xf numFmtId="17" fontId="129" fillId="4" borderId="55" xfId="0" applyNumberFormat="1" applyFont="1" applyFill="1" applyBorder="1" applyAlignment="1">
      <alignment horizontal="center"/>
    </xf>
    <xf numFmtId="17" fontId="129" fillId="4" borderId="56" xfId="0" applyNumberFormat="1" applyFont="1" applyFill="1" applyBorder="1" applyAlignment="1">
      <alignment horizontal="center"/>
    </xf>
    <xf numFmtId="0" fontId="110" fillId="18" borderId="20" xfId="0" applyFont="1" applyFill="1" applyBorder="1" applyAlignment="1">
      <alignment horizontal="center" vertical="center" wrapText="1"/>
    </xf>
    <xf numFmtId="0" fontId="110" fillId="18" borderId="21" xfId="0" applyFont="1" applyFill="1" applyBorder="1" applyAlignment="1">
      <alignment horizontal="center" vertical="center" wrapText="1"/>
    </xf>
    <xf numFmtId="0" fontId="110" fillId="18" borderId="28" xfId="0" applyFont="1" applyFill="1" applyBorder="1" applyAlignment="1">
      <alignment horizontal="center" vertical="center" wrapText="1"/>
    </xf>
    <xf numFmtId="0" fontId="0" fillId="17" borderId="53" xfId="0" applyFill="1" applyBorder="1" applyAlignment="1">
      <alignment horizontal="center"/>
    </xf>
    <xf numFmtId="0" fontId="110" fillId="18" borderId="20" xfId="0" applyFont="1" applyFill="1" applyBorder="1" applyAlignment="1">
      <alignment horizontal="center" wrapText="1"/>
    </xf>
    <xf numFmtId="0" fontId="110" fillId="18" borderId="28" xfId="0" applyFont="1" applyFill="1" applyBorder="1" applyAlignment="1">
      <alignment horizontal="center" wrapText="1"/>
    </xf>
    <xf numFmtId="0" fontId="110" fillId="4" borderId="10" xfId="0" applyFont="1" applyFill="1" applyBorder="1" applyAlignment="1">
      <alignment horizontal="center"/>
    </xf>
    <xf numFmtId="0" fontId="110" fillId="4" borderId="23" xfId="0" applyFont="1" applyFill="1" applyBorder="1" applyAlignment="1">
      <alignment horizontal="center"/>
    </xf>
    <xf numFmtId="0" fontId="110" fillId="4" borderId="5" xfId="0" applyFont="1" applyFill="1" applyBorder="1" applyAlignment="1">
      <alignment horizontal="center" vertical="center"/>
    </xf>
    <xf numFmtId="0" fontId="110" fillId="4" borderId="21" xfId="0" applyFont="1" applyFill="1" applyBorder="1" applyAlignment="1">
      <alignment horizontal="center" vertical="center"/>
    </xf>
    <xf numFmtId="17" fontId="140" fillId="2" borderId="88" xfId="0" applyNumberFormat="1" applyFont="1" applyFill="1" applyBorder="1" applyAlignment="1">
      <alignment horizontal="center" vertical="center" textRotation="135"/>
    </xf>
    <xf numFmtId="17" fontId="140" fillId="2" borderId="64" xfId="0" applyNumberFormat="1" applyFont="1" applyFill="1" applyBorder="1" applyAlignment="1">
      <alignment horizontal="center" vertical="center" textRotation="135"/>
    </xf>
    <xf numFmtId="0" fontId="140" fillId="2" borderId="57" xfId="0" applyFont="1" applyFill="1" applyBorder="1" applyAlignment="1">
      <alignment horizontal="center" vertical="center" textRotation="135"/>
    </xf>
    <xf numFmtId="0" fontId="140" fillId="2" borderId="60" xfId="0" applyFont="1" applyFill="1" applyBorder="1" applyAlignment="1">
      <alignment horizontal="center" vertical="center" textRotation="135"/>
    </xf>
    <xf numFmtId="0" fontId="140" fillId="2" borderId="24" xfId="0" applyFont="1" applyFill="1" applyBorder="1" applyAlignment="1">
      <alignment horizontal="center" vertical="center" textRotation="135"/>
    </xf>
    <xf numFmtId="1" fontId="140" fillId="4" borderId="88" xfId="0" applyNumberFormat="1" applyFont="1" applyFill="1" applyBorder="1" applyAlignment="1">
      <alignment horizontal="center"/>
    </xf>
    <xf numFmtId="1" fontId="140" fillId="4" borderId="64" xfId="0" applyNumberFormat="1" applyFont="1" applyFill="1" applyBorder="1" applyAlignment="1">
      <alignment horizontal="center"/>
    </xf>
    <xf numFmtId="0" fontId="110" fillId="4" borderId="12" xfId="0" applyFont="1" applyFill="1" applyBorder="1" applyAlignment="1">
      <alignment horizontal="center"/>
    </xf>
    <xf numFmtId="0" fontId="117" fillId="3" borderId="40" xfId="0" applyFont="1" applyFill="1" applyBorder="1" applyAlignment="1">
      <alignment horizontal="center" vertical="center" wrapText="1"/>
    </xf>
    <xf numFmtId="0" fontId="116" fillId="3" borderId="44" xfId="0" applyFont="1" applyFill="1" applyBorder="1" applyAlignment="1">
      <alignment vertical="center"/>
    </xf>
    <xf numFmtId="1" fontId="117" fillId="3" borderId="41" xfId="0" applyNumberFormat="1" applyFont="1" applyFill="1" applyBorder="1" applyAlignment="1">
      <alignment horizontal="center" vertical="center" wrapText="1"/>
    </xf>
    <xf numFmtId="0" fontId="116" fillId="3" borderId="42" xfId="0" applyFont="1" applyFill="1" applyBorder="1" applyAlignment="1">
      <alignment vertical="center"/>
    </xf>
    <xf numFmtId="0" fontId="116" fillId="3" borderId="43" xfId="0" applyFont="1" applyFill="1" applyBorder="1" applyAlignment="1">
      <alignment vertical="center"/>
    </xf>
    <xf numFmtId="1" fontId="117" fillId="3" borderId="40" xfId="0" applyNumberFormat="1" applyFont="1" applyFill="1" applyBorder="1" applyAlignment="1">
      <alignment horizontal="center" vertical="center" wrapText="1"/>
    </xf>
    <xf numFmtId="0" fontId="117" fillId="3" borderId="41" xfId="0" applyFont="1" applyFill="1" applyBorder="1" applyAlignment="1">
      <alignment horizontal="center" vertical="center" wrapText="1"/>
    </xf>
    <xf numFmtId="0" fontId="116" fillId="3" borderId="46" xfId="0" applyFont="1" applyFill="1" applyBorder="1" applyAlignment="1">
      <alignment vertical="center"/>
    </xf>
    <xf numFmtId="1" fontId="117" fillId="3" borderId="44" xfId="0" applyNumberFormat="1" applyFont="1" applyFill="1" applyBorder="1" applyAlignment="1">
      <alignment horizontal="center" vertical="center" wrapText="1"/>
    </xf>
    <xf numFmtId="0" fontId="122" fillId="15" borderId="51" xfId="0" applyFont="1" applyFill="1" applyBorder="1" applyAlignment="1">
      <alignment horizontal="center"/>
    </xf>
    <xf numFmtId="0" fontId="123" fillId="15" borderId="0" xfId="0" applyFont="1" applyFill="1" applyAlignment="1">
      <alignment horizontal="center"/>
    </xf>
    <xf numFmtId="0" fontId="127" fillId="3" borderId="42" xfId="0" applyFont="1" applyFill="1" applyBorder="1" applyAlignment="1">
      <alignment horizontal="center" vertical="center"/>
    </xf>
    <xf numFmtId="0" fontId="127" fillId="3" borderId="43" xfId="0" applyFont="1" applyFill="1" applyBorder="1" applyAlignment="1">
      <alignment horizontal="center" vertical="center"/>
    </xf>
    <xf numFmtId="0" fontId="117" fillId="3" borderId="42" xfId="0" applyFont="1" applyFill="1" applyBorder="1" applyAlignment="1">
      <alignment horizontal="center" vertical="center" wrapText="1"/>
    </xf>
    <xf numFmtId="0" fontId="117" fillId="3" borderId="43" xfId="0" applyFont="1" applyFill="1" applyBorder="1" applyAlignment="1">
      <alignment horizontal="center" vertical="center" wrapText="1"/>
    </xf>
    <xf numFmtId="177" fontId="110" fillId="4" borderId="12" xfId="0" applyNumberFormat="1" applyFont="1" applyFill="1" applyBorder="1" applyAlignment="1">
      <alignment horizontal="center"/>
    </xf>
    <xf numFmtId="0" fontId="110" fillId="19" borderId="57" xfId="0" applyFont="1" applyFill="1" applyBorder="1" applyAlignment="1">
      <alignment horizontal="center"/>
    </xf>
    <xf numFmtId="0" fontId="110" fillId="19" borderId="10" xfId="0" applyFont="1" applyFill="1" applyBorder="1" applyAlignment="1">
      <alignment horizontal="center"/>
    </xf>
    <xf numFmtId="177" fontId="110" fillId="19" borderId="10" xfId="0" applyNumberFormat="1" applyFont="1" applyFill="1" applyBorder="1" applyAlignment="1">
      <alignment horizontal="center"/>
    </xf>
    <xf numFmtId="0" fontId="110" fillId="19" borderId="23" xfId="0" applyFont="1" applyFill="1" applyBorder="1" applyAlignment="1">
      <alignment horizontal="center"/>
    </xf>
    <xf numFmtId="0" fontId="125" fillId="18" borderId="0" xfId="0" applyFont="1" applyFill="1" applyAlignment="1">
      <alignment horizontal="center"/>
    </xf>
    <xf numFmtId="0" fontId="110" fillId="3" borderId="7" xfId="0" applyFont="1" applyFill="1" applyBorder="1" applyAlignment="1">
      <alignment horizontal="center"/>
    </xf>
    <xf numFmtId="0" fontId="110" fillId="3" borderId="8" xfId="0" applyFont="1" applyFill="1" applyBorder="1" applyAlignment="1">
      <alignment horizontal="center"/>
    </xf>
    <xf numFmtId="0" fontId="110" fillId="3" borderId="29" xfId="0" applyFont="1" applyFill="1" applyBorder="1" applyAlignment="1">
      <alignment horizontal="center"/>
    </xf>
    <xf numFmtId="0" fontId="110" fillId="3" borderId="53" xfId="0" applyFont="1" applyFill="1" applyBorder="1" applyAlignment="1">
      <alignment horizontal="center"/>
    </xf>
    <xf numFmtId="0" fontId="110" fillId="3" borderId="33" xfId="0" applyFont="1" applyFill="1" applyBorder="1" applyAlignment="1">
      <alignment horizontal="center"/>
    </xf>
    <xf numFmtId="14" fontId="125" fillId="4" borderId="18" xfId="0" applyNumberFormat="1" applyFont="1" applyFill="1" applyBorder="1" applyAlignment="1">
      <alignment horizontal="center" vertical="center"/>
    </xf>
    <xf numFmtId="14" fontId="125" fillId="4" borderId="19" xfId="0" applyNumberFormat="1" applyFont="1" applyFill="1" applyBorder="1" applyAlignment="1">
      <alignment horizontal="center" vertical="center"/>
    </xf>
    <xf numFmtId="0" fontId="125" fillId="4" borderId="24" xfId="0" applyFont="1" applyFill="1" applyBorder="1" applyAlignment="1">
      <alignment horizontal="center"/>
    </xf>
    <xf numFmtId="0" fontId="125" fillId="4" borderId="17" xfId="0" applyFont="1" applyFill="1" applyBorder="1" applyAlignment="1">
      <alignment horizontal="center"/>
    </xf>
    <xf numFmtId="14" fontId="130" fillId="2" borderId="1" xfId="0" applyNumberFormat="1" applyFont="1" applyFill="1" applyBorder="1" applyAlignment="1">
      <alignment horizontal="center" vertical="center"/>
    </xf>
    <xf numFmtId="14" fontId="130" fillId="2" borderId="4" xfId="0" applyNumberFormat="1" applyFont="1" applyFill="1" applyBorder="1" applyAlignment="1">
      <alignment horizontal="center" vertical="center"/>
    </xf>
    <xf numFmtId="14" fontId="130" fillId="2" borderId="13" xfId="0" applyNumberFormat="1" applyFont="1" applyFill="1" applyBorder="1" applyAlignment="1">
      <alignment horizontal="center" vertical="center"/>
    </xf>
    <xf numFmtId="14" fontId="130" fillId="2" borderId="14" xfId="0" applyNumberFormat="1" applyFont="1" applyFill="1" applyBorder="1" applyAlignment="1">
      <alignment horizontal="center" vertical="center"/>
    </xf>
    <xf numFmtId="165" fontId="130" fillId="2" borderId="0" xfId="0" applyNumberFormat="1" applyFont="1" applyFill="1" applyAlignment="1">
      <alignment horizontal="center" vertical="center"/>
    </xf>
    <xf numFmtId="0" fontId="130" fillId="2" borderId="53" xfId="0" applyFont="1" applyFill="1" applyBorder="1" applyAlignment="1">
      <alignment horizontal="center" vertical="center"/>
    </xf>
    <xf numFmtId="165" fontId="130" fillId="2" borderId="63" xfId="0" applyNumberFormat="1" applyFont="1" applyFill="1" applyBorder="1" applyAlignment="1">
      <alignment horizontal="center" vertical="center"/>
    </xf>
    <xf numFmtId="165" fontId="130" fillId="2" borderId="65" xfId="0" applyNumberFormat="1" applyFont="1" applyFill="1" applyBorder="1" applyAlignment="1">
      <alignment horizontal="center" vertical="center"/>
    </xf>
    <xf numFmtId="0" fontId="140" fillId="3" borderId="36" xfId="0" applyFont="1" applyFill="1" applyBorder="1" applyAlignment="1">
      <alignment horizontal="center"/>
    </xf>
    <xf numFmtId="0" fontId="140" fillId="3" borderId="55" xfId="0" applyFont="1" applyFill="1" applyBorder="1" applyAlignment="1">
      <alignment horizontal="center"/>
    </xf>
    <xf numFmtId="0" fontId="140" fillId="3" borderId="56" xfId="0" applyFont="1" applyFill="1" applyBorder="1" applyAlignment="1">
      <alignment horizontal="center"/>
    </xf>
    <xf numFmtId="165" fontId="130" fillId="2" borderId="5" xfId="0" applyNumberFormat="1" applyFont="1" applyFill="1" applyBorder="1" applyAlignment="1">
      <alignment horizontal="center" vertical="center"/>
    </xf>
    <xf numFmtId="165" fontId="130" fillId="2" borderId="15" xfId="0" applyNumberFormat="1" applyFont="1" applyFill="1" applyBorder="1" applyAlignment="1">
      <alignment horizontal="center" vertical="center"/>
    </xf>
    <xf numFmtId="165" fontId="130" fillId="2" borderId="21" xfId="0" applyNumberFormat="1" applyFont="1" applyFill="1" applyBorder="1" applyAlignment="1">
      <alignment horizontal="center" vertical="center"/>
    </xf>
    <xf numFmtId="14" fontId="130" fillId="17" borderId="1" xfId="0" applyNumberFormat="1" applyFont="1" applyFill="1" applyBorder="1" applyAlignment="1">
      <alignment horizontal="center" vertical="center"/>
    </xf>
    <xf numFmtId="14" fontId="130" fillId="17" borderId="4" xfId="0" applyNumberFormat="1" applyFont="1" applyFill="1" applyBorder="1" applyAlignment="1">
      <alignment horizontal="center" vertical="center"/>
    </xf>
    <xf numFmtId="14" fontId="130" fillId="17" borderId="13" xfId="0" applyNumberFormat="1" applyFont="1" applyFill="1" applyBorder="1" applyAlignment="1">
      <alignment horizontal="center" vertical="center"/>
    </xf>
    <xf numFmtId="14" fontId="130" fillId="17" borderId="14" xfId="0" applyNumberFormat="1" applyFont="1" applyFill="1" applyBorder="1" applyAlignment="1">
      <alignment horizontal="center" vertical="center"/>
    </xf>
    <xf numFmtId="165" fontId="130" fillId="17" borderId="5" xfId="0" applyNumberFormat="1" applyFont="1" applyFill="1" applyBorder="1" applyAlignment="1">
      <alignment horizontal="center" vertical="center"/>
    </xf>
    <xf numFmtId="165" fontId="130" fillId="17" borderId="15" xfId="0" applyNumberFormat="1" applyFont="1" applyFill="1" applyBorder="1" applyAlignment="1">
      <alignment horizontal="center" vertical="center"/>
    </xf>
    <xf numFmtId="14" fontId="130" fillId="2" borderId="18" xfId="0" applyNumberFormat="1" applyFont="1" applyFill="1" applyBorder="1" applyAlignment="1">
      <alignment horizontal="center" vertical="center"/>
    </xf>
    <xf numFmtId="14" fontId="130" fillId="2" borderId="19" xfId="0" applyNumberFormat="1" applyFont="1" applyFill="1" applyBorder="1" applyAlignment="1">
      <alignment horizontal="center" vertical="center"/>
    </xf>
    <xf numFmtId="0" fontId="125" fillId="3" borderId="18" xfId="0" applyFont="1" applyFill="1" applyBorder="1" applyAlignment="1">
      <alignment horizontal="center" vertical="center"/>
    </xf>
    <xf numFmtId="0" fontId="125" fillId="3" borderId="19" xfId="0" applyFont="1" applyFill="1" applyBorder="1" applyAlignment="1">
      <alignment horizontal="center" vertical="center"/>
    </xf>
    <xf numFmtId="165" fontId="130" fillId="2" borderId="6" xfId="0" applyNumberFormat="1" applyFont="1" applyFill="1" applyBorder="1" applyAlignment="1">
      <alignment horizontal="center" vertical="center"/>
    </xf>
    <xf numFmtId="0" fontId="130" fillId="2" borderId="16" xfId="0" applyFont="1" applyFill="1" applyBorder="1" applyAlignment="1">
      <alignment horizontal="center" vertical="center"/>
    </xf>
    <xf numFmtId="0" fontId="130" fillId="2" borderId="20" xfId="0" applyFont="1" applyFill="1" applyBorder="1" applyAlignment="1">
      <alignment horizontal="left" wrapText="1"/>
    </xf>
    <xf numFmtId="0" fontId="130" fillId="2" borderId="28" xfId="0" applyFont="1" applyFill="1" applyBorder="1" applyAlignment="1">
      <alignment horizontal="left" wrapText="1"/>
    </xf>
    <xf numFmtId="14" fontId="130" fillId="2" borderId="12" xfId="0" applyNumberFormat="1" applyFont="1" applyFill="1" applyBorder="1" applyAlignment="1">
      <alignment horizontal="center" vertical="center"/>
    </xf>
    <xf numFmtId="165" fontId="130" fillId="2" borderId="20" xfId="0" applyNumberFormat="1" applyFont="1" applyFill="1" applyBorder="1" applyAlignment="1">
      <alignment horizontal="center" vertical="center"/>
    </xf>
    <xf numFmtId="165" fontId="130" fillId="2" borderId="28" xfId="0" applyNumberFormat="1" applyFont="1" applyFill="1" applyBorder="1" applyAlignment="1">
      <alignment horizontal="center" vertical="center"/>
    </xf>
    <xf numFmtId="165" fontId="130" fillId="2" borderId="12" xfId="0" applyNumberFormat="1" applyFont="1" applyFill="1" applyBorder="1" applyAlignment="1">
      <alignment horizontal="center" vertical="center"/>
    </xf>
    <xf numFmtId="165" fontId="130" fillId="2" borderId="64" xfId="0" applyNumberFormat="1" applyFont="1" applyFill="1" applyBorder="1" applyAlignment="1">
      <alignment horizontal="center" vertical="center"/>
    </xf>
    <xf numFmtId="165" fontId="130" fillId="2" borderId="86" xfId="0" applyNumberFormat="1" applyFont="1" applyFill="1" applyBorder="1" applyAlignment="1">
      <alignment horizontal="center" vertical="center"/>
    </xf>
    <xf numFmtId="14" fontId="130" fillId="2" borderId="30" xfId="0" applyNumberFormat="1" applyFont="1" applyFill="1" applyBorder="1" applyAlignment="1">
      <alignment horizontal="center" vertical="center"/>
    </xf>
    <xf numFmtId="14" fontId="130" fillId="2" borderId="31" xfId="0" applyNumberFormat="1" applyFont="1" applyFill="1" applyBorder="1" applyAlignment="1">
      <alignment horizontal="center" vertical="center"/>
    </xf>
    <xf numFmtId="14" fontId="130" fillId="2" borderId="22" xfId="0" applyNumberFormat="1" applyFont="1" applyFill="1" applyBorder="1" applyAlignment="1">
      <alignment horizontal="center" vertical="center"/>
    </xf>
    <xf numFmtId="14" fontId="130" fillId="2" borderId="32" xfId="0" applyNumberFormat="1" applyFont="1" applyFill="1" applyBorder="1" applyAlignment="1">
      <alignment horizontal="center" vertical="center"/>
    </xf>
    <xf numFmtId="14" fontId="130" fillId="2" borderId="33" xfId="0" applyNumberFormat="1" applyFont="1" applyFill="1" applyBorder="1" applyAlignment="1">
      <alignment horizontal="center" vertical="center"/>
    </xf>
    <xf numFmtId="14" fontId="107" fillId="2" borderId="32" xfId="0" applyNumberFormat="1" applyFont="1" applyFill="1" applyBorder="1" applyAlignment="1">
      <alignment horizontal="center" vertical="center"/>
    </xf>
    <xf numFmtId="14" fontId="109" fillId="2" borderId="33" xfId="0" applyNumberFormat="1" applyFont="1" applyFill="1" applyBorder="1" applyAlignment="1">
      <alignment horizontal="center" vertical="center"/>
    </xf>
    <xf numFmtId="0" fontId="120" fillId="20" borderId="7" xfId="0" applyFont="1" applyFill="1" applyBorder="1" applyAlignment="1">
      <alignment horizontal="center"/>
    </xf>
    <xf numFmtId="0" fontId="120" fillId="20" borderId="8" xfId="0" applyFont="1" applyFill="1" applyBorder="1" applyAlignment="1">
      <alignment horizontal="center"/>
    </xf>
    <xf numFmtId="0" fontId="110" fillId="2" borderId="0" xfId="0" applyFont="1" applyFill="1" applyAlignment="1">
      <alignment horizontal="center"/>
    </xf>
    <xf numFmtId="0" fontId="110" fillId="3" borderId="30" xfId="0" applyFont="1" applyFill="1" applyBorder="1" applyAlignment="1">
      <alignment horizontal="center"/>
    </xf>
    <xf numFmtId="0" fontId="110" fillId="3" borderId="34" xfId="0" applyFont="1" applyFill="1" applyBorder="1" applyAlignment="1">
      <alignment horizontal="center"/>
    </xf>
    <xf numFmtId="0" fontId="110" fillId="3" borderId="31" xfId="0" applyFont="1" applyFill="1" applyBorder="1" applyAlignment="1">
      <alignment horizontal="center"/>
    </xf>
    <xf numFmtId="0" fontId="109" fillId="3" borderId="36" xfId="0" applyFont="1" applyFill="1" applyBorder="1" applyAlignment="1">
      <alignment horizontal="center"/>
    </xf>
    <xf numFmtId="0" fontId="109" fillId="3" borderId="37" xfId="0" applyFont="1" applyFill="1" applyBorder="1" applyAlignment="1">
      <alignment horizontal="center"/>
    </xf>
    <xf numFmtId="0" fontId="125" fillId="2" borderId="0" xfId="0" applyFont="1" applyFill="1" applyAlignment="1">
      <alignment horizontal="center"/>
    </xf>
    <xf numFmtId="0" fontId="134" fillId="2" borderId="18" xfId="0" applyFont="1" applyFill="1" applyBorder="1" applyAlignment="1">
      <alignment horizontal="center"/>
    </xf>
    <xf numFmtId="0" fontId="134" fillId="2" borderId="0" xfId="0" applyFont="1" applyFill="1" applyAlignment="1">
      <alignment horizontal="center"/>
    </xf>
    <xf numFmtId="0" fontId="134" fillId="2" borderId="67" xfId="0" applyFont="1" applyFill="1" applyBorder="1" applyAlignment="1">
      <alignment horizontal="center"/>
    </xf>
    <xf numFmtId="0" fontId="134" fillId="2" borderId="13" xfId="0" applyFont="1" applyFill="1" applyBorder="1" applyAlignment="1">
      <alignment horizontal="center"/>
    </xf>
    <xf numFmtId="0" fontId="134" fillId="2" borderId="51" xfId="0" applyFont="1" applyFill="1" applyBorder="1" applyAlignment="1">
      <alignment horizontal="center"/>
    </xf>
    <xf numFmtId="0" fontId="134" fillId="2" borderId="26" xfId="0" applyFont="1" applyFill="1" applyBorder="1" applyAlignment="1">
      <alignment horizontal="center"/>
    </xf>
    <xf numFmtId="0" fontId="136" fillId="2" borderId="18" xfId="0" applyFont="1" applyFill="1" applyBorder="1" applyAlignment="1">
      <alignment horizontal="center"/>
    </xf>
    <xf numFmtId="0" fontId="136" fillId="2" borderId="0" xfId="0" applyFont="1" applyFill="1" applyAlignment="1">
      <alignment horizontal="center"/>
    </xf>
    <xf numFmtId="0" fontId="136" fillId="2" borderId="67" xfId="0" applyFont="1" applyFill="1" applyBorder="1" applyAlignment="1">
      <alignment horizontal="center"/>
    </xf>
    <xf numFmtId="0" fontId="136" fillId="2" borderId="13" xfId="0" applyFont="1" applyFill="1" applyBorder="1" applyAlignment="1">
      <alignment horizontal="center"/>
    </xf>
    <xf numFmtId="0" fontId="136" fillId="2" borderId="51" xfId="0" applyFont="1" applyFill="1" applyBorder="1" applyAlignment="1">
      <alignment horizontal="center"/>
    </xf>
    <xf numFmtId="0" fontId="136" fillId="2" borderId="26" xfId="0" applyFont="1" applyFill="1" applyBorder="1" applyAlignment="1">
      <alignment horizontal="center"/>
    </xf>
    <xf numFmtId="0" fontId="133" fillId="2" borderId="0" xfId="0" applyFont="1" applyFill="1" applyAlignment="1">
      <alignment horizontal="center"/>
    </xf>
    <xf numFmtId="0" fontId="150" fillId="26" borderId="20" xfId="0" applyFont="1" applyFill="1" applyBorder="1" applyAlignment="1">
      <alignment horizontal="center" vertical="center"/>
    </xf>
    <xf numFmtId="0" fontId="150" fillId="26" borderId="21" xfId="0" applyFont="1" applyFill="1" applyBorder="1" applyAlignment="1">
      <alignment horizontal="center" vertical="center"/>
    </xf>
    <xf numFmtId="0" fontId="150" fillId="26" borderId="28" xfId="0" applyFont="1" applyFill="1" applyBorder="1" applyAlignment="1">
      <alignment horizontal="center" vertical="center"/>
    </xf>
    <xf numFmtId="0" fontId="149" fillId="17" borderId="21" xfId="0" applyFont="1" applyFill="1" applyBorder="1" applyAlignment="1">
      <alignment horizontal="center" vertical="center"/>
    </xf>
    <xf numFmtId="0" fontId="149" fillId="17" borderId="28" xfId="0" applyFont="1" applyFill="1" applyBorder="1" applyAlignment="1">
      <alignment horizontal="center" vertical="center"/>
    </xf>
    <xf numFmtId="0" fontId="0" fillId="26" borderId="7" xfId="0" applyFill="1" applyBorder="1" applyAlignment="1">
      <alignment horizontal="center"/>
    </xf>
    <xf numFmtId="0" fontId="0" fillId="26" borderId="29" xfId="0" applyFill="1" applyBorder="1" applyAlignment="1">
      <alignment horizontal="center"/>
    </xf>
    <xf numFmtId="0" fontId="0" fillId="26" borderId="8" xfId="0" applyFill="1" applyBorder="1" applyAlignment="1">
      <alignment horizontal="center"/>
    </xf>
    <xf numFmtId="0" fontId="149" fillId="17" borderId="20" xfId="0" applyFont="1" applyFill="1" applyBorder="1" applyAlignment="1">
      <alignment horizontal="center" vertical="center"/>
    </xf>
    <xf numFmtId="0" fontId="149" fillId="26" borderId="20" xfId="0" applyFont="1" applyFill="1" applyBorder="1" applyAlignment="1">
      <alignment horizontal="center" vertical="center"/>
    </xf>
    <xf numFmtId="0" fontId="149" fillId="26" borderId="21" xfId="0" applyFont="1" applyFill="1" applyBorder="1" applyAlignment="1">
      <alignment horizontal="center" vertical="center"/>
    </xf>
    <xf numFmtId="0" fontId="149" fillId="26" borderId="28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7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132" fillId="23" borderId="20" xfId="0" applyFont="1" applyFill="1" applyBorder="1" applyAlignment="1">
      <alignment horizontal="center" vertical="center"/>
    </xf>
    <xf numFmtId="0" fontId="132" fillId="23" borderId="21" xfId="0" applyFont="1" applyFill="1" applyBorder="1" applyAlignment="1">
      <alignment horizontal="center" vertical="center"/>
    </xf>
    <xf numFmtId="0" fontId="132" fillId="23" borderId="28" xfId="0" applyFont="1" applyFill="1" applyBorder="1" applyAlignment="1">
      <alignment horizontal="center" vertical="center"/>
    </xf>
    <xf numFmtId="0" fontId="132" fillId="22" borderId="20" xfId="0" applyFont="1" applyFill="1" applyBorder="1" applyAlignment="1">
      <alignment horizontal="center" vertical="center"/>
    </xf>
    <xf numFmtId="0" fontId="132" fillId="22" borderId="21" xfId="0" applyFont="1" applyFill="1" applyBorder="1" applyAlignment="1">
      <alignment horizontal="center" vertical="center"/>
    </xf>
    <xf numFmtId="0" fontId="132" fillId="22" borderId="28" xfId="0" applyFont="1" applyFill="1" applyBorder="1" applyAlignment="1">
      <alignment horizontal="center" vertical="center"/>
    </xf>
    <xf numFmtId="0" fontId="129" fillId="17" borderId="20" xfId="0" applyFont="1" applyFill="1" applyBorder="1" applyAlignment="1">
      <alignment horizontal="center" vertical="center"/>
    </xf>
    <xf numFmtId="0" fontId="129" fillId="17" borderId="21" xfId="0" applyFont="1" applyFill="1" applyBorder="1" applyAlignment="1">
      <alignment horizontal="center" vertical="center"/>
    </xf>
    <xf numFmtId="0" fontId="129" fillId="17" borderId="28" xfId="0" applyFont="1" applyFill="1" applyBorder="1" applyAlignment="1">
      <alignment horizontal="center" vertical="center"/>
    </xf>
    <xf numFmtId="0" fontId="125" fillId="22" borderId="20" xfId="0" applyFont="1" applyFill="1" applyBorder="1" applyAlignment="1">
      <alignment horizontal="center" vertical="center"/>
    </xf>
    <xf numFmtId="0" fontId="125" fillId="22" borderId="21" xfId="0" applyFont="1" applyFill="1" applyBorder="1" applyAlignment="1">
      <alignment horizontal="center" vertical="center"/>
    </xf>
    <xf numFmtId="0" fontId="125" fillId="22" borderId="28" xfId="0" applyFont="1" applyFill="1" applyBorder="1" applyAlignment="1">
      <alignment horizontal="center" vertical="center"/>
    </xf>
    <xf numFmtId="0" fontId="146" fillId="26" borderId="20" xfId="0" applyFont="1" applyFill="1" applyBorder="1" applyAlignment="1">
      <alignment horizontal="center" vertical="center"/>
    </xf>
    <xf numFmtId="0" fontId="146" fillId="26" borderId="21" xfId="0" applyFont="1" applyFill="1" applyBorder="1" applyAlignment="1">
      <alignment horizontal="center" vertical="center"/>
    </xf>
    <xf numFmtId="0" fontId="146" fillId="26" borderId="28" xfId="0" applyFont="1" applyFill="1" applyBorder="1" applyAlignment="1">
      <alignment horizontal="center" vertical="center"/>
    </xf>
    <xf numFmtId="0" fontId="129" fillId="26" borderId="20" xfId="0" applyFont="1" applyFill="1" applyBorder="1" applyAlignment="1">
      <alignment horizontal="center" vertical="center"/>
    </xf>
    <xf numFmtId="0" fontId="129" fillId="26" borderId="21" xfId="0" applyFont="1" applyFill="1" applyBorder="1" applyAlignment="1">
      <alignment horizontal="center" vertical="center"/>
    </xf>
    <xf numFmtId="0" fontId="129" fillId="26" borderId="28" xfId="0" applyFont="1" applyFill="1" applyBorder="1" applyAlignment="1">
      <alignment horizontal="center" vertical="center"/>
    </xf>
    <xf numFmtId="0" fontId="146" fillId="17" borderId="20" xfId="0" applyFont="1" applyFill="1" applyBorder="1" applyAlignment="1">
      <alignment horizontal="center" vertical="center"/>
    </xf>
    <xf numFmtId="0" fontId="146" fillId="17" borderId="21" xfId="0" applyFont="1" applyFill="1" applyBorder="1" applyAlignment="1">
      <alignment horizontal="center" vertical="center"/>
    </xf>
    <xf numFmtId="0" fontId="146" fillId="17" borderId="28" xfId="0" applyFont="1" applyFill="1" applyBorder="1" applyAlignment="1">
      <alignment horizontal="center" vertical="center"/>
    </xf>
    <xf numFmtId="0" fontId="125" fillId="17" borderId="20" xfId="0" applyFont="1" applyFill="1" applyBorder="1" applyAlignment="1">
      <alignment horizontal="center" vertical="center"/>
    </xf>
    <xf numFmtId="0" fontId="125" fillId="17" borderId="21" xfId="0" applyFont="1" applyFill="1" applyBorder="1" applyAlignment="1">
      <alignment horizontal="center" vertical="center"/>
    </xf>
    <xf numFmtId="0" fontId="125" fillId="17" borderId="28" xfId="0" applyFont="1" applyFill="1" applyBorder="1" applyAlignment="1">
      <alignment horizontal="center" vertical="center"/>
    </xf>
    <xf numFmtId="0" fontId="110" fillId="16" borderId="12" xfId="0" applyFont="1" applyFill="1" applyBorder="1" applyAlignment="1">
      <alignment horizontal="center"/>
    </xf>
    <xf numFmtId="0" fontId="140" fillId="22" borderId="20" xfId="0" applyFont="1" applyFill="1" applyBorder="1" applyAlignment="1">
      <alignment horizontal="center" vertical="center"/>
    </xf>
    <xf numFmtId="0" fontId="140" fillId="22" borderId="21" xfId="0" applyFont="1" applyFill="1" applyBorder="1" applyAlignment="1">
      <alignment horizontal="center" vertical="center"/>
    </xf>
    <xf numFmtId="0" fontId="140" fillId="22" borderId="28" xfId="0" applyFont="1" applyFill="1" applyBorder="1" applyAlignment="1">
      <alignment horizontal="center" vertical="center"/>
    </xf>
    <xf numFmtId="0" fontId="140" fillId="17" borderId="20" xfId="0" applyFont="1" applyFill="1" applyBorder="1" applyAlignment="1">
      <alignment horizontal="center" vertical="center"/>
    </xf>
    <xf numFmtId="0" fontId="140" fillId="17" borderId="21" xfId="0" applyFont="1" applyFill="1" applyBorder="1" applyAlignment="1">
      <alignment horizontal="center" vertical="center"/>
    </xf>
    <xf numFmtId="0" fontId="140" fillId="17" borderId="28" xfId="0" applyFont="1" applyFill="1" applyBorder="1" applyAlignment="1">
      <alignment horizontal="center" vertical="center"/>
    </xf>
    <xf numFmtId="0" fontId="110" fillId="18" borderId="0" xfId="0" applyFont="1" applyFill="1" applyAlignment="1">
      <alignment horizontal="center"/>
    </xf>
    <xf numFmtId="14" fontId="92" fillId="17" borderId="12" xfId="0" applyNumberFormat="1" applyFont="1" applyFill="1" applyBorder="1" applyAlignment="1">
      <alignment horizontal="center" vertical="center"/>
    </xf>
    <xf numFmtId="14" fontId="109" fillId="17" borderId="12" xfId="0" applyNumberFormat="1" applyFont="1" applyFill="1" applyBorder="1" applyAlignment="1">
      <alignment horizontal="center" vertical="center"/>
    </xf>
    <xf numFmtId="14" fontId="92" fillId="26" borderId="12" xfId="0" applyNumberFormat="1" applyFont="1" applyFill="1" applyBorder="1" applyAlignment="1">
      <alignment horizontal="center" vertical="center"/>
    </xf>
    <xf numFmtId="14" fontId="109" fillId="26" borderId="12" xfId="0" applyNumberFormat="1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0" fontId="143" fillId="17" borderId="20" xfId="0" applyFont="1" applyFill="1" applyBorder="1" applyAlignment="1">
      <alignment horizontal="center" vertical="center"/>
    </xf>
    <xf numFmtId="0" fontId="143" fillId="17" borderId="21" xfId="0" applyFont="1" applyFill="1" applyBorder="1" applyAlignment="1">
      <alignment horizontal="center" vertical="center"/>
    </xf>
    <xf numFmtId="0" fontId="143" fillId="26" borderId="21" xfId="0" applyFont="1" applyFill="1" applyBorder="1" applyAlignment="1">
      <alignment horizontal="center" vertical="center"/>
    </xf>
    <xf numFmtId="0" fontId="143" fillId="26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14" fontId="92" fillId="28" borderId="12" xfId="0" applyNumberFormat="1" applyFont="1" applyFill="1" applyBorder="1" applyAlignment="1">
      <alignment horizontal="center" vertical="center"/>
    </xf>
    <xf numFmtId="14" fontId="109" fillId="28" borderId="12" xfId="0" applyNumberFormat="1" applyFont="1" applyFill="1" applyBorder="1" applyAlignment="1">
      <alignment horizontal="center" vertical="center"/>
    </xf>
    <xf numFmtId="14" fontId="92" fillId="2" borderId="12" xfId="0" applyNumberFormat="1" applyFont="1" applyFill="1" applyBorder="1" applyAlignment="1">
      <alignment horizontal="center" vertical="center"/>
    </xf>
    <xf numFmtId="14" fontId="109" fillId="2" borderId="12" xfId="0" applyNumberFormat="1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26" borderId="20" xfId="2" applyFont="1" applyFill="1" applyBorder="1" applyAlignment="1">
      <alignment horizontal="center"/>
    </xf>
    <xf numFmtId="9" fontId="0" fillId="26" borderId="28" xfId="2" applyFont="1" applyFill="1" applyBorder="1" applyAlignment="1">
      <alignment horizontal="center"/>
    </xf>
    <xf numFmtId="9" fontId="110" fillId="19" borderId="12" xfId="2" applyFont="1" applyFill="1" applyBorder="1" applyAlignment="1">
      <alignment horizontal="center" vertical="center"/>
    </xf>
    <xf numFmtId="0" fontId="132" fillId="17" borderId="20" xfId="0" applyFont="1" applyFill="1" applyBorder="1" applyAlignment="1">
      <alignment horizontal="center" vertical="center"/>
    </xf>
    <xf numFmtId="0" fontId="132" fillId="17" borderId="21" xfId="0" applyFont="1" applyFill="1" applyBorder="1" applyAlignment="1">
      <alignment horizontal="center" vertical="center"/>
    </xf>
    <xf numFmtId="0" fontId="132" fillId="17" borderId="28" xfId="0" applyFont="1" applyFill="1" applyBorder="1" applyAlignment="1">
      <alignment horizontal="center" vertical="center"/>
    </xf>
    <xf numFmtId="0" fontId="132" fillId="19" borderId="20" xfId="0" applyFont="1" applyFill="1" applyBorder="1" applyAlignment="1">
      <alignment horizontal="center" vertical="center"/>
    </xf>
    <xf numFmtId="0" fontId="132" fillId="19" borderId="21" xfId="0" applyFont="1" applyFill="1" applyBorder="1" applyAlignment="1">
      <alignment horizontal="center" vertical="center"/>
    </xf>
    <xf numFmtId="0" fontId="132" fillId="19" borderId="28" xfId="0" applyFont="1" applyFill="1" applyBorder="1" applyAlignment="1">
      <alignment horizontal="center" vertical="center"/>
    </xf>
    <xf numFmtId="14" fontId="92" fillId="19" borderId="12" xfId="0" applyNumberFormat="1" applyFont="1" applyFill="1" applyBorder="1" applyAlignment="1">
      <alignment horizontal="center" vertical="center"/>
    </xf>
    <xf numFmtId="14" fontId="109" fillId="19" borderId="12" xfId="0" applyNumberFormat="1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0" fontId="132" fillId="22" borderId="80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32" fillId="23" borderId="20" xfId="0" applyFont="1" applyFill="1" applyBorder="1" applyAlignment="1">
      <alignment horizontal="center" vertical="center" wrapText="1"/>
    </xf>
    <xf numFmtId="0" fontId="132" fillId="23" borderId="21" xfId="0" applyFont="1" applyFill="1" applyBorder="1" applyAlignment="1">
      <alignment horizontal="center" vertical="center" wrapText="1"/>
    </xf>
    <xf numFmtId="0" fontId="132" fillId="23" borderId="28" xfId="0" applyFont="1" applyFill="1" applyBorder="1" applyAlignment="1">
      <alignment horizontal="center" vertical="center" wrapText="1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0" fontId="132" fillId="26" borderId="20" xfId="0" applyFont="1" applyFill="1" applyBorder="1" applyAlignment="1">
      <alignment horizontal="center" vertical="center"/>
    </xf>
    <xf numFmtId="0" fontId="132" fillId="26" borderId="21" xfId="0" applyFont="1" applyFill="1" applyBorder="1" applyAlignment="1">
      <alignment horizontal="center" vertical="center"/>
    </xf>
    <xf numFmtId="0" fontId="132" fillId="26" borderId="28" xfId="0" applyFont="1" applyFill="1" applyBorder="1" applyAlignment="1">
      <alignment horizontal="center" vertical="center"/>
    </xf>
    <xf numFmtId="0" fontId="132" fillId="28" borderId="20" xfId="0" applyFont="1" applyFill="1" applyBorder="1" applyAlignment="1">
      <alignment horizontal="center" vertical="center"/>
    </xf>
    <xf numFmtId="0" fontId="132" fillId="28" borderId="21" xfId="0" applyFont="1" applyFill="1" applyBorder="1" applyAlignment="1">
      <alignment horizontal="center" vertical="center"/>
    </xf>
    <xf numFmtId="0" fontId="132" fillId="28" borderId="28" xfId="0" applyFont="1" applyFill="1" applyBorder="1" applyAlignment="1">
      <alignment horizontal="center" vertical="center"/>
    </xf>
    <xf numFmtId="9" fontId="110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132" fillId="23" borderId="30" xfId="0" applyFont="1" applyFill="1" applyBorder="1" applyAlignment="1">
      <alignment horizontal="center" vertical="center"/>
    </xf>
    <xf numFmtId="0" fontId="132" fillId="23" borderId="22" xfId="0" applyFont="1" applyFill="1" applyBorder="1" applyAlignment="1">
      <alignment horizontal="center" vertical="center"/>
    </xf>
    <xf numFmtId="0" fontId="132" fillId="23" borderId="32" xfId="0" applyFont="1" applyFill="1" applyBorder="1" applyAlignment="1">
      <alignment horizontal="center" vertical="center"/>
    </xf>
    <xf numFmtId="0" fontId="132" fillId="22" borderId="30" xfId="0" applyFont="1" applyFill="1" applyBorder="1" applyAlignment="1">
      <alignment horizontal="center" vertical="center"/>
    </xf>
    <xf numFmtId="0" fontId="132" fillId="22" borderId="22" xfId="0" applyFont="1" applyFill="1" applyBorder="1" applyAlignment="1">
      <alignment horizontal="center" vertical="center"/>
    </xf>
    <xf numFmtId="0" fontId="132" fillId="22" borderId="53" xfId="0" applyFont="1" applyFill="1" applyBorder="1" applyAlignment="1">
      <alignment horizontal="center" vertical="center"/>
    </xf>
    <xf numFmtId="14" fontId="92" fillId="23" borderId="12" xfId="0" applyNumberFormat="1" applyFont="1" applyFill="1" applyBorder="1" applyAlignment="1">
      <alignment horizontal="center" vertical="center"/>
    </xf>
    <xf numFmtId="14" fontId="109" fillId="23" borderId="12" xfId="0" applyNumberFormat="1" applyFont="1" applyFill="1" applyBorder="1" applyAlignment="1">
      <alignment horizontal="center" vertical="center"/>
    </xf>
    <xf numFmtId="14" fontId="92" fillId="22" borderId="12" xfId="0" applyNumberFormat="1" applyFont="1" applyFill="1" applyBorder="1" applyAlignment="1">
      <alignment horizontal="center" vertical="center"/>
    </xf>
    <xf numFmtId="14" fontId="109" fillId="22" borderId="12" xfId="0" applyNumberFormat="1" applyFont="1" applyFill="1" applyBorder="1" applyAlignment="1">
      <alignment horizontal="center" vertical="center"/>
    </xf>
    <xf numFmtId="0" fontId="110" fillId="3" borderId="22" xfId="0" applyFont="1" applyFill="1" applyBorder="1" applyAlignment="1">
      <alignment horizontal="center"/>
    </xf>
    <xf numFmtId="0" fontId="110" fillId="3" borderId="0" xfId="0" applyFont="1" applyFill="1" applyAlignment="1">
      <alignment horizontal="center"/>
    </xf>
    <xf numFmtId="14" fontId="92" fillId="22" borderId="28" xfId="0" applyNumberFormat="1" applyFont="1" applyFill="1" applyBorder="1" applyAlignment="1">
      <alignment horizontal="center" vertical="center"/>
    </xf>
    <xf numFmtId="14" fontId="109" fillId="22" borderId="28" xfId="0" applyNumberFormat="1" applyFont="1" applyFill="1" applyBorder="1" applyAlignment="1">
      <alignment horizontal="center" vertical="center"/>
    </xf>
    <xf numFmtId="0" fontId="110" fillId="3" borderId="12" xfId="0" applyFont="1" applyFill="1" applyBorder="1" applyAlignment="1">
      <alignment horizontal="center" vertical="center"/>
    </xf>
    <xf numFmtId="14" fontId="92" fillId="23" borderId="69" xfId="0" applyNumberFormat="1" applyFont="1" applyFill="1" applyBorder="1" applyAlignment="1">
      <alignment horizontal="center" vertical="center"/>
    </xf>
    <xf numFmtId="14" fontId="109" fillId="23" borderId="70" xfId="0" applyNumberFormat="1" applyFont="1" applyFill="1" applyBorder="1" applyAlignment="1">
      <alignment horizontal="center" vertical="center"/>
    </xf>
    <xf numFmtId="14" fontId="92" fillId="23" borderId="28" xfId="0" applyNumberFormat="1" applyFont="1" applyFill="1" applyBorder="1" applyAlignment="1">
      <alignment horizontal="center" vertical="center"/>
    </xf>
    <xf numFmtId="14" fontId="109" fillId="23" borderId="28" xfId="0" applyNumberFormat="1" applyFont="1" applyFill="1" applyBorder="1" applyAlignment="1">
      <alignment horizontal="center" vertical="center"/>
    </xf>
    <xf numFmtId="14" fontId="92" fillId="23" borderId="20" xfId="0" applyNumberFormat="1" applyFont="1" applyFill="1" applyBorder="1" applyAlignment="1">
      <alignment horizontal="center" vertical="center"/>
    </xf>
    <xf numFmtId="14" fontId="109" fillId="23" borderId="20" xfId="0" applyNumberFormat="1" applyFont="1" applyFill="1" applyBorder="1" applyAlignment="1">
      <alignment horizontal="center" vertical="center"/>
    </xf>
    <xf numFmtId="14" fontId="92" fillId="23" borderId="73" xfId="0" applyNumberFormat="1" applyFont="1" applyFill="1" applyBorder="1" applyAlignment="1">
      <alignment horizontal="center" vertical="center"/>
    </xf>
    <xf numFmtId="14" fontId="109" fillId="23" borderId="74" xfId="0" applyNumberFormat="1" applyFont="1" applyFill="1" applyBorder="1" applyAlignment="1">
      <alignment horizontal="center" vertical="center"/>
    </xf>
    <xf numFmtId="14" fontId="92" fillId="23" borderId="75" xfId="0" applyNumberFormat="1" applyFont="1" applyFill="1" applyBorder="1" applyAlignment="1">
      <alignment horizontal="center" vertical="center"/>
    </xf>
    <xf numFmtId="14" fontId="109" fillId="23" borderId="76" xfId="0" applyNumberFormat="1" applyFont="1" applyFill="1" applyBorder="1" applyAlignment="1">
      <alignment horizontal="center" vertical="center"/>
    </xf>
    <xf numFmtId="0" fontId="132" fillId="23" borderId="34" xfId="0" applyFont="1" applyFill="1" applyBorder="1" applyAlignment="1">
      <alignment horizontal="center" vertical="center"/>
    </xf>
    <xf numFmtId="0" fontId="132" fillId="23" borderId="0" xfId="0" applyFont="1" applyFill="1" applyAlignment="1">
      <alignment horizontal="center" vertical="center"/>
    </xf>
    <xf numFmtId="0" fontId="132" fillId="23" borderId="77" xfId="0" applyFont="1" applyFill="1" applyBorder="1" applyAlignment="1">
      <alignment horizontal="center" vertical="center"/>
    </xf>
    <xf numFmtId="0" fontId="143" fillId="26" borderId="20" xfId="0" applyFont="1" applyFill="1" applyBorder="1" applyAlignment="1">
      <alignment horizontal="center" vertical="center"/>
    </xf>
    <xf numFmtId="14" fontId="92" fillId="17" borderId="7" xfId="0" applyNumberFormat="1" applyFont="1" applyFill="1" applyBorder="1" applyAlignment="1">
      <alignment horizontal="center" vertical="center"/>
    </xf>
    <xf numFmtId="14" fontId="92" fillId="17" borderId="8" xfId="0" applyNumberFormat="1" applyFont="1" applyFill="1" applyBorder="1" applyAlignment="1">
      <alignment horizontal="center" vertical="center"/>
    </xf>
    <xf numFmtId="0" fontId="151" fillId="17" borderId="20" xfId="0" applyFont="1" applyFill="1" applyBorder="1" applyAlignment="1">
      <alignment horizontal="center" vertical="center"/>
    </xf>
    <xf numFmtId="0" fontId="151" fillId="17" borderId="21" xfId="0" applyFont="1" applyFill="1" applyBorder="1" applyAlignment="1">
      <alignment horizontal="center" vertical="center"/>
    </xf>
    <xf numFmtId="0" fontId="151" fillId="17" borderId="28" xfId="0" applyFont="1" applyFill="1" applyBorder="1" applyAlignment="1">
      <alignment horizontal="center" vertical="center"/>
    </xf>
    <xf numFmtId="0" fontId="151" fillId="26" borderId="20" xfId="0" applyFont="1" applyFill="1" applyBorder="1" applyAlignment="1">
      <alignment horizontal="center" vertical="center"/>
    </xf>
    <xf numFmtId="0" fontId="151" fillId="26" borderId="21" xfId="0" applyFont="1" applyFill="1" applyBorder="1" applyAlignment="1">
      <alignment horizontal="center" vertical="center"/>
    </xf>
    <xf numFmtId="0" fontId="151" fillId="26" borderId="28" xfId="0" applyFont="1" applyFill="1" applyBorder="1" applyAlignment="1">
      <alignment horizontal="center" vertical="center"/>
    </xf>
    <xf numFmtId="0" fontId="150" fillId="17" borderId="20" xfId="0" applyFont="1" applyFill="1" applyBorder="1" applyAlignment="1">
      <alignment horizontal="center" vertical="center"/>
    </xf>
    <xf numFmtId="0" fontId="150" fillId="17" borderId="21" xfId="0" applyFont="1" applyFill="1" applyBorder="1" applyAlignment="1">
      <alignment horizontal="center" vertical="center"/>
    </xf>
    <xf numFmtId="0" fontId="150" fillId="17" borderId="28" xfId="0" applyFont="1" applyFill="1" applyBorder="1" applyAlignment="1">
      <alignment horizontal="center" vertical="center"/>
    </xf>
    <xf numFmtId="0" fontId="148" fillId="26" borderId="20" xfId="0" applyFont="1" applyFill="1" applyBorder="1" applyAlignment="1">
      <alignment horizontal="center" vertical="center"/>
    </xf>
    <xf numFmtId="0" fontId="148" fillId="26" borderId="21" xfId="0" applyFont="1" applyFill="1" applyBorder="1" applyAlignment="1">
      <alignment horizontal="center" vertical="center"/>
    </xf>
    <xf numFmtId="0" fontId="148" fillId="26" borderId="28" xfId="0" applyFont="1" applyFill="1" applyBorder="1" applyAlignment="1">
      <alignment horizontal="center" vertical="center"/>
    </xf>
    <xf numFmtId="0" fontId="144" fillId="26" borderId="20" xfId="0" applyFont="1" applyFill="1" applyBorder="1" applyAlignment="1">
      <alignment horizontal="center" vertical="center"/>
    </xf>
    <xf numFmtId="0" fontId="144" fillId="26" borderId="21" xfId="0" applyFont="1" applyFill="1" applyBorder="1" applyAlignment="1">
      <alignment horizontal="center" vertical="center"/>
    </xf>
    <xf numFmtId="0" fontId="144" fillId="26" borderId="28" xfId="0" applyFont="1" applyFill="1" applyBorder="1" applyAlignment="1">
      <alignment horizontal="center" vertical="center"/>
    </xf>
    <xf numFmtId="0" fontId="132" fillId="22" borderId="5" xfId="0" applyFont="1" applyFill="1" applyBorder="1" applyAlignment="1">
      <alignment horizontal="center" vertical="center"/>
    </xf>
    <xf numFmtId="0" fontId="110" fillId="18" borderId="57" xfId="0" applyFont="1" applyFill="1" applyBorder="1" applyAlignment="1">
      <alignment horizontal="center"/>
    </xf>
    <xf numFmtId="0" fontId="110" fillId="18" borderId="10" xfId="0" applyFont="1" applyFill="1" applyBorder="1" applyAlignment="1">
      <alignment horizontal="center"/>
    </xf>
    <xf numFmtId="0" fontId="110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25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20" fillId="16" borderId="36" xfId="0" applyFont="1" applyFill="1" applyBorder="1" applyAlignment="1">
      <alignment horizontal="center"/>
    </xf>
    <xf numFmtId="0" fontId="120" fillId="16" borderId="55" xfId="0" applyFont="1" applyFill="1" applyBorder="1" applyAlignment="1">
      <alignment horizontal="center"/>
    </xf>
    <xf numFmtId="0" fontId="120" fillId="16" borderId="56" xfId="0" applyFont="1" applyFill="1" applyBorder="1" applyAlignment="1">
      <alignment horizontal="center"/>
    </xf>
    <xf numFmtId="0" fontId="110" fillId="4" borderId="18" xfId="0" applyFont="1" applyFill="1" applyBorder="1" applyAlignment="1">
      <alignment horizontal="center"/>
    </xf>
    <xf numFmtId="0" fontId="110" fillId="4" borderId="0" xfId="0" applyFont="1" applyFill="1" applyAlignment="1">
      <alignment horizontal="center"/>
    </xf>
    <xf numFmtId="0" fontId="110" fillId="4" borderId="67" xfId="0" applyFont="1" applyFill="1" applyBorder="1" applyAlignment="1">
      <alignment horizontal="center"/>
    </xf>
    <xf numFmtId="0" fontId="125" fillId="4" borderId="0" xfId="0" applyFont="1" applyFill="1" applyAlignment="1">
      <alignment horizont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0" fontId="144" fillId="26" borderId="19" xfId="0" applyFon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14" fontId="109" fillId="17" borderId="7" xfId="0" applyNumberFormat="1" applyFont="1" applyFill="1" applyBorder="1" applyAlignment="1">
      <alignment horizontal="center" vertical="center"/>
    </xf>
    <xf numFmtId="14" fontId="109" fillId="17" borderId="8" xfId="0" applyNumberFormat="1" applyFont="1" applyFill="1" applyBorder="1" applyAlignment="1">
      <alignment horizontal="center" vertical="center"/>
    </xf>
    <xf numFmtId="14" fontId="109" fillId="2" borderId="7" xfId="0" applyNumberFormat="1" applyFont="1" applyFill="1" applyBorder="1" applyAlignment="1">
      <alignment horizontal="center" vertical="center"/>
    </xf>
    <xf numFmtId="14" fontId="109" fillId="2" borderId="8" xfId="0" applyNumberFormat="1" applyFont="1" applyFill="1" applyBorder="1" applyAlignment="1">
      <alignment horizontal="center" vertical="center"/>
    </xf>
    <xf numFmtId="14" fontId="109" fillId="26" borderId="7" xfId="0" applyNumberFormat="1" applyFont="1" applyFill="1" applyBorder="1" applyAlignment="1">
      <alignment horizontal="center"/>
    </xf>
    <xf numFmtId="14" fontId="109" fillId="26" borderId="8" xfId="0" applyNumberFormat="1" applyFont="1" applyFill="1" applyBorder="1" applyAlignment="1">
      <alignment horizontal="center"/>
    </xf>
    <xf numFmtId="14" fontId="3" fillId="26" borderId="7" xfId="0" applyNumberFormat="1" applyFont="1" applyFill="1" applyBorder="1" applyAlignment="1">
      <alignment horizontal="center" vertical="center"/>
    </xf>
    <xf numFmtId="14" fontId="109" fillId="26" borderId="8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0" fontId="144" fillId="17" borderId="19" xfId="0" applyFont="1" applyFill="1" applyBorder="1" applyAlignment="1">
      <alignment horizontal="center" vertical="center"/>
    </xf>
    <xf numFmtId="14" fontId="109" fillId="26" borderId="7" xfId="0" applyNumberFormat="1" applyFont="1" applyFill="1" applyBorder="1" applyAlignment="1">
      <alignment horizontal="center" vertical="center"/>
    </xf>
    <xf numFmtId="0" fontId="0" fillId="17" borderId="7" xfId="0" applyFill="1" applyBorder="1" applyAlignment="1">
      <alignment horizontal="center"/>
    </xf>
    <xf numFmtId="0" fontId="0" fillId="17" borderId="8" xfId="0" applyFill="1" applyBorder="1" applyAlignment="1">
      <alignment horizontal="center"/>
    </xf>
    <xf numFmtId="14" fontId="3" fillId="26" borderId="8" xfId="0" applyNumberFormat="1" applyFont="1" applyFill="1" applyBorder="1" applyAlignment="1">
      <alignment horizontal="center" vertical="center"/>
    </xf>
    <xf numFmtId="0" fontId="144" fillId="17" borderId="67" xfId="0" applyFont="1" applyFill="1" applyBorder="1" applyAlignment="1">
      <alignment horizontal="center" vertical="center"/>
    </xf>
    <xf numFmtId="0" fontId="132" fillId="17" borderId="67" xfId="0" applyFont="1" applyFill="1" applyBorder="1" applyAlignment="1">
      <alignment horizontal="center" vertical="center"/>
    </xf>
    <xf numFmtId="0" fontId="144" fillId="26" borderId="0" xfId="0" applyFont="1" applyFill="1" applyAlignment="1">
      <alignment horizontal="center" vertical="center"/>
    </xf>
    <xf numFmtId="14" fontId="109" fillId="26" borderId="1" xfId="0" applyNumberFormat="1" applyFont="1" applyFill="1" applyBorder="1" applyAlignment="1">
      <alignment horizontal="center" vertical="center"/>
    </xf>
    <xf numFmtId="14" fontId="109" fillId="26" borderId="4" xfId="0" applyNumberFormat="1" applyFont="1" applyFill="1" applyBorder="1" applyAlignment="1">
      <alignment horizontal="center" vertical="center"/>
    </xf>
    <xf numFmtId="14" fontId="109" fillId="26" borderId="18" xfId="0" applyNumberFormat="1" applyFont="1" applyFill="1" applyBorder="1" applyAlignment="1">
      <alignment horizontal="center" vertical="center"/>
    </xf>
    <xf numFmtId="14" fontId="109" fillId="26" borderId="19" xfId="0" applyNumberFormat="1" applyFont="1" applyFill="1" applyBorder="1" applyAlignment="1">
      <alignment horizontal="center" vertical="center"/>
    </xf>
    <xf numFmtId="0" fontId="143" fillId="26" borderId="87" xfId="0" applyFont="1" applyFill="1" applyBorder="1" applyAlignment="1">
      <alignment horizontal="center" vertical="center"/>
    </xf>
    <xf numFmtId="0" fontId="143" fillId="26" borderId="67" xfId="0" applyFont="1" applyFill="1" applyBorder="1" applyAlignment="1">
      <alignment horizontal="center" vertical="center"/>
    </xf>
    <xf numFmtId="14" fontId="109" fillId="17" borderId="1" xfId="0" applyNumberFormat="1" applyFont="1" applyFill="1" applyBorder="1" applyAlignment="1">
      <alignment horizontal="center" vertical="center"/>
    </xf>
    <xf numFmtId="14" fontId="109" fillId="17" borderId="4" xfId="0" applyNumberFormat="1" applyFont="1" applyFill="1" applyBorder="1" applyAlignment="1">
      <alignment horizontal="center" vertical="center"/>
    </xf>
    <xf numFmtId="14" fontId="109" fillId="17" borderId="13" xfId="0" applyNumberFormat="1" applyFont="1" applyFill="1" applyBorder="1" applyAlignment="1">
      <alignment horizontal="center" vertical="center"/>
    </xf>
    <xf numFmtId="14" fontId="109" fillId="17" borderId="14" xfId="0" applyNumberFormat="1" applyFont="1" applyFill="1" applyBorder="1" applyAlignment="1">
      <alignment horizontal="center" vertical="center"/>
    </xf>
    <xf numFmtId="14" fontId="109" fillId="26" borderId="13" xfId="0" applyNumberFormat="1" applyFont="1" applyFill="1" applyBorder="1" applyAlignment="1">
      <alignment horizontal="center" vertical="center"/>
    </xf>
    <xf numFmtId="14" fontId="109" fillId="26" borderId="14" xfId="0" applyNumberFormat="1" applyFont="1" applyFill="1" applyBorder="1" applyAlignment="1">
      <alignment horizontal="center" vertical="center"/>
    </xf>
    <xf numFmtId="0" fontId="145" fillId="26" borderId="67" xfId="0" applyFont="1" applyFill="1" applyBorder="1" applyAlignment="1">
      <alignment horizontal="center" vertical="center"/>
    </xf>
    <xf numFmtId="0" fontId="145" fillId="17" borderId="67" xfId="0" applyFont="1" applyFill="1" applyBorder="1" applyAlignment="1">
      <alignment horizontal="center" vertical="center"/>
    </xf>
    <xf numFmtId="0" fontId="147" fillId="26" borderId="67" xfId="0" applyFont="1" applyFill="1" applyBorder="1" applyAlignment="1">
      <alignment horizontal="center" vertical="center"/>
    </xf>
    <xf numFmtId="0" fontId="132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4" fontId="109" fillId="28" borderId="1" xfId="0" applyNumberFormat="1" applyFont="1" applyFill="1" applyBorder="1" applyAlignment="1">
      <alignment horizontal="center" vertical="center"/>
    </xf>
    <xf numFmtId="14" fontId="109" fillId="28" borderId="4" xfId="0" applyNumberFormat="1" applyFont="1" applyFill="1" applyBorder="1" applyAlignment="1">
      <alignment horizontal="center" vertical="center"/>
    </xf>
    <xf numFmtId="14" fontId="109" fillId="28" borderId="13" xfId="0" applyNumberFormat="1" applyFont="1" applyFill="1" applyBorder="1" applyAlignment="1">
      <alignment horizontal="center" vertical="center"/>
    </xf>
    <xf numFmtId="14" fontId="109" fillId="28" borderId="14" xfId="0" applyNumberFormat="1" applyFont="1" applyFill="1" applyBorder="1" applyAlignment="1">
      <alignment horizontal="center" vertical="center"/>
    </xf>
    <xf numFmtId="14" fontId="109" fillId="19" borderId="1" xfId="0" applyNumberFormat="1" applyFont="1" applyFill="1" applyBorder="1" applyAlignment="1">
      <alignment horizontal="center" vertical="center"/>
    </xf>
    <xf numFmtId="14" fontId="109" fillId="19" borderId="4" xfId="0" applyNumberFormat="1" applyFont="1" applyFill="1" applyBorder="1" applyAlignment="1">
      <alignment horizontal="center" vertical="center"/>
    </xf>
    <xf numFmtId="14" fontId="109" fillId="19" borderId="13" xfId="0" applyNumberFormat="1" applyFont="1" applyFill="1" applyBorder="1" applyAlignment="1">
      <alignment horizontal="center" vertical="center"/>
    </xf>
    <xf numFmtId="14" fontId="109" fillId="19" borderId="1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4" fontId="109" fillId="2" borderId="1" xfId="0" applyNumberFormat="1" applyFont="1" applyFill="1" applyBorder="1" applyAlignment="1">
      <alignment horizontal="center" vertical="center"/>
    </xf>
    <xf numFmtId="14" fontId="109" fillId="2" borderId="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1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09" fillId="29" borderId="1" xfId="0" applyNumberFormat="1" applyFont="1" applyFill="1" applyBorder="1" applyAlignment="1">
      <alignment horizontal="center" vertical="center"/>
    </xf>
    <xf numFmtId="14" fontId="109" fillId="29" borderId="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109" fillId="2" borderId="13" xfId="0" applyNumberFormat="1" applyFont="1" applyFill="1" applyBorder="1" applyAlignment="1">
      <alignment horizontal="center" vertical="center"/>
    </xf>
    <xf numFmtId="14" fontId="109" fillId="2" borderId="14" xfId="0" applyNumberFormat="1" applyFont="1" applyFill="1" applyBorder="1" applyAlignment="1">
      <alignment horizontal="center" vertical="center"/>
    </xf>
    <xf numFmtId="0" fontId="111" fillId="25" borderId="36" xfId="0" applyFont="1" applyFill="1" applyBorder="1" applyAlignment="1">
      <alignment horizontal="center" vertical="center" wrapText="1"/>
    </xf>
    <xf numFmtId="0" fontId="111" fillId="25" borderId="55" xfId="0" applyFont="1" applyFill="1" applyBorder="1" applyAlignment="1">
      <alignment horizontal="center" vertical="center" wrapText="1"/>
    </xf>
    <xf numFmtId="0" fontId="111" fillId="25" borderId="56" xfId="0" applyFont="1" applyFill="1" applyBorder="1" applyAlignment="1">
      <alignment horizontal="center" vertical="center" wrapText="1"/>
    </xf>
    <xf numFmtId="14" fontId="109" fillId="17" borderId="18" xfId="0" applyNumberFormat="1" applyFont="1" applyFill="1" applyBorder="1" applyAlignment="1">
      <alignment horizontal="center" vertical="center"/>
    </xf>
    <xf numFmtId="14" fontId="109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10" fillId="23" borderId="20" xfId="0" applyNumberFormat="1" applyFont="1" applyFill="1" applyBorder="1" applyAlignment="1">
      <alignment horizontal="center" vertical="center"/>
    </xf>
    <xf numFmtId="1" fontId="110" fillId="23" borderId="21" xfId="0" applyNumberFormat="1" applyFont="1" applyFill="1" applyBorder="1" applyAlignment="1">
      <alignment horizontal="center" vertical="center"/>
    </xf>
    <xf numFmtId="1" fontId="110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110" fillId="23" borderId="12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109" fillId="23" borderId="1" xfId="0" applyNumberFormat="1" applyFont="1" applyFill="1" applyBorder="1" applyAlignment="1">
      <alignment horizontal="center" vertical="center"/>
    </xf>
    <xf numFmtId="14" fontId="109" fillId="23" borderId="4" xfId="0" applyNumberFormat="1" applyFont="1" applyFill="1" applyBorder="1" applyAlignment="1">
      <alignment horizontal="center" vertical="center"/>
    </xf>
    <xf numFmtId="14" fontId="109" fillId="23" borderId="13" xfId="0" applyNumberFormat="1" applyFont="1" applyFill="1" applyBorder="1" applyAlignment="1">
      <alignment horizontal="center" vertical="center"/>
    </xf>
    <xf numFmtId="14" fontId="109" fillId="23" borderId="14" xfId="0" applyNumberFormat="1" applyFon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10" fillId="22" borderId="12" xfId="0" applyNumberFormat="1" applyFont="1" applyFill="1" applyBorder="1" applyAlignment="1">
      <alignment horizontal="center" vertical="center"/>
    </xf>
    <xf numFmtId="14" fontId="109" fillId="22" borderId="1" xfId="0" applyNumberFormat="1" applyFont="1" applyFill="1" applyBorder="1" applyAlignment="1">
      <alignment horizontal="center" vertical="center"/>
    </xf>
    <xf numFmtId="14" fontId="109" fillId="22" borderId="4" xfId="0" applyNumberFormat="1" applyFont="1" applyFill="1" applyBorder="1" applyAlignment="1">
      <alignment horizontal="center" vertical="center"/>
    </xf>
    <xf numFmtId="14" fontId="109" fillId="22" borderId="13" xfId="0" applyNumberFormat="1" applyFont="1" applyFill="1" applyBorder="1" applyAlignment="1">
      <alignment horizontal="center" vertical="center"/>
    </xf>
    <xf numFmtId="14" fontId="109" fillId="22" borderId="14" xfId="0" applyNumberFormat="1" applyFont="1" applyFill="1" applyBorder="1" applyAlignment="1">
      <alignment horizontal="center" vertical="center"/>
    </xf>
    <xf numFmtId="14" fontId="109" fillId="2" borderId="84" xfId="0" applyNumberFormat="1" applyFont="1" applyFill="1" applyBorder="1" applyAlignment="1">
      <alignment horizontal="center" vertical="center"/>
    </xf>
    <xf numFmtId="14" fontId="109" fillId="2" borderId="31" xfId="0" applyNumberFormat="1" applyFont="1" applyFill="1" applyBorder="1" applyAlignment="1">
      <alignment horizontal="center" vertical="center"/>
    </xf>
    <xf numFmtId="14" fontId="109" fillId="22" borderId="84" xfId="0" applyNumberFormat="1" applyFont="1" applyFill="1" applyBorder="1" applyAlignment="1">
      <alignment horizontal="center" vertical="center"/>
    </xf>
    <xf numFmtId="14" fontId="109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109" fillId="0" borderId="28" xfId="0" applyNumberFormat="1" applyFont="1" applyBorder="1" applyAlignment="1">
      <alignment horizontal="center" vertical="center"/>
    </xf>
    <xf numFmtId="0" fontId="110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132" fillId="23" borderId="12" xfId="0" applyFont="1" applyFill="1" applyBorder="1" applyAlignment="1">
      <alignment horizontal="center" vertical="center"/>
    </xf>
    <xf numFmtId="0" fontId="132" fillId="22" borderId="12" xfId="0" applyFont="1" applyFill="1" applyBorder="1" applyAlignment="1">
      <alignment horizontal="center" vertical="center"/>
    </xf>
    <xf numFmtId="14" fontId="109" fillId="23" borderId="73" xfId="0" applyNumberFormat="1" applyFont="1" applyFill="1" applyBorder="1" applyAlignment="1">
      <alignment horizontal="center" vertical="center"/>
    </xf>
    <xf numFmtId="14" fontId="109" fillId="23" borderId="75" xfId="0" applyNumberFormat="1" applyFont="1" applyFill="1" applyBorder="1" applyAlignment="1">
      <alignment horizontal="center" vertical="center"/>
    </xf>
    <xf numFmtId="0" fontId="132" fillId="19" borderId="67" xfId="0" applyFont="1" applyFill="1" applyBorder="1" applyAlignment="1">
      <alignment horizontal="center" vertical="center"/>
    </xf>
    <xf numFmtId="0" fontId="110" fillId="3" borderId="30" xfId="0" applyFont="1" applyFill="1" applyBorder="1" applyAlignment="1">
      <alignment horizontal="center" vertical="center"/>
    </xf>
    <xf numFmtId="0" fontId="110" fillId="3" borderId="31" xfId="0" applyFont="1" applyFill="1" applyBorder="1" applyAlignment="1">
      <alignment horizontal="center" vertical="center"/>
    </xf>
    <xf numFmtId="0" fontId="132" fillId="2" borderId="20" xfId="0" applyFont="1" applyFill="1" applyBorder="1" applyAlignment="1">
      <alignment horizontal="center" vertical="center"/>
    </xf>
    <xf numFmtId="0" fontId="132" fillId="2" borderId="28" xfId="0" applyFont="1" applyFill="1" applyBorder="1" applyAlignment="1">
      <alignment horizontal="center" vertical="center"/>
    </xf>
    <xf numFmtId="0" fontId="132" fillId="23" borderId="67" xfId="0" applyFont="1" applyFill="1" applyBorder="1" applyAlignment="1">
      <alignment horizontal="center" vertical="center"/>
    </xf>
    <xf numFmtId="0" fontId="132" fillId="22" borderId="67" xfId="0" applyFont="1" applyFill="1" applyBorder="1" applyAlignment="1">
      <alignment horizontal="center" vertical="center"/>
    </xf>
    <xf numFmtId="14" fontId="78" fillId="23" borderId="74" xfId="0" applyNumberFormat="1" applyFont="1" applyFill="1" applyBorder="1" applyAlignment="1">
      <alignment horizontal="center" vertical="center" wrapText="1"/>
    </xf>
    <xf numFmtId="14" fontId="109" fillId="23" borderId="76" xfId="0" applyNumberFormat="1" applyFont="1" applyFill="1" applyBorder="1" applyAlignment="1">
      <alignment horizontal="center" vertical="center" wrapText="1"/>
    </xf>
    <xf numFmtId="0" fontId="132" fillId="23" borderId="7" xfId="0" applyFont="1" applyFill="1" applyBorder="1" applyAlignment="1">
      <alignment horizontal="center" vertical="center"/>
    </xf>
    <xf numFmtId="14" fontId="109" fillId="2" borderId="18" xfId="0" applyNumberFormat="1" applyFont="1" applyFill="1" applyBorder="1" applyAlignment="1">
      <alignment horizontal="center" vertical="center"/>
    </xf>
    <xf numFmtId="14" fontId="109" fillId="2" borderId="19" xfId="0" applyNumberFormat="1" applyFont="1" applyFill="1" applyBorder="1" applyAlignment="1">
      <alignment horizontal="center" vertical="center"/>
    </xf>
    <xf numFmtId="14" fontId="109" fillId="2" borderId="32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24" fillId="4" borderId="1" xfId="0" applyFont="1" applyFill="1" applyBorder="1" applyAlignment="1">
      <alignment horizontal="center" vertical="center"/>
    </xf>
    <xf numFmtId="0" fontId="124" fillId="4" borderId="2" xfId="0" applyFont="1" applyFill="1" applyBorder="1" applyAlignment="1">
      <alignment horizontal="center" vertical="center"/>
    </xf>
    <xf numFmtId="0" fontId="124" fillId="4" borderId="3" xfId="0" applyFont="1" applyFill="1" applyBorder="1" applyAlignment="1">
      <alignment horizontal="center" vertical="center"/>
    </xf>
    <xf numFmtId="0" fontId="124" fillId="4" borderId="13" xfId="0" applyFont="1" applyFill="1" applyBorder="1" applyAlignment="1">
      <alignment horizontal="center" vertical="center"/>
    </xf>
    <xf numFmtId="0" fontId="124" fillId="4" borderId="51" xfId="0" applyFont="1" applyFill="1" applyBorder="1" applyAlignment="1">
      <alignment horizontal="center" vertical="center"/>
    </xf>
    <xf numFmtId="0" fontId="124" fillId="4" borderId="26" xfId="0" applyFont="1" applyFill="1" applyBorder="1" applyAlignment="1">
      <alignment horizontal="center" vertical="center"/>
    </xf>
    <xf numFmtId="20" fontId="117" fillId="11" borderId="7" xfId="0" applyNumberFormat="1" applyFont="1" applyFill="1" applyBorder="1" applyAlignment="1">
      <alignment horizontal="center" vertical="center"/>
    </xf>
    <xf numFmtId="20" fontId="117" fillId="11" borderId="29" xfId="0" applyNumberFormat="1" applyFont="1" applyFill="1" applyBorder="1" applyAlignment="1">
      <alignment horizontal="center" vertical="center"/>
    </xf>
    <xf numFmtId="20" fontId="117" fillId="11" borderId="8" xfId="0" applyNumberFormat="1" applyFont="1" applyFill="1" applyBorder="1" applyAlignment="1">
      <alignment horizontal="center" vertical="center"/>
    </xf>
    <xf numFmtId="20" fontId="119" fillId="10" borderId="7" xfId="0" applyNumberFormat="1" applyFont="1" applyFill="1" applyBorder="1" applyAlignment="1">
      <alignment horizontal="center"/>
    </xf>
    <xf numFmtId="20" fontId="119" fillId="10" borderId="29" xfId="0" applyNumberFormat="1" applyFont="1" applyFill="1" applyBorder="1" applyAlignment="1">
      <alignment horizontal="center"/>
    </xf>
    <xf numFmtId="20" fontId="119" fillId="10" borderId="8" xfId="0" applyNumberFormat="1" applyFont="1" applyFill="1" applyBorder="1" applyAlignment="1">
      <alignment horizontal="center"/>
    </xf>
    <xf numFmtId="0" fontId="117" fillId="11" borderId="29" xfId="0" applyFont="1" applyFill="1" applyBorder="1" applyAlignment="1">
      <alignment horizontal="center" vertical="center"/>
    </xf>
    <xf numFmtId="0" fontId="117" fillId="11" borderId="8" xfId="0" applyFont="1" applyFill="1" applyBorder="1" applyAlignment="1">
      <alignment horizontal="center" vertical="center"/>
    </xf>
    <xf numFmtId="0" fontId="117" fillId="11" borderId="7" xfId="0" applyFont="1" applyFill="1" applyBorder="1" applyAlignment="1">
      <alignment horizontal="center" vertical="center"/>
    </xf>
    <xf numFmtId="14" fontId="115" fillId="7" borderId="5" xfId="0" applyNumberFormat="1" applyFont="1" applyFill="1" applyBorder="1" applyAlignment="1">
      <alignment horizontal="center" vertical="center"/>
    </xf>
    <xf numFmtId="14" fontId="115" fillId="7" borderId="21" xfId="0" applyNumberFormat="1" applyFont="1" applyFill="1" applyBorder="1" applyAlignment="1">
      <alignment horizontal="center" vertical="center"/>
    </xf>
    <xf numFmtId="0" fontId="116" fillId="2" borderId="20" xfId="0" applyFont="1" applyFill="1" applyBorder="1" applyAlignment="1">
      <alignment horizontal="center"/>
    </xf>
    <xf numFmtId="0" fontId="116" fillId="2" borderId="21" xfId="0" applyFont="1" applyFill="1" applyBorder="1" applyAlignment="1">
      <alignment horizontal="center"/>
    </xf>
    <xf numFmtId="0" fontId="116" fillId="2" borderId="28" xfId="0" applyFont="1" applyFill="1" applyBorder="1" applyAlignment="1">
      <alignment horizontal="center"/>
    </xf>
    <xf numFmtId="0" fontId="116" fillId="2" borderId="20" xfId="0" applyFont="1" applyFill="1" applyBorder="1" applyAlignment="1">
      <alignment horizontal="center" vertical="center"/>
    </xf>
    <xf numFmtId="0" fontId="116" fillId="2" borderId="21" xfId="0" applyFont="1" applyFill="1" applyBorder="1" applyAlignment="1">
      <alignment horizontal="center" vertical="center"/>
    </xf>
    <xf numFmtId="0" fontId="116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10" fillId="10" borderId="12" xfId="0" applyFont="1" applyFill="1" applyBorder="1" applyAlignment="1">
      <alignment horizontal="center" vertical="center"/>
    </xf>
    <xf numFmtId="14" fontId="115" fillId="7" borderId="20" xfId="0" applyNumberFormat="1" applyFont="1" applyFill="1" applyBorder="1" applyAlignment="1">
      <alignment horizontal="center" vertical="center"/>
    </xf>
    <xf numFmtId="0" fontId="110" fillId="10" borderId="12" xfId="0" applyFont="1" applyFill="1" applyBorder="1" applyAlignment="1">
      <alignment horizontal="center"/>
    </xf>
    <xf numFmtId="14" fontId="115" fillId="7" borderId="57" xfId="0" applyNumberFormat="1" applyFont="1" applyFill="1" applyBorder="1" applyAlignment="1">
      <alignment horizontal="center" vertical="center"/>
    </xf>
    <xf numFmtId="14" fontId="115" fillId="7" borderId="60" xfId="0" applyNumberFormat="1" applyFont="1" applyFill="1" applyBorder="1" applyAlignment="1">
      <alignment horizontal="center" vertical="center"/>
    </xf>
    <xf numFmtId="14" fontId="115" fillId="7" borderId="24" xfId="0" applyNumberFormat="1" applyFont="1" applyFill="1" applyBorder="1" applyAlignment="1">
      <alignment horizontal="center" vertical="center"/>
    </xf>
    <xf numFmtId="14" fontId="115" fillId="7" borderId="12" xfId="0" applyNumberFormat="1" applyFont="1" applyFill="1" applyBorder="1" applyAlignment="1">
      <alignment horizontal="center" vertical="center"/>
    </xf>
    <xf numFmtId="14" fontId="115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16" fillId="2" borderId="12" xfId="0" applyFont="1" applyFill="1" applyBorder="1"/>
    <xf numFmtId="14" fontId="115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115" fillId="2" borderId="12" xfId="0" applyFont="1" applyFill="1" applyBorder="1" applyAlignment="1">
      <alignment horizontal="left" vertical="top" wrapText="1"/>
    </xf>
    <xf numFmtId="0" fontId="115" fillId="8" borderId="12" xfId="0" applyFont="1" applyFill="1" applyBorder="1" applyAlignment="1">
      <alignment horizontal="center" vertical="center"/>
    </xf>
    <xf numFmtId="0" fontId="115" fillId="8" borderId="20" xfId="0" applyFont="1" applyFill="1" applyBorder="1" applyAlignment="1">
      <alignment horizontal="center" vertical="center"/>
    </xf>
    <xf numFmtId="0" fontId="115" fillId="8" borderId="21" xfId="0" applyFont="1" applyFill="1" applyBorder="1" applyAlignment="1">
      <alignment horizontal="center" vertical="center"/>
    </xf>
    <xf numFmtId="0" fontId="115" fillId="8" borderId="28" xfId="0" applyFont="1" applyFill="1" applyBorder="1" applyAlignment="1">
      <alignment horizontal="center" vertical="center"/>
    </xf>
    <xf numFmtId="0" fontId="115" fillId="2" borderId="59" xfId="0" applyFont="1" applyFill="1" applyBorder="1" applyAlignment="1">
      <alignment horizontal="center" vertical="top" wrapText="1"/>
    </xf>
    <xf numFmtId="0" fontId="115" fillId="2" borderId="61" xfId="0" applyFont="1" applyFill="1" applyBorder="1" applyAlignment="1">
      <alignment horizontal="center" vertical="top" wrapText="1"/>
    </xf>
    <xf numFmtId="0" fontId="115" fillId="2" borderId="62" xfId="0" applyFont="1" applyFill="1" applyBorder="1" applyAlignment="1">
      <alignment horizontal="center" vertical="top" wrapText="1"/>
    </xf>
    <xf numFmtId="0" fontId="115" fillId="2" borderId="63" xfId="0" applyFont="1" applyFill="1" applyBorder="1" applyAlignment="1">
      <alignment horizontal="center" vertical="top" wrapText="1"/>
    </xf>
    <xf numFmtId="0" fontId="115" fillId="2" borderId="64" xfId="0" applyFont="1" applyFill="1" applyBorder="1" applyAlignment="1">
      <alignment horizontal="center" vertical="top" wrapText="1"/>
    </xf>
    <xf numFmtId="0" fontId="115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109" fillId="23" borderId="18" xfId="0" applyNumberFormat="1" applyFont="1" applyFill="1" applyBorder="1" applyAlignment="1">
      <alignment horizontal="center" vertical="center"/>
    </xf>
    <xf numFmtId="14" fontId="109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109" fillId="23" borderId="36" xfId="0" applyNumberFormat="1" applyFont="1" applyFill="1" applyBorder="1" applyAlignment="1">
      <alignment horizontal="center" vertical="center"/>
    </xf>
    <xf numFmtId="14" fontId="109" fillId="23" borderId="37" xfId="0" applyNumberFormat="1" applyFont="1" applyFill="1" applyBorder="1" applyAlignment="1">
      <alignment horizontal="center" vertical="center"/>
    </xf>
    <xf numFmtId="14" fontId="109" fillId="0" borderId="30" xfId="0" applyNumberFormat="1" applyFont="1" applyBorder="1" applyAlignment="1">
      <alignment horizontal="center" vertical="center"/>
    </xf>
    <xf numFmtId="14" fontId="109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78" fillId="23" borderId="5" xfId="0" applyNumberFormat="1" applyFont="1" applyFill="1" applyBorder="1" applyAlignment="1">
      <alignment horizontal="center" vertical="center" wrapText="1"/>
    </xf>
    <xf numFmtId="14" fontId="109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110" fillId="22" borderId="67" xfId="0" applyFont="1" applyFill="1" applyBorder="1" applyAlignment="1">
      <alignment horizontal="center" vertical="center"/>
    </xf>
    <xf numFmtId="0" fontId="110" fillId="23" borderId="67" xfId="0" applyFont="1" applyFill="1" applyBorder="1" applyAlignment="1">
      <alignment horizontal="center" vertical="center"/>
    </xf>
    <xf numFmtId="0" fontId="110" fillId="22" borderId="0" xfId="0" applyFont="1" applyFill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12225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1.3965947407428301</c:v>
                </c:pt>
                <c:pt idx="1">
                  <c:v>0.47409964614173777</c:v>
                </c:pt>
                <c:pt idx="2">
                  <c:v>0.57120439294185277</c:v>
                </c:pt>
                <c:pt idx="3">
                  <c:v>5.9405256865952688E-2</c:v>
                </c:pt>
                <c:pt idx="4">
                  <c:v>2.5704197682383374E-2</c:v>
                </c:pt>
                <c:pt idx="5">
                  <c:v>2.3990584503557816E-2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7853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336132</xdr:colOff>
      <xdr:row>116</xdr:row>
      <xdr:rowOff>9983</xdr:rowOff>
    </xdr:from>
    <xdr:to>
      <xdr:col>10</xdr:col>
      <xdr:colOff>543844</xdr:colOff>
      <xdr:row>144</xdr:row>
      <xdr:rowOff>12522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336132" y="22099224"/>
          <a:ext cx="9518126" cy="5196401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amxi\Documents\Zeta_Edit\Production%20Report%20June%202026_DYAN%20New%20Anjim%20Sekaliiii%20-%20Copy.xlsx" TargetMode="External"/><Relationship Id="rId1" Type="http://schemas.openxmlformats.org/officeDocument/2006/relationships/externalLinkPath" Target="Production%20Report%20June%202026_DYAN%20New%20Anjim%20Sekaliiii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AS lab Crushing Daily "/>
      <sheetName val="Daily Summary "/>
      <sheetName val="Reagent Consumption"/>
      <sheetName val="Crushing"/>
      <sheetName val="Crushing Down Time Hours"/>
      <sheetName val="Sheet1"/>
      <sheetName val="Tailing Check "/>
      <sheetName val="LF Ball Mill"/>
      <sheetName val="Milling Down Time Hours"/>
      <sheetName val="LT Floculation"/>
      <sheetName val="Filter Press"/>
      <sheetName val="Rom File Inventory"/>
      <sheetName val="Stock File Management"/>
      <sheetName val="Milling and Leach Feed"/>
      <sheetName val="Filter Press Down Time Hours "/>
      <sheetName val="Au Cal Leaching Tank"/>
      <sheetName val="Leach Time Process&amp;Down Time"/>
      <sheetName val="Leaching"/>
      <sheetName val="Fuel Consumption"/>
      <sheetName val="Milling and Leach Feed_OL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07">
          <cell r="G107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A32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471" t="s">
        <v>335</v>
      </c>
      <c r="D3" s="1471"/>
      <c r="E3" s="1471"/>
      <c r="F3" s="1471"/>
      <c r="G3" s="1471"/>
      <c r="H3" s="1471"/>
      <c r="L3" s="1471" t="s">
        <v>335</v>
      </c>
      <c r="M3" s="1471"/>
      <c r="N3" s="1471"/>
      <c r="O3" s="1471"/>
      <c r="P3" s="1471"/>
      <c r="Q3" s="1471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N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481" t="s">
        <v>124</v>
      </c>
      <c r="I1" s="1481"/>
      <c r="J1" s="1481"/>
      <c r="K1" s="1481"/>
      <c r="L1" s="1481"/>
      <c r="M1" s="1481"/>
      <c r="N1" s="1481"/>
      <c r="O1" s="1481"/>
      <c r="P1" s="1481"/>
      <c r="Q1" s="1481"/>
      <c r="R1" s="1481"/>
      <c r="S1" s="1481"/>
      <c r="T1" s="1481"/>
      <c r="U1" s="1481"/>
      <c r="V1" s="1481"/>
      <c r="W1" s="1481"/>
      <c r="X1" s="1481"/>
      <c r="Y1" s="1481"/>
      <c r="Z1" s="1481"/>
      <c r="AA1" s="1481"/>
      <c r="AB1" s="1481"/>
      <c r="AC1" s="1481"/>
      <c r="AD1" s="1481"/>
      <c r="AE1" s="1481"/>
      <c r="AF1" s="1481"/>
      <c r="AG1" s="1481"/>
      <c r="AH1" s="1481"/>
      <c r="AI1" s="1481"/>
      <c r="AJ1" s="1481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482" t="s">
        <v>125</v>
      </c>
      <c r="I2" s="1482"/>
      <c r="J2" s="1482"/>
      <c r="K2" s="1482"/>
      <c r="L2" s="1482"/>
      <c r="M2" s="1482"/>
      <c r="N2" s="1482"/>
      <c r="O2" s="1482"/>
      <c r="P2" s="1482"/>
      <c r="Q2" s="1482"/>
      <c r="R2" s="1482"/>
      <c r="S2" s="1482"/>
      <c r="T2" s="1482"/>
      <c r="U2" s="1482"/>
      <c r="V2" s="1482"/>
      <c r="W2" s="1482"/>
      <c r="X2" s="1482"/>
      <c r="Y2" s="1482"/>
      <c r="Z2" s="1482"/>
      <c r="AA2" s="1482"/>
      <c r="AB2" s="1482"/>
      <c r="AC2" s="1482"/>
      <c r="AD2" s="1482"/>
      <c r="AE2" s="1482"/>
      <c r="AF2" s="1482"/>
      <c r="AG2" s="1482"/>
      <c r="AH2" s="1482"/>
      <c r="AI2" s="1482"/>
      <c r="AJ2" s="1482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472" t="s">
        <v>72</v>
      </c>
      <c r="C5" s="1474" t="s">
        <v>73</v>
      </c>
      <c r="D5" s="1475"/>
      <c r="E5" s="1475"/>
      <c r="F5" s="1475"/>
      <c r="G5" s="1475"/>
      <c r="H5" s="1476"/>
      <c r="I5" s="1477" t="s">
        <v>429</v>
      </c>
      <c r="J5" s="1477" t="s">
        <v>319</v>
      </c>
      <c r="K5" s="1478" t="s">
        <v>74</v>
      </c>
      <c r="L5" s="1475"/>
      <c r="M5" s="1475"/>
      <c r="N5" s="1472" t="s">
        <v>75</v>
      </c>
      <c r="O5" s="1483" t="s">
        <v>177</v>
      </c>
      <c r="P5" s="1483"/>
      <c r="Q5" s="1483"/>
      <c r="R5" s="1483"/>
      <c r="S5" s="1483"/>
      <c r="T5" s="1483"/>
      <c r="U5" s="1483"/>
      <c r="V5" s="1483"/>
      <c r="W5" s="1483"/>
      <c r="X5" s="1483"/>
      <c r="Y5" s="1484"/>
      <c r="Z5" s="1478" t="s">
        <v>76</v>
      </c>
      <c r="AA5" s="1485"/>
      <c r="AB5" s="1485"/>
      <c r="AC5" s="1485"/>
      <c r="AD5" s="1485"/>
      <c r="AE5" s="1485"/>
      <c r="AF5" s="1485"/>
      <c r="AG5" s="1486"/>
      <c r="AH5" s="1478" t="s">
        <v>77</v>
      </c>
      <c r="AI5" s="1476"/>
      <c r="AJ5" s="1478" t="s">
        <v>78</v>
      </c>
      <c r="AK5" s="1475"/>
      <c r="AL5" s="1475"/>
      <c r="AM5" s="1475"/>
      <c r="AN5" s="1475"/>
      <c r="AO5" s="1476"/>
      <c r="AP5" s="1478" t="s">
        <v>79</v>
      </c>
      <c r="AQ5" s="1476"/>
      <c r="AR5" s="74"/>
      <c r="AS5" s="84" t="s">
        <v>80</v>
      </c>
    </row>
    <row r="6" spans="1:45" ht="29.4" thickBot="1" x14ac:dyDescent="0.35">
      <c r="A6" s="83"/>
      <c r="B6" s="1473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473"/>
      <c r="J6" s="1480"/>
      <c r="K6" s="85" t="s">
        <v>86</v>
      </c>
      <c r="L6" s="85" t="s">
        <v>87</v>
      </c>
      <c r="M6" s="85" t="s">
        <v>126</v>
      </c>
      <c r="N6" s="1479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9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5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5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250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5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275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5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112.5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5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350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5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325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5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175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275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5182.1435200000005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5182.1435200000005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5182.1435200000005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5182.1435200000005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5182.1435200000005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7">
        <v>46297</v>
      </c>
      <c r="C56" s="1330">
        <f>Crushing!N106</f>
        <v>241.2345</v>
      </c>
      <c r="D56" s="401">
        <f>D55+C56</f>
        <v>5718.41302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6183.3320199999998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7">
        <v>46299</v>
      </c>
      <c r="C58" s="1330">
        <f>Crushing!N112</f>
        <v>5.5249999999999995</v>
      </c>
      <c r="D58" s="401">
        <f t="shared" si="15"/>
        <v>6188.8570199999995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7">
        <v>46300</v>
      </c>
      <c r="C59" s="1330">
        <f>Crushing!N114</f>
        <v>19.655999999999999</v>
      </c>
      <c r="D59" s="401">
        <f t="shared" si="15"/>
        <v>6208.5130199999994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7">
        <v>46301</v>
      </c>
      <c r="C60" s="1330">
        <f>Crushing!N116</f>
        <v>94.77</v>
      </c>
      <c r="D60" s="401">
        <f t="shared" si="15"/>
        <v>6303.2830199999999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7">
        <v>46302</v>
      </c>
      <c r="C61" s="1330">
        <f>Crushing!N118</f>
        <v>192.62879999999998</v>
      </c>
      <c r="D61" s="401">
        <f t="shared" si="15"/>
        <v>6495.9118200000003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7">
        <v>46303</v>
      </c>
      <c r="C62" s="1330">
        <f>Crushing!N120</f>
        <v>450.49095</v>
      </c>
      <c r="D62" s="401">
        <f t="shared" si="15"/>
        <v>6946.4027700000006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7">
        <v>46304</v>
      </c>
      <c r="C63" s="1330"/>
      <c r="D63" s="401">
        <f t="shared" si="15"/>
        <v>6946.4027700000006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7">
        <v>46305</v>
      </c>
      <c r="C64" s="1330"/>
      <c r="D64" s="401">
        <f t="shared" si="15"/>
        <v>6946.4027700000006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7">
        <v>46306</v>
      </c>
      <c r="C65" s="1330"/>
      <c r="D65" s="401">
        <f t="shared" si="15"/>
        <v>6946.4027700000006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7">
        <v>46307</v>
      </c>
      <c r="C66" s="1330">
        <f>Crushing!N124</f>
        <v>324.32400000000007</v>
      </c>
      <c r="D66" s="401">
        <f>D65+C66</f>
        <v>7270.7267700000011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40">
        <f>SUM(C7:C49)</f>
        <v>5182.1435200000005</v>
      </c>
      <c r="D76" s="1041"/>
      <c r="E76" s="1041"/>
      <c r="F76" s="1041"/>
      <c r="G76" s="1040">
        <f>SUM(G7:G49)</f>
        <v>3692.870629488591</v>
      </c>
      <c r="H76" s="1042">
        <f>SUM(H7:H37)</f>
        <v>2.3887301624121209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8200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434" t="s">
        <v>203</v>
      </c>
      <c r="X80" s="1434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0.71261450309824503</v>
      </c>
      <c r="H83" s="1132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434" t="s">
        <v>205</v>
      </c>
      <c r="X86" s="1434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W80:X80"/>
    <mergeCell ref="W86:X8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B73" activePane="bottomRight" state="frozen"/>
      <selection pane="topRight" activeCell="B1" sqref="B1"/>
      <selection pane="bottomLeft" activeCell="A2" sqref="A2"/>
      <selection pane="bottomRight" activeCell="D86" sqref="D86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492" t="s">
        <v>278</v>
      </c>
      <c r="C1" s="1492"/>
      <c r="D1" s="1492"/>
      <c r="E1" s="1492"/>
      <c r="F1" s="1492"/>
      <c r="G1" s="1492"/>
      <c r="H1" s="1492"/>
      <c r="I1" s="1492"/>
      <c r="J1" s="1492"/>
      <c r="K1" s="1492"/>
      <c r="L1" s="1492"/>
      <c r="M1" s="1492"/>
      <c r="N1" s="1492"/>
      <c r="O1" s="1492"/>
      <c r="P1" s="1492"/>
      <c r="Q1" s="1492"/>
      <c r="R1" s="1492"/>
      <c r="S1" s="1492"/>
    </row>
    <row r="2" spans="1:42" ht="18" x14ac:dyDescent="0.35">
      <c r="B2" s="1492" t="s">
        <v>279</v>
      </c>
      <c r="C2" s="1492"/>
      <c r="D2" s="1492"/>
      <c r="E2" s="1492"/>
      <c r="F2" s="1492"/>
      <c r="G2" s="1492"/>
      <c r="H2" s="1492"/>
      <c r="I2" s="1492"/>
      <c r="J2" s="1492"/>
      <c r="K2" s="1492"/>
      <c r="L2" s="1492"/>
      <c r="M2" s="1492"/>
      <c r="N2" s="1492"/>
      <c r="O2" s="1492"/>
      <c r="P2" s="1492"/>
      <c r="Q2" s="1492"/>
      <c r="R2" s="1492"/>
      <c r="S2" s="1492"/>
    </row>
    <row r="3" spans="1:42" ht="18" x14ac:dyDescent="0.35">
      <c r="B3" s="1492" t="s">
        <v>280</v>
      </c>
      <c r="C3" s="1492"/>
      <c r="D3" s="1492"/>
      <c r="E3" s="1492"/>
      <c r="F3" s="1492"/>
      <c r="G3" s="1492"/>
      <c r="H3" s="1492"/>
      <c r="I3" s="1492"/>
      <c r="J3" s="1492"/>
      <c r="K3" s="1492"/>
      <c r="L3" s="1492"/>
      <c r="M3" s="1492"/>
      <c r="N3" s="1492"/>
      <c r="O3" s="1492"/>
      <c r="P3" s="1492"/>
      <c r="Q3" s="1492"/>
      <c r="R3" s="1492"/>
      <c r="S3" s="1492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493"/>
      <c r="C5" s="1494"/>
      <c r="D5" s="1493" t="s">
        <v>24</v>
      </c>
      <c r="E5" s="1495"/>
      <c r="F5" s="1494"/>
      <c r="G5" s="1493" t="s">
        <v>25</v>
      </c>
      <c r="H5" s="1495"/>
      <c r="I5" s="1494"/>
      <c r="J5" s="1493" t="s">
        <v>318</v>
      </c>
      <c r="K5" s="1494"/>
      <c r="L5" s="111" t="s">
        <v>150</v>
      </c>
      <c r="U5" t="s">
        <v>802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496" t="s">
        <v>162</v>
      </c>
      <c r="Y6" s="1496"/>
      <c r="Z6" s="1496"/>
      <c r="AA6" s="1496"/>
      <c r="AB6" s="1496"/>
      <c r="AC6" s="1496"/>
      <c r="AD6" s="1497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4" t="s">
        <v>326</v>
      </c>
      <c r="AD7" s="122" t="s">
        <v>774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12225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424" t="s">
        <v>331</v>
      </c>
      <c r="Y10" s="1425"/>
      <c r="Z10" s="1425"/>
      <c r="AA10" s="1425"/>
      <c r="AB10" s="1425"/>
      <c r="AC10" s="1425"/>
      <c r="AD10" s="1426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1.3965947407428301</v>
      </c>
      <c r="Y11" s="123">
        <f>Y8/'Au Cal Leaching Tank'!$N$61</f>
        <v>0.47409964614173777</v>
      </c>
      <c r="Z11" s="123">
        <f>Z8/'Au Cal Leaching Tank'!$N$61</f>
        <v>0.57120439294185277</v>
      </c>
      <c r="AA11" s="123">
        <f>AA8/'Au Cal Leaching Tank'!$N$61</f>
        <v>5.9405256865952688E-2</v>
      </c>
      <c r="AB11" s="123">
        <f>AB8/'Au Cal Leaching Tank'!$N$61</f>
        <v>2.5704197682383374E-2</v>
      </c>
      <c r="AC11" s="123">
        <f>(AC8*30)/'Au Cal Leaching Tank'!$N$61</f>
        <v>2.3990584503557816E-2</v>
      </c>
      <c r="AD11" s="1192">
        <f>AD8/'Au Cal Leaching Tank'!$N$61</f>
        <v>7.425657108244086E-3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471" t="s">
        <v>576</v>
      </c>
      <c r="Y20" s="1471"/>
      <c r="Z20" s="1471"/>
      <c r="AA20" s="1471"/>
      <c r="AB20" s="1471"/>
      <c r="AC20" s="1471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487" t="s">
        <v>575</v>
      </c>
      <c r="Y24" s="1487"/>
      <c r="Z24" s="1487"/>
      <c r="AA24" s="1487"/>
      <c r="AB24" s="1487"/>
      <c r="AC24" s="1487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831300000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488" t="s">
        <v>575</v>
      </c>
      <c r="Y27" s="1489"/>
      <c r="Z27" s="1490">
        <f>SUM(X26:AC26)</f>
        <v>1085895000</v>
      </c>
      <c r="AA27" s="1489"/>
      <c r="AB27" s="1489"/>
      <c r="AC27" s="1491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0.76554362990896907</v>
      </c>
      <c r="Y28" s="684">
        <f t="shared" ref="Y28:AC28" si="10">Y26/$Z$27</f>
        <v>8.7899842986660769E-3</v>
      </c>
      <c r="Z28" s="684">
        <f t="shared" si="10"/>
        <v>0.20259785706721184</v>
      </c>
      <c r="AA28" s="684">
        <f t="shared" si="10"/>
        <v>1.436602986476593E-2</v>
      </c>
      <c r="AB28" s="684">
        <f t="shared" si="10"/>
        <v>5.801665906924703E-3</v>
      </c>
      <c r="AC28" s="685">
        <f t="shared" si="10"/>
        <v>2.9008329534623515E-3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250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275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300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112.5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350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325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175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275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350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12225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>
        <v>250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>
        <v>275</v>
      </c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>
        <v>300</v>
      </c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>
        <v>112.5</v>
      </c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>
        <f>125+225</f>
        <v>350</v>
      </c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>
        <v>325</v>
      </c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>
        <v>175</v>
      </c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 t="s">
        <v>979</v>
      </c>
      <c r="D85" s="120">
        <v>275</v>
      </c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>
        <v>350</v>
      </c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7"/>
  <sheetViews>
    <sheetView view="pageBreakPreview" zoomScale="52" zoomScaleNormal="44" zoomScaleSheetLayoutView="85" workbookViewId="0">
      <pane ySplit="5" topLeftCell="A121" activePane="bottomLeft" state="frozen"/>
      <selection pane="bottomLeft" activeCell="O140" sqref="O140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510" t="s">
        <v>663</v>
      </c>
      <c r="C4" s="1511"/>
      <c r="D4" s="1511"/>
      <c r="E4" s="1511"/>
      <c r="F4" s="1511"/>
      <c r="G4" s="1511"/>
      <c r="H4" s="1511"/>
      <c r="I4" s="1511"/>
      <c r="J4" s="1511"/>
      <c r="K4" s="1511"/>
      <c r="L4" s="1511"/>
      <c r="M4" s="1511"/>
      <c r="N4" s="1511"/>
      <c r="O4" s="1512"/>
    </row>
    <row r="5" spans="2:27" ht="75.599999999999994" customHeight="1" thickBot="1" x14ac:dyDescent="0.35">
      <c r="B5" s="1524" t="s">
        <v>0</v>
      </c>
      <c r="C5" s="1525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493" t="s">
        <v>11</v>
      </c>
      <c r="T5" s="1494"/>
      <c r="W5" s="1471" t="s">
        <v>18</v>
      </c>
      <c r="X5" s="1471"/>
      <c r="Y5" s="1471"/>
      <c r="Z5" s="1471"/>
      <c r="AA5" s="1471"/>
    </row>
    <row r="6" spans="2:27" ht="13.95" customHeight="1" thickBot="1" x14ac:dyDescent="0.4">
      <c r="B6" s="1502">
        <v>46174</v>
      </c>
      <c r="C6" s="1503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526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504"/>
      <c r="C7" s="1505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527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516">
        <v>46175</v>
      </c>
      <c r="C8" s="1517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520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518"/>
      <c r="C9" s="1519"/>
      <c r="D9" s="347" t="s">
        <v>13</v>
      </c>
      <c r="E9" s="348"/>
      <c r="F9" s="349"/>
      <c r="G9" s="384"/>
      <c r="H9" s="350"/>
      <c r="I9" s="351" t="str">
        <f t="shared" ref="I9:I179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521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502">
        <v>46176</v>
      </c>
      <c r="C10" s="1503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513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504"/>
      <c r="C11" s="1505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514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516">
        <v>46177</v>
      </c>
      <c r="C12" s="1517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520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518"/>
      <c r="C13" s="1519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521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502">
        <v>46252</v>
      </c>
      <c r="C14" s="1503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513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504"/>
      <c r="C15" s="1505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514"/>
      <c r="O15" s="284"/>
    </row>
    <row r="16" spans="2:27" ht="18.600000000000001" thickBot="1" x14ac:dyDescent="0.4">
      <c r="B16" s="1516">
        <v>46253</v>
      </c>
      <c r="C16" s="1517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520">
        <f>SUM(L16:L17)</f>
        <v>339.80495999999999</v>
      </c>
      <c r="O16" s="346" t="s">
        <v>405</v>
      </c>
    </row>
    <row r="17" spans="2:23" ht="18.600000000000001" thickBot="1" x14ac:dyDescent="0.4">
      <c r="B17" s="1518"/>
      <c r="C17" s="1519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521"/>
      <c r="O17" s="346" t="s">
        <v>384</v>
      </c>
    </row>
    <row r="18" spans="2:23" ht="18.600000000000001" thickBot="1" x14ac:dyDescent="0.4">
      <c r="B18" s="1502">
        <v>46254</v>
      </c>
      <c r="C18" s="1503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513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504"/>
      <c r="C19" s="1505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515"/>
      <c r="O19" s="284" t="s">
        <v>406</v>
      </c>
      <c r="T19" s="109"/>
    </row>
    <row r="20" spans="2:23" ht="18.600000000000001" thickBot="1" x14ac:dyDescent="0.4">
      <c r="B20" s="1502">
        <v>46255</v>
      </c>
      <c r="C20" s="1503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513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504"/>
      <c r="C21" s="1505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515"/>
      <c r="O21" s="284"/>
      <c r="S21" s="2"/>
      <c r="T21" s="110"/>
    </row>
    <row r="22" spans="2:23" ht="18.600000000000001" thickBot="1" x14ac:dyDescent="0.4">
      <c r="B22" s="1502">
        <v>46256</v>
      </c>
      <c r="C22" s="1503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513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504"/>
      <c r="C23" s="1505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514"/>
      <c r="O23" s="284"/>
      <c r="P23" s="8"/>
      <c r="T23" s="109"/>
    </row>
    <row r="24" spans="2:23" ht="18.600000000000001" thickBot="1" x14ac:dyDescent="0.4">
      <c r="B24" s="1502">
        <v>46257</v>
      </c>
      <c r="C24" s="1503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513">
        <f>SUM(L24:L25)</f>
        <v>0</v>
      </c>
      <c r="O24" s="284"/>
    </row>
    <row r="25" spans="2:23" ht="18.600000000000001" thickBot="1" x14ac:dyDescent="0.4">
      <c r="B25" s="1504"/>
      <c r="C25" s="1505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514"/>
      <c r="O25" s="284"/>
      <c r="T25" s="3"/>
    </row>
    <row r="26" spans="2:23" ht="18.600000000000001" thickBot="1" x14ac:dyDescent="0.4">
      <c r="B26" s="1502">
        <v>46258</v>
      </c>
      <c r="C26" s="1503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513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504"/>
      <c r="C27" s="1505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514"/>
      <c r="O27" s="284"/>
    </row>
    <row r="28" spans="2:23" ht="18.600000000000001" thickBot="1" x14ac:dyDescent="0.4">
      <c r="B28" s="1502">
        <v>46259</v>
      </c>
      <c r="C28" s="1503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513">
        <f>SUM(L28:L29)</f>
        <v>0</v>
      </c>
      <c r="O28" s="284"/>
    </row>
    <row r="29" spans="2:23" ht="18.600000000000001" thickBot="1" x14ac:dyDescent="0.4">
      <c r="B29" s="1504"/>
      <c r="C29" s="1505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514"/>
      <c r="O29" s="284"/>
      <c r="P29" s="8"/>
    </row>
    <row r="30" spans="2:23" ht="18.600000000000001" thickBot="1" x14ac:dyDescent="0.4">
      <c r="B30" s="1502">
        <v>46260</v>
      </c>
      <c r="C30" s="1503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513">
        <f t="shared" ref="N30" si="13">SUM(L30:L31)</f>
        <v>0</v>
      </c>
      <c r="O30" s="284"/>
    </row>
    <row r="31" spans="2:23" ht="18.600000000000001" thickBot="1" x14ac:dyDescent="0.4">
      <c r="B31" s="1504"/>
      <c r="C31" s="1505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514"/>
      <c r="O31" s="284"/>
    </row>
    <row r="32" spans="2:23" ht="54.6" thickBot="1" x14ac:dyDescent="0.4">
      <c r="B32" s="1502">
        <v>46261</v>
      </c>
      <c r="C32" s="1503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526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504"/>
      <c r="C33" s="1505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527"/>
      <c r="O33" s="284"/>
    </row>
    <row r="34" spans="2:24" ht="18.600000000000001" thickBot="1" x14ac:dyDescent="0.4">
      <c r="B34" s="1502">
        <v>46262</v>
      </c>
      <c r="C34" s="1503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526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504"/>
      <c r="C35" s="1505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527"/>
      <c r="O35" s="284"/>
    </row>
    <row r="36" spans="2:24" ht="18.600000000000001" thickBot="1" x14ac:dyDescent="0.35">
      <c r="B36" s="1502">
        <v>46263</v>
      </c>
      <c r="C36" s="1503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526">
        <f>SUM(L36:L37)</f>
        <v>288.52199999999999</v>
      </c>
      <c r="O36" s="1528" t="str">
        <f>'Crushing Down Time Hours'!G17</f>
        <v>istirahat jam 12-13, 14:00-15:00 ada loading material dari mining</v>
      </c>
    </row>
    <row r="37" spans="2:24" ht="18.600000000000001" thickBot="1" x14ac:dyDescent="0.35">
      <c r="B37" s="1504"/>
      <c r="C37" s="1505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527"/>
      <c r="O37" s="1529"/>
    </row>
    <row r="38" spans="2:24" ht="18.600000000000001" thickBot="1" x14ac:dyDescent="0.4">
      <c r="B38" s="1502">
        <v>46264</v>
      </c>
      <c r="C38" s="1503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526">
        <f t="shared" ref="N38" si="15">SUM(L38:L39)</f>
        <v>64.583999999999989</v>
      </c>
      <c r="O38" s="284"/>
      <c r="Q38" s="4"/>
    </row>
    <row r="39" spans="2:24" ht="18.600000000000001" thickBot="1" x14ac:dyDescent="0.4">
      <c r="B39" s="1504"/>
      <c r="C39" s="1505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527"/>
      <c r="O39" s="284"/>
    </row>
    <row r="40" spans="2:24" ht="18.600000000000001" hidden="1" thickBot="1" x14ac:dyDescent="0.4">
      <c r="B40" s="1502">
        <v>46265</v>
      </c>
      <c r="C40" s="1503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513">
        <f>SUM(L40:L41)</f>
        <v>0</v>
      </c>
      <c r="O40" s="284"/>
    </row>
    <row r="41" spans="2:24" ht="18.600000000000001" hidden="1" thickBot="1" x14ac:dyDescent="0.4">
      <c r="B41" s="1504"/>
      <c r="C41" s="1505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514"/>
      <c r="O41" s="284"/>
    </row>
    <row r="42" spans="2:24" ht="18.600000000000001" hidden="1" thickBot="1" x14ac:dyDescent="0.4">
      <c r="B42" s="1502">
        <v>46266</v>
      </c>
      <c r="C42" s="1503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513">
        <f t="shared" ref="N42" si="16">SUM(L42:L43)</f>
        <v>0</v>
      </c>
      <c r="O42" s="284"/>
    </row>
    <row r="43" spans="2:24" ht="18.600000000000001" hidden="1" thickBot="1" x14ac:dyDescent="0.4">
      <c r="B43" s="1504"/>
      <c r="C43" s="1505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514"/>
      <c r="O43" s="284"/>
    </row>
    <row r="44" spans="2:24" ht="18.600000000000001" hidden="1" thickBot="1" x14ac:dyDescent="0.4">
      <c r="B44" s="1502">
        <v>46267</v>
      </c>
      <c r="C44" s="1503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513">
        <f t="shared" ref="N44" si="17">SUM(L44:L45)</f>
        <v>0</v>
      </c>
      <c r="O44" s="284"/>
    </row>
    <row r="45" spans="2:24" ht="18.600000000000001" hidden="1" thickBot="1" x14ac:dyDescent="0.4">
      <c r="B45" s="1504"/>
      <c r="C45" s="1505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514"/>
      <c r="O45" s="284"/>
    </row>
    <row r="46" spans="2:24" ht="18.600000000000001" hidden="1" thickBot="1" x14ac:dyDescent="0.4">
      <c r="B46" s="1502">
        <v>46268</v>
      </c>
      <c r="C46" s="1503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513">
        <f t="shared" ref="N46:N58" si="18">SUM(L46:L47)</f>
        <v>0</v>
      </c>
      <c r="O46" s="284"/>
    </row>
    <row r="47" spans="2:24" ht="18.600000000000001" hidden="1" thickBot="1" x14ac:dyDescent="0.4">
      <c r="B47" s="1504"/>
      <c r="C47" s="1505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514"/>
      <c r="O47" s="284"/>
    </row>
    <row r="48" spans="2:24" ht="18.600000000000001" hidden="1" thickBot="1" x14ac:dyDescent="0.4">
      <c r="B48" s="1502">
        <v>46269</v>
      </c>
      <c r="C48" s="1503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513">
        <f t="shared" si="18"/>
        <v>0</v>
      </c>
      <c r="O48" s="284"/>
    </row>
    <row r="49" spans="2:22" ht="18.600000000000001" hidden="1" thickBot="1" x14ac:dyDescent="0.4">
      <c r="B49" s="1504"/>
      <c r="C49" s="1505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514"/>
      <c r="O49" s="284"/>
    </row>
    <row r="50" spans="2:22" ht="18.600000000000001" hidden="1" thickBot="1" x14ac:dyDescent="0.4">
      <c r="B50" s="1502">
        <v>46270</v>
      </c>
      <c r="C50" s="1503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513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504"/>
      <c r="C51" s="1505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514"/>
      <c r="O51" s="284"/>
      <c r="P51" s="4"/>
    </row>
    <row r="52" spans="2:22" ht="18.600000000000001" hidden="1" thickBot="1" x14ac:dyDescent="0.4">
      <c r="B52" s="1502">
        <v>46271</v>
      </c>
      <c r="C52" s="1503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513">
        <f t="shared" si="18"/>
        <v>0</v>
      </c>
      <c r="O52" s="284"/>
    </row>
    <row r="53" spans="2:22" ht="18.600000000000001" hidden="1" thickBot="1" x14ac:dyDescent="0.4">
      <c r="B53" s="1504"/>
      <c r="C53" s="1505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514"/>
      <c r="O53" s="284"/>
      <c r="R53" s="1">
        <f>R50*4</f>
        <v>60</v>
      </c>
    </row>
    <row r="54" spans="2:22" ht="18.600000000000001" hidden="1" thickBot="1" x14ac:dyDescent="0.4">
      <c r="B54" s="1502">
        <v>46272</v>
      </c>
      <c r="C54" s="1503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513">
        <f t="shared" si="18"/>
        <v>0</v>
      </c>
      <c r="O54" s="284"/>
    </row>
    <row r="55" spans="2:22" ht="18.600000000000001" hidden="1" thickBot="1" x14ac:dyDescent="0.4">
      <c r="B55" s="1504"/>
      <c r="C55" s="1505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514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502">
        <v>46273</v>
      </c>
      <c r="C56" s="1503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513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504"/>
      <c r="C57" s="1505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514"/>
      <c r="O57" s="284"/>
      <c r="Q57" s="4"/>
      <c r="R57" s="4"/>
      <c r="S57" s="1">
        <v>1190</v>
      </c>
    </row>
    <row r="58" spans="2:22" ht="18.600000000000001" hidden="1" thickBot="1" x14ac:dyDescent="0.4">
      <c r="B58" s="1502">
        <v>46274</v>
      </c>
      <c r="C58" s="1503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513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504"/>
      <c r="C59" s="1505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514"/>
      <c r="O59" s="284"/>
      <c r="P59" s="4"/>
      <c r="S59" s="2">
        <f>(S55-S58)/S55</f>
        <v>0.10083594566353186</v>
      </c>
    </row>
    <row r="60" spans="2:22" ht="18.600000000000001" thickBot="1" x14ac:dyDescent="0.4">
      <c r="B60" s="1502">
        <v>46275</v>
      </c>
      <c r="C60" s="1503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506">
        <f>SUM(L60:L61)</f>
        <v>86.346000000000004</v>
      </c>
      <c r="O60" s="284"/>
      <c r="P60" s="8"/>
    </row>
    <row r="61" spans="2:22" ht="18.600000000000001" thickBot="1" x14ac:dyDescent="0.4">
      <c r="B61" s="1504"/>
      <c r="C61" s="1505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507"/>
      <c r="O61" s="284"/>
      <c r="P61" s="8"/>
    </row>
    <row r="62" spans="2:22" ht="18.600000000000001" thickBot="1" x14ac:dyDescent="0.4">
      <c r="B62" s="1502">
        <v>46276</v>
      </c>
      <c r="C62" s="1503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506">
        <f>SUM(L62:L63)</f>
        <v>0</v>
      </c>
      <c r="O62" s="284"/>
      <c r="P62" s="8"/>
    </row>
    <row r="63" spans="2:22" ht="18.600000000000001" thickBot="1" x14ac:dyDescent="0.4">
      <c r="B63" s="1504"/>
      <c r="C63" s="1505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507"/>
      <c r="O63" s="284"/>
      <c r="P63" s="8"/>
    </row>
    <row r="64" spans="2:22" ht="18.600000000000001" thickBot="1" x14ac:dyDescent="0.4">
      <c r="B64" s="1502">
        <v>46277</v>
      </c>
      <c r="C64" s="1503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506">
        <f>SUM(L64:L65)</f>
        <v>394.524</v>
      </c>
      <c r="O64" s="284"/>
      <c r="P64" s="8"/>
    </row>
    <row r="65" spans="2:16" ht="18.600000000000001" thickBot="1" x14ac:dyDescent="0.4">
      <c r="B65" s="1504"/>
      <c r="C65" s="1505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507"/>
      <c r="O65" s="284"/>
      <c r="P65" s="8"/>
    </row>
    <row r="66" spans="2:16" ht="18.600000000000001" thickBot="1" x14ac:dyDescent="0.4">
      <c r="B66" s="1502">
        <v>46278</v>
      </c>
      <c r="C66" s="1503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506">
        <f>SUM(L66:L67)</f>
        <v>315.19799999999998</v>
      </c>
      <c r="O66" s="284"/>
      <c r="P66" s="8"/>
    </row>
    <row r="67" spans="2:16" ht="18.600000000000001" thickBot="1" x14ac:dyDescent="0.4">
      <c r="B67" s="1504"/>
      <c r="C67" s="1505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507"/>
      <c r="O67" s="284"/>
      <c r="P67" s="8"/>
    </row>
    <row r="68" spans="2:16" ht="18.600000000000001" hidden="1" thickBot="1" x14ac:dyDescent="0.4">
      <c r="B68" s="1502">
        <v>46279</v>
      </c>
      <c r="C68" s="1503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508">
        <f t="shared" ref="N68" si="31">SUM(L68:L69)</f>
        <v>0</v>
      </c>
      <c r="O68" s="284"/>
      <c r="P68" s="8"/>
    </row>
    <row r="69" spans="2:16" ht="18.600000000000001" hidden="1" thickBot="1" x14ac:dyDescent="0.4">
      <c r="B69" s="1504"/>
      <c r="C69" s="1505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509"/>
      <c r="O69" s="284"/>
      <c r="P69" s="8"/>
    </row>
    <row r="70" spans="2:16" ht="18.600000000000001" hidden="1" thickBot="1" x14ac:dyDescent="0.4">
      <c r="B70" s="1502">
        <v>46280</v>
      </c>
      <c r="C70" s="1503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508">
        <f t="shared" ref="N70" si="32">SUM(L70:L71)</f>
        <v>0</v>
      </c>
      <c r="O70" s="284"/>
      <c r="P70" s="8"/>
    </row>
    <row r="71" spans="2:16" ht="18.600000000000001" hidden="1" thickBot="1" x14ac:dyDescent="0.4">
      <c r="B71" s="1504"/>
      <c r="C71" s="1505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509"/>
      <c r="O71" s="284"/>
      <c r="P71" s="8"/>
    </row>
    <row r="72" spans="2:16" ht="18.600000000000001" hidden="1" thickBot="1" x14ac:dyDescent="0.4">
      <c r="B72" s="1502">
        <v>46281</v>
      </c>
      <c r="C72" s="1503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508">
        <f t="shared" ref="N72" si="33">SUM(L72:L73)</f>
        <v>0</v>
      </c>
      <c r="O72" s="284"/>
      <c r="P72" s="8"/>
    </row>
    <row r="73" spans="2:16" ht="18.600000000000001" hidden="1" thickBot="1" x14ac:dyDescent="0.4">
      <c r="B73" s="1504"/>
      <c r="C73" s="1505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509"/>
      <c r="O73" s="284"/>
      <c r="P73" s="8"/>
    </row>
    <row r="74" spans="2:16" ht="18.600000000000001" hidden="1" thickBot="1" x14ac:dyDescent="0.4">
      <c r="B74" s="1502">
        <v>46282</v>
      </c>
      <c r="C74" s="1503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508">
        <f t="shared" ref="N74" si="34">SUM(L74:L75)</f>
        <v>0</v>
      </c>
      <c r="O74" s="284"/>
      <c r="P74" s="8"/>
    </row>
    <row r="75" spans="2:16" ht="18.600000000000001" hidden="1" thickBot="1" x14ac:dyDescent="0.4">
      <c r="B75" s="1504"/>
      <c r="C75" s="1505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509"/>
      <c r="O75" s="284"/>
      <c r="P75" s="8"/>
    </row>
    <row r="76" spans="2:16" ht="18.600000000000001" thickBot="1" x14ac:dyDescent="0.4">
      <c r="B76" s="1502">
        <v>46283</v>
      </c>
      <c r="C76" s="1503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508">
        <f>SUM(L76:L77)</f>
        <v>241.488</v>
      </c>
      <c r="O76" s="284" t="s">
        <v>637</v>
      </c>
      <c r="P76" s="8"/>
    </row>
    <row r="77" spans="2:16" ht="18.600000000000001" thickBot="1" x14ac:dyDescent="0.4">
      <c r="B77" s="1504"/>
      <c r="C77" s="1505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1000">
        <f t="shared" si="29"/>
        <v>241.488</v>
      </c>
      <c r="M77" s="1001">
        <f t="shared" ref="M77:M80" si="36">IFERROR((K77/12),"")</f>
        <v>23.400000000000002</v>
      </c>
      <c r="N77" s="1509"/>
      <c r="O77" s="284" t="s">
        <v>638</v>
      </c>
      <c r="P77" s="8"/>
    </row>
    <row r="78" spans="2:16" ht="18" x14ac:dyDescent="0.35">
      <c r="B78" s="1502">
        <v>46284</v>
      </c>
      <c r="C78" s="1503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506">
        <f>SUM(L78:L80)</f>
        <v>353.78460000000001</v>
      </c>
      <c r="O78" s="284" t="s">
        <v>637</v>
      </c>
      <c r="P78" s="8"/>
    </row>
    <row r="79" spans="2:16" ht="18" x14ac:dyDescent="0.35">
      <c r="B79" s="1522"/>
      <c r="C79" s="1523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506"/>
      <c r="O79" s="284"/>
      <c r="P79" s="8"/>
    </row>
    <row r="80" spans="2:16" ht="18.600000000000001" thickBot="1" x14ac:dyDescent="0.4">
      <c r="B80" s="1504"/>
      <c r="C80" s="1505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60">
        <v>1.3</v>
      </c>
      <c r="K80" s="305">
        <f t="shared" si="35"/>
        <v>195</v>
      </c>
      <c r="L80" s="1061">
        <f t="shared" si="37"/>
        <v>177.45000000000002</v>
      </c>
      <c r="M80" s="1062">
        <f t="shared" si="36"/>
        <v>16.25</v>
      </c>
      <c r="N80" s="1507"/>
      <c r="O80" s="284"/>
      <c r="P80" s="8"/>
    </row>
    <row r="81" spans="2:16" ht="18.600000000000001" thickBot="1" x14ac:dyDescent="0.4">
      <c r="B81" s="1502">
        <v>46285</v>
      </c>
      <c r="C81" s="1503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506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522"/>
      <c r="C82" s="1523"/>
      <c r="D82" s="1013" t="s">
        <v>12</v>
      </c>
      <c r="E82" s="286" t="s">
        <v>169</v>
      </c>
      <c r="F82" s="287">
        <v>20</v>
      </c>
      <c r="G82" s="1016" t="s">
        <v>426</v>
      </c>
      <c r="H82" s="1017">
        <v>0.1</v>
      </c>
      <c r="I82" s="1018">
        <f t="shared" si="4"/>
        <v>0.6</v>
      </c>
      <c r="J82" s="1019">
        <v>1.3</v>
      </c>
      <c r="K82" s="1020">
        <f t="shared" si="42"/>
        <v>15.600000000000001</v>
      </c>
      <c r="L82" s="1066">
        <f t="shared" si="43"/>
        <v>14.040000000000001</v>
      </c>
      <c r="M82" s="1066">
        <f t="shared" si="44"/>
        <v>1.3</v>
      </c>
      <c r="N82" s="1506"/>
      <c r="O82" s="284"/>
      <c r="P82" s="8"/>
    </row>
    <row r="83" spans="2:16" ht="18.600000000000001" thickBot="1" x14ac:dyDescent="0.4">
      <c r="B83" s="1504"/>
      <c r="C83" s="1505"/>
      <c r="D83" s="1013" t="s">
        <v>13</v>
      </c>
      <c r="E83" s="297" t="s">
        <v>551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507"/>
      <c r="O83" s="284"/>
      <c r="P83" s="8"/>
    </row>
    <row r="84" spans="2:16" ht="18.600000000000001" thickBot="1" x14ac:dyDescent="0.4">
      <c r="B84" s="1502">
        <v>46286</v>
      </c>
      <c r="C84" s="1503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508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504"/>
      <c r="C85" s="1505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509"/>
      <c r="O85" s="284"/>
      <c r="P85" s="8"/>
    </row>
    <row r="86" spans="2:16" ht="18.600000000000001" thickBot="1" x14ac:dyDescent="0.4">
      <c r="B86" s="1502">
        <v>46287</v>
      </c>
      <c r="C86" s="1503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508">
        <f t="shared" ref="N86" si="50">SUM(L86:L87)</f>
        <v>133.38000000000002</v>
      </c>
      <c r="O86" s="284"/>
      <c r="P86" s="8"/>
    </row>
    <row r="87" spans="2:16" ht="18.600000000000001" thickBot="1" x14ac:dyDescent="0.4">
      <c r="B87" s="1504"/>
      <c r="C87" s="1505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509"/>
      <c r="O87" s="284"/>
      <c r="P87" s="8"/>
    </row>
    <row r="88" spans="2:16" ht="18.600000000000001" thickBot="1" x14ac:dyDescent="0.4">
      <c r="B88" s="1502">
        <v>46288</v>
      </c>
      <c r="C88" s="1503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508">
        <f>SUM(L88:L89)</f>
        <v>402.63600000000008</v>
      </c>
      <c r="O88" s="284"/>
      <c r="P88" s="8"/>
    </row>
    <row r="89" spans="2:16" ht="18.600000000000001" thickBot="1" x14ac:dyDescent="0.4">
      <c r="B89" s="1504"/>
      <c r="C89" s="1505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509"/>
      <c r="O89" s="284"/>
      <c r="P89" s="8"/>
    </row>
    <row r="90" spans="2:16" ht="18.600000000000001" thickBot="1" x14ac:dyDescent="0.4">
      <c r="B90" s="1502">
        <v>46289</v>
      </c>
      <c r="C90" s="1503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508">
        <f t="shared" ref="N90" si="59">SUM(L90:L91)</f>
        <v>219.92100000000002</v>
      </c>
      <c r="O90" s="284"/>
      <c r="P90" s="8"/>
    </row>
    <row r="91" spans="2:16" ht="18.600000000000001" thickBot="1" x14ac:dyDescent="0.4">
      <c r="B91" s="1504"/>
      <c r="C91" s="1505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509"/>
      <c r="O91" s="284"/>
      <c r="P91" s="8"/>
    </row>
    <row r="92" spans="2:16" ht="18.600000000000001" thickBot="1" x14ac:dyDescent="0.4">
      <c r="B92" s="1502">
        <v>46290</v>
      </c>
      <c r="C92" s="1503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508">
        <f t="shared" ref="N92" si="64">SUM(L92:L93)</f>
        <v>217.62</v>
      </c>
      <c r="O92" s="284"/>
      <c r="P92" s="8"/>
    </row>
    <row r="93" spans="2:16" ht="18.600000000000001" thickBot="1" x14ac:dyDescent="0.4">
      <c r="B93" s="1504"/>
      <c r="C93" s="1505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509"/>
      <c r="O93" s="284"/>
      <c r="P93" s="8"/>
    </row>
    <row r="94" spans="2:16" ht="18.600000000000001" thickBot="1" x14ac:dyDescent="0.4">
      <c r="B94" s="1502">
        <v>46291</v>
      </c>
      <c r="C94" s="1503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508">
        <f t="shared" ref="N94" si="69">SUM(L94:L95)</f>
        <v>253.77300000000002</v>
      </c>
      <c r="O94" s="284"/>
      <c r="P94" s="8"/>
    </row>
    <row r="95" spans="2:16" ht="18.600000000000001" thickBot="1" x14ac:dyDescent="0.4">
      <c r="B95" s="1504"/>
      <c r="C95" s="1505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509"/>
      <c r="O95" s="284"/>
      <c r="P95" s="8"/>
    </row>
    <row r="96" spans="2:16" ht="18.600000000000001" thickBot="1" x14ac:dyDescent="0.4">
      <c r="B96" s="1502">
        <v>46292</v>
      </c>
      <c r="C96" s="1503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508">
        <f t="shared" ref="N96" si="70">SUM(L96:L97)</f>
        <v>0</v>
      </c>
      <c r="O96" s="284"/>
      <c r="P96" s="8"/>
    </row>
    <row r="97" spans="2:16" ht="18.600000000000001" thickBot="1" x14ac:dyDescent="0.4">
      <c r="B97" s="1504"/>
      <c r="C97" s="1505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509"/>
      <c r="O97" s="284"/>
      <c r="P97" s="8"/>
    </row>
    <row r="98" spans="2:16" ht="18.600000000000001" thickBot="1" x14ac:dyDescent="0.4">
      <c r="B98" s="1502">
        <v>46293</v>
      </c>
      <c r="C98" s="1503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508">
        <f t="shared" ref="N98" si="75">SUM(L98:L99)</f>
        <v>182.988</v>
      </c>
      <c r="O98" s="284"/>
      <c r="P98" s="8"/>
    </row>
    <row r="99" spans="2:16" ht="18.600000000000001" thickBot="1" x14ac:dyDescent="0.4">
      <c r="B99" s="1504"/>
      <c r="C99" s="1505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>IFERROR(((F99*I99)*J99)*(1-H99),"")</f>
        <v>182.988</v>
      </c>
      <c r="M99" s="309">
        <f t="shared" si="74"/>
        <v>16.574999999999999</v>
      </c>
      <c r="N99" s="1509"/>
      <c r="O99" s="284"/>
      <c r="P99" s="8"/>
    </row>
    <row r="100" spans="2:16" ht="18.600000000000001" thickBot="1" x14ac:dyDescent="0.4">
      <c r="B100" s="1502">
        <v>46294</v>
      </c>
      <c r="C100" s="1503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508">
        <f t="shared" ref="N100" si="76">SUM(L100:L101)</f>
        <v>0</v>
      </c>
      <c r="O100" s="284"/>
      <c r="P100" s="8"/>
    </row>
    <row r="101" spans="2:16" ht="18.600000000000001" thickBot="1" x14ac:dyDescent="0.4">
      <c r="B101" s="1504"/>
      <c r="C101" s="1505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509"/>
      <c r="O101" s="284"/>
      <c r="P101" s="8"/>
    </row>
    <row r="102" spans="2:16" ht="18.600000000000001" thickBot="1" x14ac:dyDescent="0.4">
      <c r="B102" s="1502">
        <v>46295</v>
      </c>
      <c r="C102" s="1503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508">
        <f>SUM(L102:L103)</f>
        <v>121.485</v>
      </c>
      <c r="O102" s="284"/>
      <c r="P102" s="8"/>
    </row>
    <row r="103" spans="2:16" ht="18.600000000000001" thickBot="1" x14ac:dyDescent="0.4">
      <c r="B103" s="1504"/>
      <c r="C103" s="1505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535"/>
      <c r="O103" s="284"/>
      <c r="P103" s="8"/>
    </row>
    <row r="104" spans="2:16" ht="18.600000000000001" thickBot="1" x14ac:dyDescent="0.4">
      <c r="B104" s="1502">
        <v>46296</v>
      </c>
      <c r="C104" s="1503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508">
        <f>SUM(L104:L105)</f>
        <v>295.03500000000003</v>
      </c>
      <c r="O104" s="284"/>
      <c r="P104" s="8"/>
    </row>
    <row r="105" spans="2:16" ht="18" x14ac:dyDescent="0.35">
      <c r="B105" s="1522"/>
      <c r="C105" s="1523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534"/>
      <c r="O105" s="284"/>
      <c r="P105" s="8"/>
    </row>
    <row r="106" spans="2:16" ht="18" x14ac:dyDescent="0.35">
      <c r="B106" s="1530">
        <v>46297</v>
      </c>
      <c r="C106" s="1530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533">
        <f>SUM(L106:L109)</f>
        <v>241.2345</v>
      </c>
      <c r="O106" s="284"/>
      <c r="P106" s="8"/>
    </row>
    <row r="107" spans="2:16" ht="18" x14ac:dyDescent="0.35">
      <c r="B107" s="1530"/>
      <c r="C107" s="1530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533"/>
      <c r="O107" s="284"/>
      <c r="P107" s="8"/>
    </row>
    <row r="108" spans="2:16" ht="18" x14ac:dyDescent="0.35">
      <c r="B108" s="1530"/>
      <c r="C108" s="1530"/>
      <c r="D108" s="1013" t="s">
        <v>13</v>
      </c>
      <c r="E108" s="1014" t="s">
        <v>767</v>
      </c>
      <c r="F108" s="1015">
        <v>78</v>
      </c>
      <c r="G108" s="1016" t="s">
        <v>426</v>
      </c>
      <c r="H108" s="1017">
        <v>0.11</v>
      </c>
      <c r="I108" s="1018">
        <f t="shared" si="81"/>
        <v>0.6</v>
      </c>
      <c r="J108" s="1019">
        <v>1.3</v>
      </c>
      <c r="K108" s="1020">
        <f t="shared" ref="K108" si="85">IFERROR((F108*I108*J108),"")</f>
        <v>60.839999999999996</v>
      </c>
      <c r="L108" s="1066">
        <f t="shared" ref="L108" si="86">IFERROR(((F108*I108)*J108)*(1-H108),"")</f>
        <v>54.147599999999997</v>
      </c>
      <c r="M108" s="1066">
        <f t="shared" ref="M108" si="87">IFERROR((K108/12),"")</f>
        <v>5.0699999999999994</v>
      </c>
      <c r="N108" s="1533"/>
      <c r="O108" s="284"/>
      <c r="P108" s="8"/>
    </row>
    <row r="109" spans="2:16" ht="18" x14ac:dyDescent="0.35">
      <c r="B109" s="1530"/>
      <c r="C109" s="1530"/>
      <c r="D109" s="1013" t="s">
        <v>13</v>
      </c>
      <c r="E109" s="1014" t="s">
        <v>767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533"/>
      <c r="O109" s="284"/>
      <c r="P109" s="8"/>
    </row>
    <row r="110" spans="2:16" ht="18" x14ac:dyDescent="0.35">
      <c r="B110" s="1530">
        <v>46298</v>
      </c>
      <c r="C110" s="1530"/>
      <c r="D110" s="1013" t="s">
        <v>12</v>
      </c>
      <c r="E110" s="1014" t="s">
        <v>769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531">
        <f>SUM(L110:L111)</f>
        <v>464.91899999999998</v>
      </c>
      <c r="O110" s="284"/>
      <c r="P110" s="8"/>
    </row>
    <row r="111" spans="2:16" ht="18" x14ac:dyDescent="0.35">
      <c r="B111" s="1530"/>
      <c r="C111" s="1530"/>
      <c r="D111" s="1013" t="s">
        <v>13</v>
      </c>
      <c r="E111" s="1014" t="s">
        <v>770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532"/>
      <c r="O111" s="284"/>
      <c r="P111" s="8"/>
    </row>
    <row r="112" spans="2:16" ht="18" x14ac:dyDescent="0.35">
      <c r="B112" s="1530">
        <v>46299</v>
      </c>
      <c r="C112" s="1530"/>
      <c r="D112" s="1013" t="s">
        <v>12</v>
      </c>
      <c r="E112" s="1014" t="s">
        <v>771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530"/>
      <c r="C113" s="1530"/>
      <c r="D113" s="1013" t="s">
        <v>13</v>
      </c>
      <c r="E113" s="1014" t="s">
        <v>770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530">
        <v>46300</v>
      </c>
      <c r="C114" s="1530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531">
        <f>SUM(L114:L115)</f>
        <v>19.655999999999999</v>
      </c>
      <c r="O114" s="1189"/>
      <c r="P114" s="8"/>
    </row>
    <row r="115" spans="2:16" ht="18" x14ac:dyDescent="0.35">
      <c r="B115" s="1530"/>
      <c r="C115" s="1530"/>
      <c r="D115" s="1013" t="s">
        <v>13</v>
      </c>
      <c r="E115" s="1014" t="s">
        <v>780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532"/>
      <c r="O115" s="1189"/>
      <c r="P115" s="8"/>
    </row>
    <row r="116" spans="2:16" ht="18" x14ac:dyDescent="0.35">
      <c r="B116" s="1530">
        <v>46301</v>
      </c>
      <c r="C116" s="1530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531">
        <f>SUM(L116:L117)</f>
        <v>94.77</v>
      </c>
      <c r="O116" s="1189"/>
      <c r="P116" s="8"/>
    </row>
    <row r="117" spans="2:16" ht="18" x14ac:dyDescent="0.35">
      <c r="B117" s="1530"/>
      <c r="C117" s="1530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532"/>
      <c r="O117" s="1189"/>
      <c r="P117" s="8"/>
    </row>
    <row r="118" spans="2:16" ht="18" x14ac:dyDescent="0.35">
      <c r="B118" s="1530">
        <v>46302</v>
      </c>
      <c r="C118" s="1530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531">
        <f>SUM(L118:L119)</f>
        <v>192.62879999999998</v>
      </c>
      <c r="O118" s="1189"/>
      <c r="P118" s="8"/>
    </row>
    <row r="119" spans="2:16" ht="18" x14ac:dyDescent="0.35">
      <c r="B119" s="1530"/>
      <c r="C119" s="1530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1.35</v>
      </c>
      <c r="K119" s="1020">
        <f t="shared" si="108"/>
        <v>211.67999999999998</v>
      </c>
      <c r="L119" s="1066">
        <f t="shared" si="109"/>
        <v>192.62879999999998</v>
      </c>
      <c r="M119" s="1066">
        <f t="shared" si="110"/>
        <v>17.639999999999997</v>
      </c>
      <c r="N119" s="1532"/>
      <c r="O119" s="1189"/>
      <c r="P119" s="8"/>
    </row>
    <row r="120" spans="2:16" ht="18" x14ac:dyDescent="0.35">
      <c r="B120" s="1530">
        <v>46303</v>
      </c>
      <c r="C120" s="1530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1.35</v>
      </c>
      <c r="K120" s="1020">
        <f t="shared" ref="K120" si="112">IFERROR((F120*I120*J120),"")</f>
        <v>171.04499999999999</v>
      </c>
      <c r="L120" s="1066">
        <f t="shared" ref="L120" si="113">IFERROR(((F120*I120)*J120)*(1-H120),"")</f>
        <v>155.65094999999999</v>
      </c>
      <c r="M120" s="1066">
        <f t="shared" ref="M120" si="114">IFERROR((K120/12),"")</f>
        <v>14.253749999999998</v>
      </c>
      <c r="N120" s="1531">
        <f>SUM(L120:L121)</f>
        <v>450.49095</v>
      </c>
      <c r="O120" s="1189"/>
      <c r="P120" s="8"/>
    </row>
    <row r="121" spans="2:16" ht="18" x14ac:dyDescent="0.35">
      <c r="B121" s="1530"/>
      <c r="C121" s="1530"/>
      <c r="D121" s="1013" t="s">
        <v>13</v>
      </c>
      <c r="E121" s="1014"/>
      <c r="F121" s="1015">
        <v>80</v>
      </c>
      <c r="G121" s="1016" t="s">
        <v>15</v>
      </c>
      <c r="H121" s="1017">
        <v>0.09</v>
      </c>
      <c r="I121" s="1018">
        <f t="shared" ref="I121" si="115">IFERROR((VLOOKUP(G121,S$6:T$8,2,FALSE)),"")</f>
        <v>3</v>
      </c>
      <c r="J121" s="1019">
        <v>1.35</v>
      </c>
      <c r="K121" s="1020">
        <f t="shared" ref="K121" si="116">IFERROR((F121*I121*J121),"")</f>
        <v>324</v>
      </c>
      <c r="L121" s="1066">
        <f t="shared" ref="L121" si="117">IFERROR(((F121*I121)*J121)*(1-H121),"")</f>
        <v>294.84000000000003</v>
      </c>
      <c r="M121" s="1066">
        <f t="shared" ref="M121" si="118">IFERROR((K121/12),"")</f>
        <v>27</v>
      </c>
      <c r="N121" s="1532"/>
      <c r="O121" s="1189"/>
      <c r="P121" s="8"/>
    </row>
    <row r="122" spans="2:16" ht="18" hidden="1" customHeight="1" x14ac:dyDescent="0.35">
      <c r="B122" s="1530">
        <v>46304</v>
      </c>
      <c r="C122" s="1530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531">
        <f t="shared" ref="N122" si="123">SUM(L122:L123)</f>
        <v>0</v>
      </c>
      <c r="O122" s="1189"/>
      <c r="P122" s="8"/>
    </row>
    <row r="123" spans="2:16" ht="18" hidden="1" customHeight="1" x14ac:dyDescent="0.35">
      <c r="B123" s="1530"/>
      <c r="C123" s="1530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532"/>
      <c r="O123" s="1189"/>
      <c r="P123" s="8"/>
    </row>
    <row r="124" spans="2:16" ht="18" x14ac:dyDescent="0.35">
      <c r="B124" s="1530">
        <v>46307</v>
      </c>
      <c r="C124" s="1530"/>
      <c r="D124" s="1013" t="s">
        <v>12</v>
      </c>
      <c r="E124" s="1014"/>
      <c r="F124" s="1015">
        <v>39</v>
      </c>
      <c r="G124" s="1016" t="s">
        <v>15</v>
      </c>
      <c r="H124" s="1017">
        <v>0.09</v>
      </c>
      <c r="I124" s="1018">
        <f t="shared" si="119"/>
        <v>3</v>
      </c>
      <c r="J124" s="1019">
        <v>1.35</v>
      </c>
      <c r="K124" s="1020">
        <f t="shared" si="120"/>
        <v>157.95000000000002</v>
      </c>
      <c r="L124" s="1066">
        <f t="shared" si="121"/>
        <v>143.73450000000003</v>
      </c>
      <c r="M124" s="1066">
        <f t="shared" si="122"/>
        <v>13.162500000000001</v>
      </c>
      <c r="N124" s="1531">
        <f>SUM(L124:L125)</f>
        <v>324.32400000000007</v>
      </c>
      <c r="O124" s="1189"/>
      <c r="P124" s="8"/>
    </row>
    <row r="125" spans="2:16" ht="18" x14ac:dyDescent="0.35">
      <c r="B125" s="1530"/>
      <c r="C125" s="1530"/>
      <c r="D125" s="1013" t="s">
        <v>13</v>
      </c>
      <c r="E125" s="1014"/>
      <c r="F125" s="1015">
        <v>49</v>
      </c>
      <c r="G125" s="1016" t="s">
        <v>15</v>
      </c>
      <c r="H125" s="1017">
        <v>0.09</v>
      </c>
      <c r="I125" s="1018">
        <f>IFERROR((VLOOKUP(G125,S$6:T$8,2,FALSE)),"")</f>
        <v>3</v>
      </c>
      <c r="J125" s="1019">
        <v>1.35</v>
      </c>
      <c r="K125" s="1020">
        <f>IFERROR((F125*I125*J125),"")</f>
        <v>198.45000000000002</v>
      </c>
      <c r="L125" s="1066">
        <f t="shared" ref="L125" si="124">IFERROR(((F125*I125)*J125)*(1-H125),"")</f>
        <v>180.58950000000002</v>
      </c>
      <c r="M125" s="1066">
        <f t="shared" ref="M125" si="125">IFERROR((K125/12),"")</f>
        <v>16.537500000000001</v>
      </c>
      <c r="N125" s="1532"/>
      <c r="O125" s="1189"/>
      <c r="P125" s="8"/>
    </row>
    <row r="126" spans="2:16" ht="18" hidden="1" x14ac:dyDescent="0.35">
      <c r="B126" s="1530">
        <v>46306</v>
      </c>
      <c r="C126" s="1530"/>
      <c r="D126" s="1013" t="s">
        <v>12</v>
      </c>
      <c r="E126" s="1014"/>
      <c r="F126" s="1015"/>
      <c r="G126" s="1016"/>
      <c r="H126" s="1017"/>
      <c r="I126" s="1018" t="str">
        <f t="shared" ref="I126:I136" si="126">IFERROR((VLOOKUP(G126,S$6:T$8,2,FALSE)),"")</f>
        <v/>
      </c>
      <c r="J126" s="1019"/>
      <c r="K126" s="1020" t="str">
        <f t="shared" ref="K126:K136" si="127">IFERROR((F126*I126*J126),"")</f>
        <v/>
      </c>
      <c r="L126" s="1066" t="str">
        <f t="shared" ref="L126:L136" si="128">IFERROR(((F126*I126)*J126)*(1-H126),"")</f>
        <v/>
      </c>
      <c r="M126" s="1066" t="str">
        <f t="shared" ref="M126:M136" si="129">IFERROR((K126/12),"")</f>
        <v/>
      </c>
      <c r="N126" s="1066"/>
      <c r="O126" s="1189"/>
      <c r="P126" s="8"/>
    </row>
    <row r="127" spans="2:16" ht="18" hidden="1" x14ac:dyDescent="0.35">
      <c r="B127" s="1530"/>
      <c r="C127" s="1530"/>
      <c r="D127" s="1013" t="s">
        <v>13</v>
      </c>
      <c r="E127" s="1014"/>
      <c r="F127" s="1015"/>
      <c r="G127" s="1016"/>
      <c r="H127" s="1017"/>
      <c r="I127" s="1018" t="str">
        <f t="shared" si="126"/>
        <v/>
      </c>
      <c r="J127" s="1019"/>
      <c r="K127" s="1020" t="str">
        <f t="shared" si="127"/>
        <v/>
      </c>
      <c r="L127" s="1066" t="str">
        <f t="shared" si="128"/>
        <v/>
      </c>
      <c r="M127" s="1066" t="str">
        <f t="shared" si="129"/>
        <v/>
      </c>
      <c r="N127" s="1066"/>
      <c r="O127" s="1189"/>
      <c r="P127" s="8"/>
    </row>
    <row r="128" spans="2:16" ht="18" hidden="1" x14ac:dyDescent="0.35">
      <c r="B128" s="1536">
        <v>46308</v>
      </c>
      <c r="C128" s="1537"/>
      <c r="D128" s="1013" t="s">
        <v>12</v>
      </c>
      <c r="E128" s="1014"/>
      <c r="F128" s="1015"/>
      <c r="G128" s="1016"/>
      <c r="H128" s="1017"/>
      <c r="I128" s="1018" t="str">
        <f t="shared" si="126"/>
        <v/>
      </c>
      <c r="J128" s="1019"/>
      <c r="K128" s="1020" t="str">
        <f t="shared" si="127"/>
        <v/>
      </c>
      <c r="L128" s="1066" t="str">
        <f t="shared" si="128"/>
        <v/>
      </c>
      <c r="M128" s="1066" t="str">
        <f t="shared" si="129"/>
        <v/>
      </c>
      <c r="N128" s="1066"/>
      <c r="O128" s="1189"/>
      <c r="P128" s="8"/>
    </row>
    <row r="129" spans="2:16" ht="18" hidden="1" x14ac:dyDescent="0.35">
      <c r="B129" s="1539"/>
      <c r="C129" s="1540"/>
      <c r="D129" s="1013" t="s">
        <v>13</v>
      </c>
      <c r="E129" s="1014"/>
      <c r="F129" s="1015"/>
      <c r="G129" s="1016"/>
      <c r="H129" s="1017"/>
      <c r="I129" s="1018" t="str">
        <f t="shared" si="126"/>
        <v/>
      </c>
      <c r="J129" s="1019"/>
      <c r="K129" s="1020" t="str">
        <f t="shared" si="127"/>
        <v/>
      </c>
      <c r="L129" s="1066" t="str">
        <f t="shared" si="128"/>
        <v/>
      </c>
      <c r="M129" s="1066" t="str">
        <f t="shared" si="129"/>
        <v/>
      </c>
      <c r="N129" s="1066"/>
      <c r="O129" s="1189"/>
      <c r="P129" s="8"/>
    </row>
    <row r="130" spans="2:16" ht="18" hidden="1" x14ac:dyDescent="0.35">
      <c r="B130" s="1536">
        <v>46309</v>
      </c>
      <c r="C130" s="1537"/>
      <c r="D130" s="1013" t="s">
        <v>12</v>
      </c>
      <c r="E130" s="1014"/>
      <c r="F130" s="1015"/>
      <c r="G130" s="1016"/>
      <c r="H130" s="1017"/>
      <c r="I130" s="1018" t="str">
        <f t="shared" si="126"/>
        <v/>
      </c>
      <c r="J130" s="1019"/>
      <c r="K130" s="1020" t="str">
        <f t="shared" si="127"/>
        <v/>
      </c>
      <c r="L130" s="1066" t="str">
        <f t="shared" si="128"/>
        <v/>
      </c>
      <c r="M130" s="1066" t="str">
        <f t="shared" si="129"/>
        <v/>
      </c>
      <c r="N130" s="1066"/>
      <c r="O130" s="1189"/>
      <c r="P130" s="8"/>
    </row>
    <row r="131" spans="2:16" ht="18" hidden="1" x14ac:dyDescent="0.35">
      <c r="B131" s="1539"/>
      <c r="C131" s="1540"/>
      <c r="D131" s="1013" t="s">
        <v>13</v>
      </c>
      <c r="E131" s="1014"/>
      <c r="F131" s="1015"/>
      <c r="G131" s="1016"/>
      <c r="H131" s="1017"/>
      <c r="I131" s="1018" t="str">
        <f t="shared" si="126"/>
        <v/>
      </c>
      <c r="J131" s="1019"/>
      <c r="K131" s="1020" t="str">
        <f t="shared" si="127"/>
        <v/>
      </c>
      <c r="L131" s="1066" t="str">
        <f t="shared" si="128"/>
        <v/>
      </c>
      <c r="M131" s="1066" t="str">
        <f t="shared" si="129"/>
        <v/>
      </c>
      <c r="N131" s="1066"/>
      <c r="O131" s="1189"/>
      <c r="P131" s="8"/>
    </row>
    <row r="132" spans="2:16" ht="18" hidden="1" x14ac:dyDescent="0.35">
      <c r="B132" s="1536">
        <v>46310</v>
      </c>
      <c r="C132" s="1537"/>
      <c r="D132" s="1013" t="s">
        <v>12</v>
      </c>
      <c r="E132" s="1014"/>
      <c r="F132" s="1015"/>
      <c r="G132" s="1016"/>
      <c r="H132" s="1017"/>
      <c r="I132" s="1018" t="str">
        <f t="shared" si="126"/>
        <v/>
      </c>
      <c r="J132" s="1019"/>
      <c r="K132" s="1020" t="str">
        <f t="shared" si="127"/>
        <v/>
      </c>
      <c r="L132" s="1066" t="str">
        <f t="shared" si="128"/>
        <v/>
      </c>
      <c r="M132" s="1066" t="str">
        <f t="shared" si="129"/>
        <v/>
      </c>
      <c r="N132" s="1066"/>
      <c r="O132" s="1189"/>
      <c r="P132" s="8"/>
    </row>
    <row r="133" spans="2:16" ht="18" hidden="1" x14ac:dyDescent="0.35">
      <c r="B133" s="1539"/>
      <c r="C133" s="1540"/>
      <c r="D133" s="1013" t="s">
        <v>13</v>
      </c>
      <c r="E133" s="1014"/>
      <c r="F133" s="1015"/>
      <c r="G133" s="1016"/>
      <c r="H133" s="1017"/>
      <c r="I133" s="1018" t="str">
        <f t="shared" si="126"/>
        <v/>
      </c>
      <c r="J133" s="1019"/>
      <c r="K133" s="1020" t="str">
        <f t="shared" si="127"/>
        <v/>
      </c>
      <c r="L133" s="1066" t="str">
        <f t="shared" si="128"/>
        <v/>
      </c>
      <c r="M133" s="1066" t="str">
        <f t="shared" si="129"/>
        <v/>
      </c>
      <c r="N133" s="1066"/>
      <c r="O133" s="1189"/>
      <c r="P133" s="8"/>
    </row>
    <row r="134" spans="2:16" ht="18" x14ac:dyDescent="0.35">
      <c r="B134" s="1536">
        <v>46311</v>
      </c>
      <c r="C134" s="1537"/>
      <c r="D134" s="1013" t="s">
        <v>12</v>
      </c>
      <c r="E134" s="1014"/>
      <c r="F134" s="1015">
        <v>63</v>
      </c>
      <c r="G134" s="1016" t="s">
        <v>15</v>
      </c>
      <c r="H134" s="1017">
        <v>0.09</v>
      </c>
      <c r="I134" s="1018">
        <f t="shared" si="126"/>
        <v>3</v>
      </c>
      <c r="J134" s="1019">
        <v>1.35</v>
      </c>
      <c r="K134" s="1020">
        <f t="shared" si="127"/>
        <v>255.15</v>
      </c>
      <c r="L134" s="1066">
        <f t="shared" si="128"/>
        <v>232.18650000000002</v>
      </c>
      <c r="M134" s="1066">
        <f t="shared" si="129"/>
        <v>21.262499999999999</v>
      </c>
      <c r="N134" s="1531">
        <f>SUM(L134:L135)</f>
        <v>445.94550000000004</v>
      </c>
      <c r="O134" s="1189"/>
      <c r="P134" s="8"/>
    </row>
    <row r="135" spans="2:16" ht="18" x14ac:dyDescent="0.35">
      <c r="B135" s="1539"/>
      <c r="C135" s="1540"/>
      <c r="D135" s="1013" t="s">
        <v>13</v>
      </c>
      <c r="E135" s="1014"/>
      <c r="F135" s="1015">
        <v>58</v>
      </c>
      <c r="G135" s="1016" t="s">
        <v>15</v>
      </c>
      <c r="H135" s="1017">
        <v>0.09</v>
      </c>
      <c r="I135" s="1018">
        <f t="shared" si="126"/>
        <v>3</v>
      </c>
      <c r="J135" s="1019">
        <v>1.35</v>
      </c>
      <c r="K135" s="1020">
        <f t="shared" si="127"/>
        <v>234.9</v>
      </c>
      <c r="L135" s="1066">
        <f t="shared" si="128"/>
        <v>213.75900000000001</v>
      </c>
      <c r="M135" s="1066">
        <f t="shared" si="129"/>
        <v>19.574999999999999</v>
      </c>
      <c r="N135" s="1532"/>
      <c r="O135" s="1189"/>
      <c r="P135" s="8"/>
    </row>
    <row r="136" spans="2:16" ht="18" x14ac:dyDescent="0.35">
      <c r="B136" s="1536">
        <v>46312</v>
      </c>
      <c r="C136" s="1537"/>
      <c r="D136" s="1013" t="s">
        <v>12</v>
      </c>
      <c r="F136" s="1015"/>
      <c r="G136" s="1016"/>
      <c r="H136" s="1017"/>
      <c r="I136" s="1018" t="str">
        <f t="shared" si="126"/>
        <v/>
      </c>
      <c r="J136" s="1019"/>
      <c r="K136" s="1020" t="str">
        <f t="shared" si="127"/>
        <v/>
      </c>
      <c r="L136" s="1066" t="str">
        <f t="shared" si="128"/>
        <v/>
      </c>
      <c r="M136" s="1066" t="str">
        <f t="shared" si="129"/>
        <v/>
      </c>
      <c r="N136" s="1531">
        <f>SUM(M136:M137)</f>
        <v>16.875</v>
      </c>
      <c r="O136" s="1189"/>
      <c r="P136" s="8"/>
    </row>
    <row r="137" spans="2:16" ht="18" x14ac:dyDescent="0.35">
      <c r="B137" s="1539"/>
      <c r="C137" s="1540"/>
      <c r="D137" s="1013" t="s">
        <v>13</v>
      </c>
      <c r="E137" s="1014"/>
      <c r="F137" s="1015">
        <v>50</v>
      </c>
      <c r="G137" s="1016" t="s">
        <v>15</v>
      </c>
      <c r="H137" s="1017">
        <v>0.09</v>
      </c>
      <c r="I137" s="1018">
        <f>IFERROR((VLOOKUP(G137,S$6:T$8,2,FALSE)),"")</f>
        <v>3</v>
      </c>
      <c r="J137" s="1019">
        <v>1.35</v>
      </c>
      <c r="K137" s="1020">
        <f>IFERROR((F137*I137*J137),"")</f>
        <v>202.5</v>
      </c>
      <c r="L137" s="1066">
        <f>IFERROR(((F137*I137)*J137)*(1-H137),"")</f>
        <v>184.27500000000001</v>
      </c>
      <c r="M137" s="1066">
        <f>IFERROR((K137/12),"")</f>
        <v>16.875</v>
      </c>
      <c r="N137" s="1532"/>
      <c r="O137" s="1189"/>
      <c r="P137" s="8"/>
    </row>
    <row r="138" spans="2:16" ht="18" x14ac:dyDescent="0.35">
      <c r="B138" s="1536">
        <v>46313</v>
      </c>
      <c r="C138" s="1537"/>
      <c r="D138" s="1013" t="s">
        <v>12</v>
      </c>
      <c r="E138" s="1014"/>
      <c r="F138" s="1015">
        <v>44</v>
      </c>
      <c r="G138" s="1016" t="s">
        <v>14</v>
      </c>
      <c r="H138" s="1017">
        <v>0.09</v>
      </c>
      <c r="I138" s="1018">
        <f>IFERROR((VLOOKUP(G138,S$6:T$8,2,FALSE)),"")</f>
        <v>0.7</v>
      </c>
      <c r="J138" s="1019">
        <v>1.35</v>
      </c>
      <c r="K138" s="1020">
        <f>IFERROR((F138*I138*J138),"")</f>
        <v>41.58</v>
      </c>
      <c r="L138" s="1066">
        <f>IFERROR(((F138*I138)*J138)*(1-H138),"")</f>
        <v>37.837800000000001</v>
      </c>
      <c r="M138" s="1066">
        <f>IFERROR((K138/12),"")</f>
        <v>3.4649999999999999</v>
      </c>
      <c r="N138" s="1531">
        <f>SUM(L138:L141)</f>
        <v>217.57980000000001</v>
      </c>
      <c r="O138" s="1189"/>
      <c r="P138" s="8"/>
    </row>
    <row r="139" spans="2:16" ht="18" x14ac:dyDescent="0.35">
      <c r="B139" s="1538"/>
      <c r="C139" s="1523"/>
      <c r="D139" s="1013" t="s">
        <v>896</v>
      </c>
      <c r="E139" s="1014"/>
      <c r="F139" s="1015">
        <v>4</v>
      </c>
      <c r="G139" s="1016" t="s">
        <v>15</v>
      </c>
      <c r="H139" s="1017">
        <v>0.09</v>
      </c>
      <c r="I139" s="1018">
        <f>IFERROR((VLOOKUP(G139,S$6:T$8,2,FALSE)),"")</f>
        <v>3</v>
      </c>
      <c r="J139" s="1019">
        <v>1.35</v>
      </c>
      <c r="K139" s="1020">
        <f>IFERROR((F139*I139*J139),"")</f>
        <v>16.200000000000003</v>
      </c>
      <c r="L139" s="1066">
        <f>IFERROR(((F139*I139)*J139)*(1-H139),"")</f>
        <v>14.742000000000003</v>
      </c>
      <c r="M139" s="1066">
        <f>IFERROR((K139/12),"")</f>
        <v>1.3500000000000003</v>
      </c>
      <c r="N139" s="1515"/>
      <c r="O139" s="1189"/>
      <c r="P139" s="8"/>
    </row>
    <row r="140" spans="2:16" ht="18" x14ac:dyDescent="0.35">
      <c r="B140" s="1530">
        <v>46321</v>
      </c>
      <c r="C140" s="1530"/>
      <c r="D140" s="1013" t="s">
        <v>13</v>
      </c>
      <c r="E140" s="1014" t="s">
        <v>169</v>
      </c>
      <c r="F140" s="1405">
        <v>44</v>
      </c>
      <c r="G140" s="1016" t="s">
        <v>15</v>
      </c>
      <c r="H140" s="1017"/>
      <c r="I140" s="1018">
        <f>IFERROR((VLOOKUP(G140,S$6:T$8,2,FALSE)),"")</f>
        <v>3</v>
      </c>
      <c r="J140" s="1019">
        <v>1.25</v>
      </c>
      <c r="K140" s="1020">
        <f>IFERROR((F140*I140*J140),"")</f>
        <v>165</v>
      </c>
      <c r="L140" s="1066">
        <f>IFERROR(((F140*I140)*J140)*(1-H140),"")</f>
        <v>165</v>
      </c>
      <c r="M140" s="1066">
        <f>IFERROR((K140/12),"")</f>
        <v>13.75</v>
      </c>
      <c r="N140" s="1531">
        <f>SUM(L140:L143)</f>
        <v>165</v>
      </c>
      <c r="O140" s="1189" t="s">
        <v>977</v>
      </c>
      <c r="P140" s="8"/>
    </row>
    <row r="141" spans="2:16" ht="18" x14ac:dyDescent="0.35">
      <c r="B141" s="1401"/>
      <c r="C141" s="1402"/>
      <c r="D141" s="1013"/>
      <c r="E141" s="1014"/>
      <c r="F141" s="1015"/>
      <c r="G141" s="1016"/>
      <c r="H141" s="1017"/>
      <c r="I141" s="1018"/>
      <c r="J141" s="1019"/>
      <c r="K141" s="1020"/>
      <c r="L141" s="1066"/>
      <c r="M141" s="1066"/>
      <c r="N141" s="1515"/>
      <c r="O141" s="1189"/>
      <c r="P141" s="8"/>
    </row>
    <row r="142" spans="2:16" ht="18" x14ac:dyDescent="0.35">
      <c r="B142" s="1403"/>
      <c r="C142" s="1404"/>
      <c r="D142" s="1013"/>
      <c r="E142" s="1014"/>
      <c r="G142" s="1016"/>
      <c r="H142" s="1017"/>
      <c r="I142" s="1018"/>
      <c r="J142" s="1019"/>
      <c r="K142" s="1020"/>
      <c r="L142" s="1066"/>
      <c r="M142" s="1066"/>
      <c r="N142" s="1066"/>
      <c r="O142" s="1189"/>
      <c r="P142" s="8"/>
    </row>
    <row r="143" spans="2:16" ht="18" hidden="1" x14ac:dyDescent="0.35">
      <c r="B143" s="1536">
        <v>46314</v>
      </c>
      <c r="C143" s="1537"/>
      <c r="D143" s="1013" t="s">
        <v>12</v>
      </c>
      <c r="E143" s="1014"/>
      <c r="F143" s="1015"/>
      <c r="G143" s="1016"/>
      <c r="H143" s="1017"/>
      <c r="I143" s="1018"/>
      <c r="J143" s="1019"/>
      <c r="K143" s="1020"/>
      <c r="L143" s="1066"/>
      <c r="M143" s="1066"/>
      <c r="N143" s="1066"/>
      <c r="O143" s="1189"/>
      <c r="P143" s="8"/>
    </row>
    <row r="144" spans="2:16" ht="18" hidden="1" x14ac:dyDescent="0.35">
      <c r="B144" s="1538"/>
      <c r="C144" s="1523"/>
      <c r="D144" s="1013" t="s">
        <v>13</v>
      </c>
      <c r="E144" s="1014"/>
      <c r="F144" s="1015"/>
      <c r="G144" s="1016"/>
      <c r="H144" s="1017"/>
      <c r="I144" s="1018"/>
      <c r="J144" s="1019"/>
      <c r="K144" s="1020"/>
      <c r="L144" s="1066"/>
      <c r="M144" s="1066"/>
      <c r="N144" s="1066"/>
      <c r="O144" s="1189"/>
      <c r="P144" s="8"/>
    </row>
    <row r="145" spans="2:16" ht="18" hidden="1" x14ac:dyDescent="0.35">
      <c r="B145" s="1539"/>
      <c r="C145" s="1540"/>
      <c r="D145" s="1013" t="s">
        <v>12</v>
      </c>
      <c r="E145" s="1014"/>
      <c r="F145" s="1015"/>
      <c r="G145" s="1016"/>
      <c r="H145" s="1017"/>
      <c r="I145" s="1018"/>
      <c r="J145" s="1019"/>
      <c r="K145" s="1020"/>
      <c r="L145" s="1066"/>
      <c r="M145" s="1066"/>
      <c r="N145" s="1066"/>
      <c r="O145" s="1189"/>
      <c r="P145" s="8"/>
    </row>
    <row r="146" spans="2:16" ht="18" hidden="1" x14ac:dyDescent="0.35">
      <c r="B146" s="1536">
        <v>46315</v>
      </c>
      <c r="C146" s="1537"/>
      <c r="D146" s="1013" t="s">
        <v>13</v>
      </c>
      <c r="E146" s="1014"/>
      <c r="F146" s="1015"/>
      <c r="G146" s="1016"/>
      <c r="H146" s="1017"/>
      <c r="I146" s="1018"/>
      <c r="J146" s="1019"/>
      <c r="K146" s="1020"/>
      <c r="L146" s="1066"/>
      <c r="M146" s="1066"/>
      <c r="N146" s="1066"/>
      <c r="O146" s="1189"/>
      <c r="P146" s="8"/>
    </row>
    <row r="147" spans="2:16" ht="18" hidden="1" x14ac:dyDescent="0.35">
      <c r="B147" s="1538"/>
      <c r="C147" s="1523"/>
      <c r="D147" s="1013" t="s">
        <v>12</v>
      </c>
      <c r="E147" s="1014"/>
      <c r="F147" s="1015"/>
      <c r="G147" s="1016"/>
      <c r="H147" s="1017"/>
      <c r="I147" s="1018"/>
      <c r="J147" s="1019"/>
      <c r="K147" s="1020"/>
      <c r="L147" s="1066"/>
      <c r="M147" s="1066"/>
      <c r="N147" s="1066"/>
      <c r="O147" s="1189"/>
      <c r="P147" s="8"/>
    </row>
    <row r="148" spans="2:16" ht="18" hidden="1" x14ac:dyDescent="0.35">
      <c r="B148" s="1539"/>
      <c r="C148" s="1540"/>
      <c r="D148" s="1013" t="s">
        <v>13</v>
      </c>
      <c r="E148" s="1014"/>
      <c r="F148" s="1015"/>
      <c r="G148" s="1016"/>
      <c r="H148" s="1017"/>
      <c r="I148" s="1018"/>
      <c r="J148" s="1019"/>
      <c r="K148" s="1020"/>
      <c r="L148" s="1066"/>
      <c r="M148" s="1066"/>
      <c r="N148" s="1066"/>
      <c r="O148" s="1189"/>
      <c r="P148" s="8"/>
    </row>
    <row r="149" spans="2:16" ht="18" hidden="1" x14ac:dyDescent="0.35">
      <c r="B149" s="1536">
        <v>46316</v>
      </c>
      <c r="C149" s="1537"/>
      <c r="D149" s="1013" t="s">
        <v>12</v>
      </c>
      <c r="E149" s="1014"/>
      <c r="F149" s="1015"/>
      <c r="G149" s="1016"/>
      <c r="H149" s="1017"/>
      <c r="I149" s="1018"/>
      <c r="J149" s="1019"/>
      <c r="K149" s="1020"/>
      <c r="L149" s="1066"/>
      <c r="M149" s="1066"/>
      <c r="N149" s="1066"/>
      <c r="O149" s="1189"/>
      <c r="P149" s="8"/>
    </row>
    <row r="150" spans="2:16" ht="18" hidden="1" x14ac:dyDescent="0.35">
      <c r="B150" s="1538"/>
      <c r="C150" s="1523"/>
      <c r="D150" s="1013" t="s">
        <v>13</v>
      </c>
      <c r="E150" s="1014"/>
      <c r="F150" s="1015"/>
      <c r="G150" s="1016"/>
      <c r="H150" s="1017"/>
      <c r="I150" s="1018"/>
      <c r="J150" s="1019"/>
      <c r="K150" s="1020"/>
      <c r="L150" s="1066"/>
      <c r="M150" s="1066"/>
      <c r="N150" s="1066"/>
      <c r="O150" s="1189"/>
      <c r="P150" s="8"/>
    </row>
    <row r="151" spans="2:16" ht="18" hidden="1" x14ac:dyDescent="0.35">
      <c r="B151" s="1539"/>
      <c r="C151" s="1540"/>
      <c r="D151" s="1013" t="s">
        <v>12</v>
      </c>
      <c r="E151" s="1014"/>
      <c r="F151" s="1015"/>
      <c r="G151" s="1016"/>
      <c r="H151" s="1017"/>
      <c r="I151" s="1018"/>
      <c r="J151" s="1019"/>
      <c r="K151" s="1020"/>
      <c r="L151" s="1066"/>
      <c r="M151" s="1066"/>
      <c r="N151" s="1066"/>
      <c r="O151" s="1189"/>
      <c r="P151" s="8"/>
    </row>
    <row r="152" spans="2:16" ht="18" hidden="1" x14ac:dyDescent="0.35">
      <c r="B152" s="1536">
        <v>46317</v>
      </c>
      <c r="C152" s="1537"/>
      <c r="D152" s="1013" t="s">
        <v>13</v>
      </c>
      <c r="E152" s="1014"/>
      <c r="F152" s="1015"/>
      <c r="G152" s="1016"/>
      <c r="H152" s="1017"/>
      <c r="I152" s="1018"/>
      <c r="J152" s="1019"/>
      <c r="K152" s="1020"/>
      <c r="L152" s="1066"/>
      <c r="M152" s="1066"/>
      <c r="N152" s="1066"/>
      <c r="O152" s="1189"/>
      <c r="P152" s="8"/>
    </row>
    <row r="153" spans="2:16" ht="18" hidden="1" x14ac:dyDescent="0.35">
      <c r="B153" s="1538"/>
      <c r="C153" s="1523"/>
      <c r="D153" s="1013" t="s">
        <v>12</v>
      </c>
      <c r="E153" s="1014"/>
      <c r="F153" s="1015"/>
      <c r="G153" s="1016"/>
      <c r="H153" s="1017"/>
      <c r="I153" s="1018"/>
      <c r="J153" s="1019"/>
      <c r="K153" s="1020"/>
      <c r="L153" s="1066"/>
      <c r="M153" s="1066"/>
      <c r="N153" s="1066"/>
      <c r="O153" s="1189"/>
      <c r="P153" s="8"/>
    </row>
    <row r="154" spans="2:16" ht="18" hidden="1" x14ac:dyDescent="0.35">
      <c r="B154" s="1539"/>
      <c r="C154" s="1540"/>
      <c r="D154" s="1013" t="s">
        <v>13</v>
      </c>
      <c r="E154" s="1014"/>
      <c r="F154" s="1015"/>
      <c r="G154" s="1016"/>
      <c r="H154" s="1017"/>
      <c r="I154" s="1018"/>
      <c r="J154" s="1019"/>
      <c r="K154" s="1020"/>
      <c r="L154" s="1066"/>
      <c r="M154" s="1066"/>
      <c r="N154" s="1066"/>
      <c r="O154" s="1189"/>
      <c r="P154" s="8"/>
    </row>
    <row r="155" spans="2:16" ht="18" hidden="1" x14ac:dyDescent="0.35">
      <c r="B155" s="1536">
        <v>46318</v>
      </c>
      <c r="C155" s="1537"/>
      <c r="D155" s="1013" t="s">
        <v>12</v>
      </c>
      <c r="E155" s="1014"/>
      <c r="F155" s="1015"/>
      <c r="G155" s="1016"/>
      <c r="H155" s="1017"/>
      <c r="I155" s="1018"/>
      <c r="J155" s="1019"/>
      <c r="K155" s="1020"/>
      <c r="L155" s="1066"/>
      <c r="M155" s="1066"/>
      <c r="N155" s="1066"/>
      <c r="O155" s="1189"/>
      <c r="P155" s="8"/>
    </row>
    <row r="156" spans="2:16" ht="18" hidden="1" x14ac:dyDescent="0.35">
      <c r="B156" s="1538"/>
      <c r="C156" s="1523"/>
      <c r="D156" s="1013" t="s">
        <v>13</v>
      </c>
      <c r="E156" s="1014"/>
      <c r="F156" s="1015"/>
      <c r="G156" s="1016"/>
      <c r="H156" s="1017"/>
      <c r="I156" s="1018"/>
      <c r="J156" s="1019"/>
      <c r="K156" s="1020"/>
      <c r="L156" s="1066"/>
      <c r="M156" s="1066"/>
      <c r="N156" s="1066"/>
      <c r="O156" s="1189"/>
      <c r="P156" s="8"/>
    </row>
    <row r="157" spans="2:16" ht="18" hidden="1" x14ac:dyDescent="0.35">
      <c r="B157" s="1539"/>
      <c r="C157" s="1540"/>
      <c r="D157" s="1013" t="s">
        <v>12</v>
      </c>
      <c r="E157" s="1014"/>
      <c r="F157" s="1015"/>
      <c r="G157" s="1016"/>
      <c r="H157" s="1017"/>
      <c r="I157" s="1018"/>
      <c r="J157" s="1019"/>
      <c r="K157" s="1020"/>
      <c r="L157" s="1066"/>
      <c r="M157" s="1066"/>
      <c r="N157" s="1066"/>
      <c r="O157" s="1189"/>
      <c r="P157" s="8"/>
    </row>
    <row r="158" spans="2:16" ht="18" hidden="1" x14ac:dyDescent="0.35">
      <c r="B158" s="1536">
        <v>46319</v>
      </c>
      <c r="C158" s="1537"/>
      <c r="D158" s="1013" t="s">
        <v>13</v>
      </c>
      <c r="E158" s="1014"/>
      <c r="F158" s="1015"/>
      <c r="G158" s="1016"/>
      <c r="H158" s="1017"/>
      <c r="I158" s="1018"/>
      <c r="J158" s="1019"/>
      <c r="K158" s="1020"/>
      <c r="L158" s="1066"/>
      <c r="M158" s="1066"/>
      <c r="N158" s="1066"/>
      <c r="O158" s="1189"/>
      <c r="P158" s="8"/>
    </row>
    <row r="159" spans="2:16" ht="18" hidden="1" x14ac:dyDescent="0.35">
      <c r="B159" s="1538"/>
      <c r="C159" s="1523"/>
      <c r="D159" s="1013" t="s">
        <v>12</v>
      </c>
      <c r="E159" s="1014"/>
      <c r="F159" s="1015"/>
      <c r="G159" s="1016"/>
      <c r="H159" s="1017"/>
      <c r="I159" s="1018"/>
      <c r="J159" s="1019"/>
      <c r="K159" s="1020"/>
      <c r="L159" s="1066"/>
      <c r="M159" s="1066"/>
      <c r="N159" s="1066"/>
      <c r="O159" s="1189"/>
      <c r="P159" s="8"/>
    </row>
    <row r="160" spans="2:16" ht="18" hidden="1" x14ac:dyDescent="0.35">
      <c r="B160" s="1539"/>
      <c r="C160" s="1540"/>
      <c r="D160" s="1013" t="s">
        <v>13</v>
      </c>
      <c r="E160" s="1014"/>
      <c r="F160" s="1015"/>
      <c r="G160" s="1016"/>
      <c r="H160" s="1017"/>
      <c r="I160" s="1018"/>
      <c r="J160" s="1019"/>
      <c r="K160" s="1020"/>
      <c r="L160" s="1066"/>
      <c r="M160" s="1066"/>
      <c r="N160" s="1066"/>
      <c r="O160" s="1189"/>
      <c r="P160" s="8"/>
    </row>
    <row r="161" spans="2:16" ht="18" hidden="1" x14ac:dyDescent="0.35">
      <c r="B161" s="1536">
        <v>46320</v>
      </c>
      <c r="C161" s="1537"/>
      <c r="D161" s="1013" t="s">
        <v>12</v>
      </c>
      <c r="E161" s="1014"/>
      <c r="F161" s="1015"/>
      <c r="G161" s="1016"/>
      <c r="H161" s="1017"/>
      <c r="I161" s="1018"/>
      <c r="J161" s="1019"/>
      <c r="K161" s="1020"/>
      <c r="L161" s="1066"/>
      <c r="M161" s="1066"/>
      <c r="N161" s="1066"/>
      <c r="O161" s="1189"/>
      <c r="P161" s="8"/>
    </row>
    <row r="162" spans="2:16" ht="18" hidden="1" x14ac:dyDescent="0.35">
      <c r="B162" s="1538"/>
      <c r="C162" s="1523"/>
      <c r="D162" s="1013" t="s">
        <v>13</v>
      </c>
      <c r="E162" s="1014"/>
      <c r="F162" s="1015"/>
      <c r="G162" s="1016"/>
      <c r="H162" s="1017"/>
      <c r="I162" s="1018"/>
      <c r="J162" s="1019"/>
      <c r="K162" s="1020"/>
      <c r="L162" s="1066"/>
      <c r="M162" s="1066"/>
      <c r="N162" s="1066"/>
      <c r="O162" s="1189"/>
      <c r="P162" s="8"/>
    </row>
    <row r="163" spans="2:16" ht="18" hidden="1" x14ac:dyDescent="0.35">
      <c r="B163" s="1539"/>
      <c r="C163" s="1540"/>
      <c r="D163" s="1013" t="s">
        <v>12</v>
      </c>
      <c r="E163" s="1014"/>
      <c r="F163" s="1015"/>
      <c r="G163" s="1016"/>
      <c r="H163" s="1017"/>
      <c r="I163" s="1018"/>
      <c r="J163" s="1019"/>
      <c r="K163" s="1020"/>
      <c r="L163" s="1066"/>
      <c r="M163" s="1066"/>
      <c r="N163" s="1066"/>
      <c r="O163" s="1189"/>
      <c r="P163" s="8"/>
    </row>
    <row r="164" spans="2:16" ht="18" hidden="1" x14ac:dyDescent="0.35">
      <c r="B164" s="1536">
        <v>46321</v>
      </c>
      <c r="C164" s="1537"/>
      <c r="D164" s="1013" t="s">
        <v>13</v>
      </c>
      <c r="E164" s="1014"/>
      <c r="F164" s="1015"/>
      <c r="G164" s="1016"/>
      <c r="H164" s="1017"/>
      <c r="I164" s="1018"/>
      <c r="J164" s="1019"/>
      <c r="K164" s="1020"/>
      <c r="L164" s="1066"/>
      <c r="M164" s="1066"/>
      <c r="N164" s="1066"/>
      <c r="O164" s="1189"/>
      <c r="P164" s="8"/>
    </row>
    <row r="165" spans="2:16" ht="18" hidden="1" x14ac:dyDescent="0.35">
      <c r="B165" s="1538"/>
      <c r="C165" s="1523"/>
      <c r="D165" s="1013" t="s">
        <v>12</v>
      </c>
      <c r="E165" s="1014"/>
      <c r="F165" s="1015"/>
      <c r="G165" s="1016"/>
      <c r="H165" s="1017"/>
      <c r="I165" s="1018"/>
      <c r="J165" s="1019"/>
      <c r="K165" s="1020"/>
      <c r="L165" s="1066"/>
      <c r="M165" s="1066"/>
      <c r="N165" s="1066"/>
      <c r="O165" s="1189"/>
      <c r="P165" s="8"/>
    </row>
    <row r="166" spans="2:16" ht="18" hidden="1" x14ac:dyDescent="0.35">
      <c r="B166" s="1539"/>
      <c r="C166" s="1540"/>
      <c r="D166" s="1013" t="s">
        <v>13</v>
      </c>
      <c r="E166" s="1014"/>
      <c r="F166" s="1015"/>
      <c r="G166" s="1016"/>
      <c r="H166" s="1017"/>
      <c r="I166" s="1018"/>
      <c r="J166" s="1019"/>
      <c r="K166" s="1020"/>
      <c r="L166" s="1066"/>
      <c r="M166" s="1066"/>
      <c r="N166" s="1066"/>
      <c r="O166" s="1189"/>
      <c r="P166" s="8"/>
    </row>
    <row r="167" spans="2:16" ht="18" hidden="1" x14ac:dyDescent="0.35">
      <c r="B167" s="1536">
        <v>46322</v>
      </c>
      <c r="C167" s="1537"/>
      <c r="D167" s="1013" t="s">
        <v>12</v>
      </c>
      <c r="E167" s="1014"/>
      <c r="F167" s="1015"/>
      <c r="G167" s="1016"/>
      <c r="H167" s="1017"/>
      <c r="I167" s="1018"/>
      <c r="J167" s="1019"/>
      <c r="K167" s="1020"/>
      <c r="L167" s="1066"/>
      <c r="M167" s="1066"/>
      <c r="N167" s="1066"/>
      <c r="O167" s="1189"/>
      <c r="P167" s="8"/>
    </row>
    <row r="168" spans="2:16" ht="18" hidden="1" x14ac:dyDescent="0.35">
      <c r="B168" s="1538"/>
      <c r="C168" s="1523"/>
      <c r="D168" s="1013" t="s">
        <v>13</v>
      </c>
      <c r="E168" s="1014"/>
      <c r="F168" s="1015"/>
      <c r="G168" s="1016"/>
      <c r="H168" s="1017"/>
      <c r="I168" s="1018"/>
      <c r="J168" s="1019"/>
      <c r="K168" s="1020"/>
      <c r="L168" s="1066"/>
      <c r="M168" s="1066"/>
      <c r="N168" s="1066"/>
      <c r="O168" s="1189"/>
      <c r="P168" s="8"/>
    </row>
    <row r="169" spans="2:16" ht="18" hidden="1" x14ac:dyDescent="0.35">
      <c r="B169" s="1539"/>
      <c r="C169" s="1540"/>
      <c r="D169" s="1013" t="s">
        <v>12</v>
      </c>
      <c r="E169" s="1014"/>
      <c r="F169" s="1015"/>
      <c r="G169" s="1016"/>
      <c r="H169" s="1017"/>
      <c r="I169" s="1018"/>
      <c r="J169" s="1019"/>
      <c r="K169" s="1020"/>
      <c r="L169" s="1066"/>
      <c r="M169" s="1066"/>
      <c r="N169" s="1066"/>
      <c r="O169" s="1189"/>
      <c r="P169" s="8"/>
    </row>
    <row r="170" spans="2:16" ht="18" hidden="1" x14ac:dyDescent="0.35">
      <c r="B170" s="1536">
        <v>46323</v>
      </c>
      <c r="C170" s="1537"/>
      <c r="D170" s="1013" t="s">
        <v>13</v>
      </c>
      <c r="E170" s="1014"/>
      <c r="F170" s="1015"/>
      <c r="G170" s="1016"/>
      <c r="H170" s="1017"/>
      <c r="I170" s="1018"/>
      <c r="J170" s="1019"/>
      <c r="K170" s="1020"/>
      <c r="L170" s="1066"/>
      <c r="M170" s="1066"/>
      <c r="N170" s="1066"/>
      <c r="O170" s="1189"/>
      <c r="P170" s="8"/>
    </row>
    <row r="171" spans="2:16" ht="18" hidden="1" x14ac:dyDescent="0.35">
      <c r="B171" s="1538"/>
      <c r="C171" s="1523"/>
      <c r="D171" s="1013" t="s">
        <v>12</v>
      </c>
      <c r="E171" s="1014"/>
      <c r="F171" s="1015"/>
      <c r="G171" s="1016"/>
      <c r="H171" s="1017"/>
      <c r="I171" s="1018"/>
      <c r="J171" s="1019"/>
      <c r="K171" s="1020"/>
      <c r="L171" s="1066"/>
      <c r="M171" s="1066"/>
      <c r="N171" s="1066"/>
      <c r="O171" s="1189"/>
      <c r="P171" s="8"/>
    </row>
    <row r="172" spans="2:16" ht="18" hidden="1" x14ac:dyDescent="0.35">
      <c r="B172" s="1539"/>
      <c r="C172" s="1540"/>
      <c r="D172" s="1013" t="s">
        <v>13</v>
      </c>
      <c r="E172" s="1014"/>
      <c r="F172" s="1015"/>
      <c r="G172" s="1016"/>
      <c r="H172" s="1017"/>
      <c r="I172" s="1018"/>
      <c r="J172" s="1019"/>
      <c r="K172" s="1020"/>
      <c r="L172" s="1066"/>
      <c r="M172" s="1066"/>
      <c r="N172" s="1066"/>
      <c r="O172" s="1189"/>
      <c r="P172" s="8"/>
    </row>
    <row r="173" spans="2:16" ht="18" hidden="1" x14ac:dyDescent="0.35">
      <c r="B173" s="1536">
        <v>46324</v>
      </c>
      <c r="C173" s="1537"/>
      <c r="D173" s="1013" t="s">
        <v>12</v>
      </c>
      <c r="E173" s="1014"/>
      <c r="F173" s="1015"/>
      <c r="G173" s="1016"/>
      <c r="H173" s="1017"/>
      <c r="I173" s="1018"/>
      <c r="J173" s="1019"/>
      <c r="K173" s="1020"/>
      <c r="L173" s="1066"/>
      <c r="M173" s="1066"/>
      <c r="N173" s="1066"/>
      <c r="O173" s="1189"/>
      <c r="P173" s="8"/>
    </row>
    <row r="174" spans="2:16" ht="18" hidden="1" x14ac:dyDescent="0.35">
      <c r="B174" s="1538"/>
      <c r="C174" s="1523"/>
      <c r="D174" s="1013" t="s">
        <v>13</v>
      </c>
      <c r="E174" s="1014"/>
      <c r="F174" s="1015"/>
      <c r="G174" s="1016"/>
      <c r="H174" s="1017"/>
      <c r="I174" s="1018"/>
      <c r="J174" s="1019"/>
      <c r="K174" s="1020"/>
      <c r="L174" s="1066"/>
      <c r="M174" s="1066"/>
      <c r="N174" s="1066"/>
      <c r="O174" s="1189"/>
      <c r="P174" s="8"/>
    </row>
    <row r="175" spans="2:16" ht="18" hidden="1" x14ac:dyDescent="0.35">
      <c r="B175" s="1539"/>
      <c r="C175" s="1540"/>
      <c r="D175" s="1013" t="s">
        <v>12</v>
      </c>
      <c r="E175" s="1014"/>
      <c r="F175" s="1015"/>
      <c r="G175" s="1016"/>
      <c r="H175" s="1017"/>
      <c r="I175" s="1018"/>
      <c r="J175" s="1019"/>
      <c r="K175" s="1020"/>
      <c r="L175" s="1066"/>
      <c r="M175" s="1066"/>
      <c r="N175" s="1066"/>
      <c r="O175" s="1189"/>
      <c r="P175" s="8"/>
    </row>
    <row r="176" spans="2:16" ht="18" hidden="1" x14ac:dyDescent="0.35">
      <c r="B176" s="1536">
        <v>46325</v>
      </c>
      <c r="C176" s="1537"/>
      <c r="D176" s="1013" t="s">
        <v>13</v>
      </c>
      <c r="E176" s="1014"/>
      <c r="F176" s="1015"/>
      <c r="G176" s="1016"/>
      <c r="H176" s="1017"/>
      <c r="I176" s="1018"/>
      <c r="J176" s="1019"/>
      <c r="K176" s="1020"/>
      <c r="L176" s="1066"/>
      <c r="M176" s="1066"/>
      <c r="N176" s="1066"/>
      <c r="O176" s="1189"/>
      <c r="P176" s="8"/>
    </row>
    <row r="177" spans="2:19" ht="18" hidden="1" x14ac:dyDescent="0.35">
      <c r="B177" s="1538"/>
      <c r="C177" s="1523"/>
      <c r="D177" s="1013" t="s">
        <v>12</v>
      </c>
      <c r="E177" s="1014"/>
      <c r="F177" s="1015"/>
      <c r="G177" s="1016"/>
      <c r="H177" s="1017"/>
      <c r="I177" s="1018"/>
      <c r="J177" s="1019"/>
      <c r="K177" s="1020"/>
      <c r="L177" s="1066"/>
      <c r="M177" s="1066"/>
      <c r="N177" s="1066"/>
      <c r="O177" s="1189"/>
      <c r="P177" s="8"/>
    </row>
    <row r="178" spans="2:19" ht="18" hidden="1" x14ac:dyDescent="0.35">
      <c r="B178" s="1539"/>
      <c r="C178" s="1540"/>
      <c r="D178" s="1013" t="s">
        <v>13</v>
      </c>
      <c r="E178" s="1014"/>
      <c r="F178" s="1015"/>
      <c r="G178" s="1016"/>
      <c r="H178" s="1017"/>
      <c r="I178" s="1018"/>
      <c r="J178" s="1019"/>
      <c r="K178" s="1020"/>
      <c r="L178" s="1066"/>
      <c r="M178" s="1066"/>
      <c r="N178" s="1066"/>
      <c r="O178" s="1189"/>
      <c r="P178" s="8"/>
    </row>
    <row r="179" spans="2:19" ht="18" x14ac:dyDescent="0.35">
      <c r="B179" s="1498" t="s">
        <v>16</v>
      </c>
      <c r="C179" s="1499"/>
      <c r="D179" s="318"/>
      <c r="E179" s="319"/>
      <c r="F179" s="320">
        <f>AVERAGE(F6:F91)</f>
        <v>182</v>
      </c>
      <c r="G179" s="321"/>
      <c r="H179" s="322">
        <f>AVERAGE(H6:H86)</f>
        <v>0.11073333333333336</v>
      </c>
      <c r="I179" s="323" t="str">
        <f t="shared" si="4"/>
        <v/>
      </c>
      <c r="J179" s="324"/>
      <c r="K179" s="325">
        <f>AVERAGE(K6:K67)</f>
        <v>180.42742857142852</v>
      </c>
      <c r="L179" s="326">
        <f>AVERAGE(L6:L80)</f>
        <v>152.51721230769229</v>
      </c>
      <c r="M179" s="1059">
        <f>AVERAGE(M6:M103)</f>
        <v>14.502918803418806</v>
      </c>
      <c r="N179" s="1190">
        <f>AVERAGE(N6:N85)</f>
        <v>113.49247487179487</v>
      </c>
      <c r="O179" s="1189"/>
      <c r="S179" s="4"/>
    </row>
    <row r="180" spans="2:19" ht="18.600000000000001" thickBot="1" x14ac:dyDescent="0.4">
      <c r="B180" s="1500" t="s">
        <v>17</v>
      </c>
      <c r="C180" s="1501"/>
      <c r="D180" s="1182"/>
      <c r="E180" s="327"/>
      <c r="F180" s="328">
        <f>SUM(F6:F85)</f>
        <v>5971</v>
      </c>
      <c r="G180" s="327"/>
      <c r="H180" s="329"/>
      <c r="I180" s="329"/>
      <c r="J180" s="327"/>
      <c r="K180" s="330"/>
      <c r="L180" s="331"/>
      <c r="M180" s="327"/>
      <c r="N180" s="333">
        <f>SUM(N6:N178)</f>
        <v>8891.9930700000004</v>
      </c>
      <c r="O180" s="284"/>
      <c r="Q180" s="4"/>
      <c r="R180" s="4"/>
      <c r="S180" s="2"/>
    </row>
    <row r="181" spans="2:19" x14ac:dyDescent="0.3">
      <c r="D181" s="1181"/>
      <c r="F181" s="264"/>
      <c r="H181" s="267"/>
      <c r="I181" s="269"/>
      <c r="N181" s="945"/>
    </row>
    <row r="182" spans="2:19" x14ac:dyDescent="0.3">
      <c r="K182" s="10"/>
      <c r="N182" s="945"/>
    </row>
    <row r="183" spans="2:19" x14ac:dyDescent="0.3">
      <c r="F183" s="265"/>
      <c r="I183" s="265"/>
      <c r="N183" s="945"/>
    </row>
    <row r="187" spans="2:19" x14ac:dyDescent="0.3">
      <c r="O187" s="4"/>
    </row>
  </sheetData>
  <mergeCells count="146">
    <mergeCell ref="N134:N135"/>
    <mergeCell ref="N136:N137"/>
    <mergeCell ref="B164:C166"/>
    <mergeCell ref="B167:C169"/>
    <mergeCell ref="B170:C172"/>
    <mergeCell ref="B173:C175"/>
    <mergeCell ref="B176:C178"/>
    <mergeCell ref="B128:C129"/>
    <mergeCell ref="B130:C131"/>
    <mergeCell ref="B132:C133"/>
    <mergeCell ref="B134:C135"/>
    <mergeCell ref="B136:C137"/>
    <mergeCell ref="N138:N139"/>
    <mergeCell ref="N140:N141"/>
    <mergeCell ref="B48:C49"/>
    <mergeCell ref="B84:C85"/>
    <mergeCell ref="B143:C145"/>
    <mergeCell ref="B146:C148"/>
    <mergeCell ref="B149:C151"/>
    <mergeCell ref="B152:C154"/>
    <mergeCell ref="B155:C157"/>
    <mergeCell ref="B158:C160"/>
    <mergeCell ref="B161:C163"/>
    <mergeCell ref="B138:C139"/>
    <mergeCell ref="B140:C140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79:C179"/>
    <mergeCell ref="B180:C180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</mergeCells>
  <phoneticPr fontId="118" type="noConversion"/>
  <dataValidations count="1">
    <dataValidation type="list" allowBlank="1" showInputMessage="1" showErrorMessage="1" sqref="G6:G179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188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545" t="s">
        <v>122</v>
      </c>
      <c r="C1" s="1545"/>
      <c r="D1" s="1545"/>
      <c r="E1" s="1545"/>
      <c r="F1" s="1545"/>
      <c r="G1" s="1545"/>
      <c r="H1" s="1545"/>
      <c r="I1" s="1545"/>
      <c r="J1" s="1545"/>
      <c r="K1" s="1545"/>
      <c r="L1" s="1545"/>
    </row>
    <row r="2" spans="1:27" ht="18" x14ac:dyDescent="0.35">
      <c r="F2" s="1551" t="s">
        <v>416</v>
      </c>
      <c r="G2" s="1551"/>
      <c r="H2" s="1551"/>
      <c r="I2" s="1551"/>
      <c r="J2" s="1551"/>
    </row>
    <row r="3" spans="1:27" ht="15" thickBot="1" x14ac:dyDescent="0.35">
      <c r="A3" s="1546" t="s">
        <v>198</v>
      </c>
      <c r="B3" s="1547"/>
      <c r="C3" s="1547"/>
      <c r="D3" s="1547"/>
      <c r="E3" s="1547"/>
      <c r="F3" s="1547"/>
      <c r="G3" s="1548"/>
    </row>
    <row r="4" spans="1:27" ht="15" thickBot="1" x14ac:dyDescent="0.35">
      <c r="A4" s="1549" t="s">
        <v>0</v>
      </c>
      <c r="B4" s="1550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541">
        <v>46252</v>
      </c>
      <c r="B6" s="1542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541">
        <v>46253</v>
      </c>
      <c r="B7" s="1542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541">
        <v>46254</v>
      </c>
      <c r="B8" s="1542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543" t="s">
        <v>208</v>
      </c>
      <c r="AA8" s="1544"/>
    </row>
    <row r="9" spans="1:27" x14ac:dyDescent="0.3">
      <c r="A9" s="1541">
        <v>46255</v>
      </c>
      <c r="B9" s="1542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541">
        <v>46256</v>
      </c>
      <c r="B10" s="1542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541">
        <v>46257</v>
      </c>
      <c r="B11" s="1542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541">
        <v>46258</v>
      </c>
      <c r="B12" s="1542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541">
        <v>46259</v>
      </c>
      <c r="B13" s="1542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541">
        <v>46260</v>
      </c>
      <c r="B14" s="1542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541">
        <v>46261</v>
      </c>
      <c r="B15" s="1542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541">
        <v>46262</v>
      </c>
      <c r="B16" s="1542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541">
        <v>46263</v>
      </c>
      <c r="B17" s="1542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541">
        <v>46264</v>
      </c>
      <c r="B18" s="1542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541">
        <v>46265</v>
      </c>
      <c r="B19" s="1542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541">
        <v>46266</v>
      </c>
      <c r="B20" s="1542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541">
        <v>46267</v>
      </c>
      <c r="B21" s="1542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541">
        <v>46268</v>
      </c>
      <c r="B22" s="1542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541">
        <v>46269</v>
      </c>
      <c r="B23" s="1542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541">
        <v>46270</v>
      </c>
      <c r="B24" s="1542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541">
        <v>46271</v>
      </c>
      <c r="B25" s="1542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541">
        <v>46272</v>
      </c>
      <c r="B26" s="1542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541">
        <v>46273</v>
      </c>
      <c r="B27" s="1542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541">
        <v>46274</v>
      </c>
      <c r="B28" s="1542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541">
        <v>46275</v>
      </c>
      <c r="B29" s="1542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541">
        <v>46276</v>
      </c>
      <c r="B30" s="1542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541">
        <v>46277</v>
      </c>
      <c r="B31" s="1542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541">
        <v>46278</v>
      </c>
      <c r="B32" s="1542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541">
        <v>46279</v>
      </c>
      <c r="B33" s="1542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541">
        <v>46280</v>
      </c>
      <c r="B34" s="1542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541">
        <v>46281</v>
      </c>
      <c r="B35" s="1542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541">
        <v>46282</v>
      </c>
      <c r="B36" s="1542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541">
        <v>46283</v>
      </c>
      <c r="B37" s="1542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541">
        <v>46284</v>
      </c>
      <c r="B38" s="1542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541">
        <v>46285</v>
      </c>
      <c r="B39" s="1542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541">
        <v>46286</v>
      </c>
      <c r="B40" s="1542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541">
        <v>46287</v>
      </c>
      <c r="B41" s="1542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541">
        <v>46288</v>
      </c>
      <c r="B42" s="1542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7"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552" t="s">
        <v>599</v>
      </c>
      <c r="C2" s="1553"/>
      <c r="D2" s="1553"/>
      <c r="E2" s="1553"/>
      <c r="F2" s="1553"/>
      <c r="G2" s="1553"/>
      <c r="H2" s="1553"/>
      <c r="I2" s="1553"/>
      <c r="J2" s="1553"/>
      <c r="K2" s="1553"/>
      <c r="L2" s="1553"/>
      <c r="M2" s="1553"/>
      <c r="N2" s="1553"/>
      <c r="O2" s="1553"/>
      <c r="P2" s="1553"/>
      <c r="Q2" s="1553"/>
      <c r="R2" s="1553"/>
      <c r="S2" s="1553"/>
      <c r="T2" s="1554"/>
    </row>
    <row r="3" spans="2:28" x14ac:dyDescent="1.65">
      <c r="B3" s="846"/>
      <c r="C3" s="1553" t="s">
        <v>600</v>
      </c>
      <c r="D3" s="1553"/>
      <c r="E3" s="1553"/>
      <c r="F3" s="1553"/>
      <c r="G3" s="1553"/>
      <c r="H3" s="1553"/>
      <c r="I3" s="1553"/>
      <c r="J3" s="1553"/>
      <c r="K3" s="1553"/>
      <c r="L3" s="1553"/>
      <c r="M3" s="1553"/>
      <c r="N3" s="1553"/>
      <c r="O3" s="1553"/>
      <c r="P3" s="1553"/>
      <c r="Q3" s="1553"/>
      <c r="R3" s="1553"/>
      <c r="S3" s="1553"/>
      <c r="T3" s="1554"/>
    </row>
    <row r="4" spans="2:28" ht="92.4" thickBot="1" x14ac:dyDescent="1.7">
      <c r="B4" s="1555" t="s">
        <v>601</v>
      </c>
      <c r="C4" s="1556"/>
      <c r="D4" s="1556"/>
      <c r="E4" s="1556"/>
      <c r="F4" s="1556"/>
      <c r="G4" s="1556"/>
      <c r="H4" s="1556"/>
      <c r="I4" s="1556"/>
      <c r="J4" s="1556"/>
      <c r="K4" s="1556"/>
      <c r="L4" s="1556"/>
      <c r="M4" s="1556"/>
      <c r="N4" s="1556"/>
      <c r="O4" s="1556"/>
      <c r="P4" s="1556"/>
      <c r="Q4" s="1556"/>
      <c r="R4" s="1556"/>
      <c r="S4" s="1556"/>
      <c r="T4" s="1557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558" t="s">
        <v>620</v>
      </c>
      <c r="C6" s="1559"/>
      <c r="D6" s="1559"/>
      <c r="E6" s="1559"/>
      <c r="F6" s="1559"/>
      <c r="G6" s="1559"/>
      <c r="H6" s="1559"/>
      <c r="I6" s="1559"/>
      <c r="J6" s="1559"/>
      <c r="K6" s="1559"/>
      <c r="L6" s="1559"/>
      <c r="M6" s="1559"/>
      <c r="N6" s="1559"/>
      <c r="O6" s="1559"/>
      <c r="P6" s="1559"/>
      <c r="Q6" s="1559"/>
      <c r="R6" s="1559"/>
      <c r="S6" s="1559"/>
      <c r="T6" s="1560"/>
    </row>
    <row r="7" spans="2:28" ht="92.4" thickBot="1" x14ac:dyDescent="1.7">
      <c r="B7" s="1561"/>
      <c r="C7" s="1562"/>
      <c r="D7" s="1562"/>
      <c r="E7" s="1562"/>
      <c r="F7" s="1562"/>
      <c r="G7" s="1562"/>
      <c r="H7" s="1562"/>
      <c r="I7" s="1562"/>
      <c r="J7" s="1562"/>
      <c r="K7" s="1562"/>
      <c r="L7" s="1562"/>
      <c r="M7" s="1562"/>
      <c r="N7" s="1562"/>
      <c r="O7" s="1562"/>
      <c r="P7" s="1562"/>
      <c r="Q7" s="1562"/>
      <c r="R7" s="1562"/>
      <c r="S7" s="1562"/>
      <c r="T7" s="1563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564" t="s">
        <v>618</v>
      </c>
      <c r="AA13" s="1564"/>
      <c r="AB13" s="1564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6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6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6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230" zoomScale="90" zoomScaleNormal="76" workbookViewId="0">
      <selection activeCell="J235" sqref="J235"/>
    </sheetView>
  </sheetViews>
  <sheetFormatPr defaultColWidth="8.88671875"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1" width="8.88671875" style="1"/>
    <col min="12" max="12" width="10.33203125" style="1" bestFit="1" customWidth="1"/>
    <col min="13" max="13" width="11.664062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1.6640625" style="1" bestFit="1" customWidth="1"/>
    <col min="22" max="22" width="7.77734375" style="1" bestFit="1" customWidth="1"/>
    <col min="23" max="16384" width="8.88671875" style="1"/>
  </cols>
  <sheetData>
    <row r="2" spans="2:28" x14ac:dyDescent="0.3">
      <c r="B2" s="1471" t="s">
        <v>456</v>
      </c>
      <c r="C2" s="1471"/>
      <c r="D2" s="1471"/>
      <c r="E2" s="1471"/>
      <c r="F2" s="1471"/>
      <c r="G2" s="1471"/>
      <c r="H2" s="1471"/>
      <c r="T2" s="1613" t="s">
        <v>497</v>
      </c>
      <c r="U2" s="1613"/>
      <c r="V2" s="1613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585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586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586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586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586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586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586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586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586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586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586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587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582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583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583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583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583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583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583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583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584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585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586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586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586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586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586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586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586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586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586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586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587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582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583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583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583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583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583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583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583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583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583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583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584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582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583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583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583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583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583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583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583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584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585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586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586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586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586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587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582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583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583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583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583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583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583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583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584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585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586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586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586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586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586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586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586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586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586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586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587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588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589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589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589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589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589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589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589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589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589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589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590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607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608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608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608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608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608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608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608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608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608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608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608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608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608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608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608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608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608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608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608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609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603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604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604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604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604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604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604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604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605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607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608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608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608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608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608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608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608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608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608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608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608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608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608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608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608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608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609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610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611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611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611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611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471" t="s">
        <v>824</v>
      </c>
      <c r="L152" s="1471"/>
      <c r="M152" s="1471"/>
      <c r="N152" s="1471"/>
      <c r="O152" s="1471"/>
      <c r="P152" s="1471"/>
      <c r="S152" s="1606" t="s">
        <v>824</v>
      </c>
      <c r="T152" s="1606"/>
      <c r="U152" s="1606"/>
      <c r="V152" s="1606"/>
      <c r="W152" s="1606"/>
      <c r="X152" s="1606"/>
    </row>
    <row r="153" spans="2:25" ht="14.4" customHeight="1" x14ac:dyDescent="0.3">
      <c r="B153" s="452">
        <v>150</v>
      </c>
      <c r="C153" s="1611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471" t="s">
        <v>825</v>
      </c>
      <c r="L153" s="1471"/>
      <c r="M153" s="1471"/>
      <c r="N153" s="1471"/>
      <c r="O153" s="1471"/>
      <c r="P153" s="1471"/>
      <c r="S153" s="1606" t="s">
        <v>826</v>
      </c>
      <c r="T153" s="1606"/>
      <c r="U153" s="1606"/>
      <c r="V153" s="1606"/>
      <c r="W153" s="1606"/>
      <c r="X153" s="1606"/>
    </row>
    <row r="154" spans="2:25" ht="14.4" customHeight="1" x14ac:dyDescent="0.3">
      <c r="B154" s="452">
        <v>151</v>
      </c>
      <c r="C154" s="1611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3" t="s">
        <v>827</v>
      </c>
      <c r="T154" s="1283" t="s">
        <v>828</v>
      </c>
      <c r="U154" s="1283" t="s">
        <v>0</v>
      </c>
      <c r="V154" s="1283" t="s">
        <v>337</v>
      </c>
      <c r="W154" s="1283" t="s">
        <v>338</v>
      </c>
      <c r="X154" s="1283" t="s">
        <v>339</v>
      </c>
    </row>
    <row r="155" spans="2:25" ht="14.4" customHeight="1" x14ac:dyDescent="0.3">
      <c r="B155" s="452">
        <v>152</v>
      </c>
      <c r="C155" s="1611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829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830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611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831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832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611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833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834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611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836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611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838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611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840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611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836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612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838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591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840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>
        <v>161</v>
      </c>
      <c r="C164" s="1592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835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830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592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837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832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592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839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834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>
        <v>164</v>
      </c>
      <c r="C167" s="1592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829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836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592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831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838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592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833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840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>
        <v>167</v>
      </c>
      <c r="C170" s="1592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835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830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592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837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832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604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839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834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>
        <v>170</v>
      </c>
      <c r="C173" s="1604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829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830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604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831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832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>
        <v>172</v>
      </c>
      <c r="C175" s="1604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833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834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>
        <v>173</v>
      </c>
      <c r="C176" s="1604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835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836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604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9" t="s">
        <v>837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838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>
        <v>175</v>
      </c>
      <c r="C178" s="1604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9" t="s">
        <v>841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840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>
        <v>176</v>
      </c>
      <c r="C179" s="1604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9" t="s">
        <v>831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830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605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6" t="s">
        <v>835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832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591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837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834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>
        <v>179</v>
      </c>
      <c r="C182" s="1592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839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836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592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829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838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592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831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840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>
        <v>182</v>
      </c>
      <c r="C185" s="1592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833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830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592"/>
      <c r="D186" s="615" t="s">
        <v>460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835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832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>
        <v>184</v>
      </c>
      <c r="C187" s="1592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837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834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>
        <v>185</v>
      </c>
      <c r="C188" s="1592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839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836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592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829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838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">
      <c r="B190" s="615">
        <v>187</v>
      </c>
      <c r="C190" s="1592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831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840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">
      <c r="B191" s="615">
        <v>188</v>
      </c>
      <c r="C191" s="1592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833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830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">
      <c r="B192" s="615">
        <v>189</v>
      </c>
      <c r="C192" s="1593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835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832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">
      <c r="B193" s="452">
        <v>190</v>
      </c>
      <c r="C193" s="1603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837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834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">
      <c r="B194" s="452">
        <v>191</v>
      </c>
      <c r="C194" s="1604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839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836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">
      <c r="B195" s="452">
        <v>192</v>
      </c>
      <c r="C195" s="1604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831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838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">
      <c r="B196" s="452">
        <v>193</v>
      </c>
      <c r="C196" s="1604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835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840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">
      <c r="B197" s="452">
        <v>194</v>
      </c>
      <c r="C197" s="1604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837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830</v>
      </c>
      <c r="U197" s="1319">
        <v>46309</v>
      </c>
      <c r="V197" s="1320">
        <v>0.67600000000000005</v>
      </c>
      <c r="W197" s="1318">
        <v>0.54</v>
      </c>
      <c r="X197" s="1318">
        <v>13.98</v>
      </c>
    </row>
    <row r="198" spans="2:24" ht="14.4" customHeight="1" x14ac:dyDescent="0.3">
      <c r="B198" s="452">
        <v>195</v>
      </c>
      <c r="C198" s="1604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839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832</v>
      </c>
      <c r="U198" s="1319">
        <v>46309</v>
      </c>
      <c r="V198" s="1320">
        <v>0.63600000000000001</v>
      </c>
      <c r="W198" s="1318">
        <v>0.54</v>
      </c>
      <c r="X198" s="1318">
        <v>13.27</v>
      </c>
    </row>
    <row r="199" spans="2:24" x14ac:dyDescent="0.3">
      <c r="B199" s="452">
        <v>196</v>
      </c>
      <c r="C199" s="1604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829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834</v>
      </c>
      <c r="U199" s="1319">
        <v>46309</v>
      </c>
      <c r="V199" s="1320">
        <v>0.65600000000000003</v>
      </c>
      <c r="W199" s="1318">
        <v>0.53</v>
      </c>
      <c r="X199" s="1318">
        <v>13.62</v>
      </c>
    </row>
    <row r="200" spans="2:24" x14ac:dyDescent="0.3">
      <c r="B200" s="452">
        <v>197</v>
      </c>
      <c r="C200" s="1604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831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836</v>
      </c>
      <c r="U200" s="1326">
        <v>46310</v>
      </c>
      <c r="V200" s="1287">
        <v>0.495</v>
      </c>
      <c r="W200" s="1287">
        <v>0.45</v>
      </c>
      <c r="X200" s="1287">
        <v>12.39</v>
      </c>
    </row>
    <row r="201" spans="2:24" x14ac:dyDescent="0.3">
      <c r="B201" s="452">
        <v>198</v>
      </c>
      <c r="C201" s="1605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835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838</v>
      </c>
      <c r="U201" s="1326">
        <v>46310</v>
      </c>
      <c r="V201" s="1287">
        <v>0.48</v>
      </c>
      <c r="W201" s="1287">
        <v>0.46</v>
      </c>
      <c r="X201" s="1287">
        <v>12.66</v>
      </c>
    </row>
    <row r="202" spans="2:24" ht="14.4" customHeight="1" x14ac:dyDescent="0.3">
      <c r="B202" s="1313">
        <v>199</v>
      </c>
      <c r="C202" s="1597">
        <v>18</v>
      </c>
      <c r="D202" s="1313" t="s">
        <v>461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837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840</v>
      </c>
      <c r="U202" s="1326">
        <v>46310</v>
      </c>
      <c r="V202" s="1287">
        <v>0.48499999999999999</v>
      </c>
      <c r="W202" s="1287">
        <v>0.43</v>
      </c>
      <c r="X202" s="1287">
        <v>12.52</v>
      </c>
    </row>
    <row r="203" spans="2:24" ht="14.4" customHeight="1" x14ac:dyDescent="0.3">
      <c r="B203" s="1313">
        <v>200</v>
      </c>
      <c r="C203" s="1598"/>
      <c r="D203" s="1313" t="s">
        <v>462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839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830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">
      <c r="B204" s="1313">
        <v>201</v>
      </c>
      <c r="C204" s="1598"/>
      <c r="D204" s="1313" t="s">
        <v>463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829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832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">
      <c r="B205" s="1313">
        <v>202</v>
      </c>
      <c r="C205" s="1598"/>
      <c r="D205" s="1313" t="s">
        <v>458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831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834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">
      <c r="B206" s="1313">
        <v>203</v>
      </c>
      <c r="C206" s="1598"/>
      <c r="D206" s="1313" t="s">
        <v>459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833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1313" t="s">
        <v>836</v>
      </c>
      <c r="U206" s="1323">
        <v>46311</v>
      </c>
      <c r="V206" s="1313">
        <v>0.39900000000000002</v>
      </c>
      <c r="W206" s="1313">
        <v>0.48</v>
      </c>
      <c r="X206" s="1313">
        <v>13.45</v>
      </c>
    </row>
    <row r="207" spans="2:24" ht="14.4" customHeight="1" x14ac:dyDescent="0.3">
      <c r="B207" s="1313">
        <v>204</v>
      </c>
      <c r="C207" s="1598"/>
      <c r="D207" s="1313" t="s">
        <v>460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1307" t="s">
        <v>835</v>
      </c>
      <c r="M207" s="1308">
        <v>46312</v>
      </c>
      <c r="N207" s="1307">
        <v>0.64700000000000002</v>
      </c>
      <c r="O207" s="1307">
        <v>0.51</v>
      </c>
      <c r="P207" s="1307">
        <v>7.97</v>
      </c>
      <c r="S207" s="1287">
        <v>53</v>
      </c>
      <c r="T207" s="1313" t="s">
        <v>838</v>
      </c>
      <c r="U207" s="1323">
        <v>46311</v>
      </c>
      <c r="V207" s="1313">
        <v>0.45200000000000001</v>
      </c>
      <c r="W207" s="1313">
        <v>0.45</v>
      </c>
      <c r="X207" s="1313">
        <v>12.93</v>
      </c>
    </row>
    <row r="208" spans="2:24" x14ac:dyDescent="0.3">
      <c r="B208" s="1313">
        <v>205</v>
      </c>
      <c r="C208" s="1598"/>
      <c r="D208" s="1313" t="s">
        <v>461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1307" t="s">
        <v>837</v>
      </c>
      <c r="M208" s="1308">
        <v>46312</v>
      </c>
      <c r="N208" s="1307">
        <v>0.68600000000000005</v>
      </c>
      <c r="O208" s="1307">
        <v>0.56000000000000005</v>
      </c>
      <c r="P208" s="1307">
        <v>8.0399999999999991</v>
      </c>
      <c r="S208" s="1287">
        <v>54</v>
      </c>
      <c r="T208" s="1313" t="s">
        <v>840</v>
      </c>
      <c r="U208" s="1323">
        <v>46311</v>
      </c>
      <c r="V208" s="1313">
        <v>0.47299999999999998</v>
      </c>
      <c r="W208" s="1313">
        <v>0.37</v>
      </c>
      <c r="X208" s="1313">
        <v>12.45</v>
      </c>
    </row>
    <row r="209" spans="2:24" x14ac:dyDescent="0.3">
      <c r="B209" s="1313">
        <v>206</v>
      </c>
      <c r="C209" s="1598"/>
      <c r="D209" s="1313" t="s">
        <v>462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1307" t="s">
        <v>839</v>
      </c>
      <c r="M209" s="1308">
        <v>46312</v>
      </c>
      <c r="N209" s="1307">
        <v>0.59799999999999998</v>
      </c>
      <c r="O209" s="1307">
        <v>0.56999999999999995</v>
      </c>
      <c r="P209" s="1307">
        <v>8.1300000000000008</v>
      </c>
      <c r="S209" s="1287">
        <v>55</v>
      </c>
      <c r="T209" s="1313" t="s">
        <v>899</v>
      </c>
      <c r="U209" s="1323">
        <v>46311</v>
      </c>
      <c r="V209" s="1313">
        <v>0.32500000000000001</v>
      </c>
      <c r="W209" s="1313">
        <v>0.34</v>
      </c>
      <c r="X209" s="1313">
        <v>11.96</v>
      </c>
    </row>
    <row r="210" spans="2:24" x14ac:dyDescent="0.3">
      <c r="B210" s="1313">
        <v>207</v>
      </c>
      <c r="C210" s="1599"/>
      <c r="D210" s="1313" t="s">
        <v>463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1307" t="s">
        <v>829</v>
      </c>
      <c r="M210" s="1308">
        <v>46312</v>
      </c>
      <c r="N210" s="1309">
        <v>0.6</v>
      </c>
      <c r="O210" s="1307">
        <v>0.52</v>
      </c>
      <c r="P210" s="1307">
        <v>7.81</v>
      </c>
      <c r="S210" s="1287">
        <v>56</v>
      </c>
      <c r="T210" s="1126" t="s">
        <v>830</v>
      </c>
      <c r="U210" s="1345">
        <v>46311</v>
      </c>
      <c r="V210" s="1126">
        <v>0.438</v>
      </c>
      <c r="W210" s="1126">
        <v>0.43</v>
      </c>
      <c r="X210" s="1126">
        <v>9.6999999999999993</v>
      </c>
    </row>
    <row r="211" spans="2:24" x14ac:dyDescent="0.3">
      <c r="B211" s="452">
        <v>208</v>
      </c>
      <c r="C211" s="1600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7" t="s">
        <v>831</v>
      </c>
      <c r="M211" s="1308">
        <v>46312</v>
      </c>
      <c r="N211" s="1307">
        <v>0.50600000000000001</v>
      </c>
      <c r="O211" s="1307">
        <v>0.53</v>
      </c>
      <c r="P211" s="1307">
        <v>8.33</v>
      </c>
      <c r="S211" s="1287">
        <v>57</v>
      </c>
      <c r="T211" s="1126" t="s">
        <v>832</v>
      </c>
      <c r="U211" s="1345">
        <v>46311</v>
      </c>
      <c r="V211" s="1126">
        <v>0.45700000000000002</v>
      </c>
      <c r="W211" s="1126">
        <v>0.49</v>
      </c>
      <c r="X211" s="1126">
        <v>9.58</v>
      </c>
    </row>
    <row r="212" spans="2:24" x14ac:dyDescent="0.3">
      <c r="B212" s="452">
        <v>209</v>
      </c>
      <c r="C212" s="1601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7" t="s">
        <v>833</v>
      </c>
      <c r="M212" s="1308">
        <v>46312</v>
      </c>
      <c r="N212" s="1307">
        <v>0.67600000000000005</v>
      </c>
      <c r="O212" s="1307">
        <v>0.52</v>
      </c>
      <c r="P212" s="1307">
        <v>8.19</v>
      </c>
      <c r="S212" s="1287">
        <v>58</v>
      </c>
      <c r="T212" s="1126" t="s">
        <v>834</v>
      </c>
      <c r="U212" s="1345">
        <v>46311</v>
      </c>
      <c r="V212" s="1126">
        <v>0.44700000000000001</v>
      </c>
      <c r="W212" s="1126">
        <v>0.45</v>
      </c>
      <c r="X212" s="1126">
        <v>9.6</v>
      </c>
    </row>
    <row r="213" spans="2:24" x14ac:dyDescent="0.3">
      <c r="B213" s="452">
        <v>210</v>
      </c>
      <c r="C213" s="1601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7">
        <v>59</v>
      </c>
      <c r="T213" s="1304" t="s">
        <v>836</v>
      </c>
      <c r="U213" s="1305">
        <v>46312</v>
      </c>
      <c r="V213" s="1304">
        <v>0.52</v>
      </c>
      <c r="W213" s="1304">
        <v>0.57999999999999996</v>
      </c>
      <c r="X213" s="1304">
        <v>9.5</v>
      </c>
    </row>
    <row r="214" spans="2:24" x14ac:dyDescent="0.3">
      <c r="B214" s="452">
        <v>211</v>
      </c>
      <c r="C214" s="1601"/>
      <c r="D214" s="452" t="s">
        <v>461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1304" t="s">
        <v>838</v>
      </c>
      <c r="U214" s="1305">
        <v>46312</v>
      </c>
      <c r="V214" s="1304">
        <v>0.504</v>
      </c>
      <c r="W214" s="1304">
        <v>0.56000000000000005</v>
      </c>
      <c r="X214" s="1304">
        <v>9.3000000000000007</v>
      </c>
    </row>
    <row r="215" spans="2:24" x14ac:dyDescent="0.3">
      <c r="B215" s="452">
        <v>212</v>
      </c>
      <c r="C215" s="1601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1304" t="s">
        <v>840</v>
      </c>
      <c r="U215" s="1305">
        <v>46312</v>
      </c>
      <c r="V215" s="1304">
        <v>0.51200000000000001</v>
      </c>
      <c r="W215" s="1304">
        <v>0.56999999999999995</v>
      </c>
      <c r="X215" s="1304">
        <v>9.4</v>
      </c>
    </row>
    <row r="216" spans="2:24" x14ac:dyDescent="0.3">
      <c r="B216" s="452">
        <v>213</v>
      </c>
      <c r="C216" s="1601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K216" s="251">
        <v>62</v>
      </c>
      <c r="L216" s="6"/>
      <c r="M216" s="6"/>
      <c r="N216" s="6"/>
      <c r="O216" s="6"/>
      <c r="P216" s="6"/>
      <c r="S216" s="1287">
        <v>62</v>
      </c>
      <c r="T216" s="1296" t="s">
        <v>830</v>
      </c>
      <c r="U216" s="1297">
        <v>46312</v>
      </c>
      <c r="V216" s="1298">
        <v>0.438</v>
      </c>
      <c r="W216" s="1296">
        <v>0.59</v>
      </c>
      <c r="X216" s="1296">
        <v>7.67</v>
      </c>
    </row>
    <row r="217" spans="2:24" x14ac:dyDescent="0.3">
      <c r="B217" s="452">
        <v>214</v>
      </c>
      <c r="C217" s="1601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K217" s="251">
        <v>63</v>
      </c>
      <c r="L217" s="6"/>
      <c r="M217" s="6"/>
      <c r="N217" s="6"/>
      <c r="O217" s="6"/>
      <c r="P217" s="6"/>
      <c r="S217" s="1287">
        <v>63</v>
      </c>
      <c r="T217" s="1296" t="s">
        <v>832</v>
      </c>
      <c r="U217" s="1297">
        <v>46312</v>
      </c>
      <c r="V217" s="1298">
        <v>0.43099999999999999</v>
      </c>
      <c r="W217" s="1296">
        <v>0.59</v>
      </c>
      <c r="X217" s="1296">
        <v>7.96</v>
      </c>
    </row>
    <row r="218" spans="2:24" x14ac:dyDescent="0.3">
      <c r="B218" s="452">
        <v>215</v>
      </c>
      <c r="C218" s="1601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K218" s="251">
        <v>64</v>
      </c>
      <c r="L218" s="6"/>
      <c r="M218" s="6"/>
      <c r="N218" s="6"/>
      <c r="O218" s="6"/>
      <c r="P218" s="6"/>
      <c r="S218" s="1287">
        <v>64</v>
      </c>
      <c r="T218" s="1296" t="s">
        <v>834</v>
      </c>
      <c r="U218" s="1297">
        <v>46312</v>
      </c>
      <c r="V218" s="1298">
        <v>0.45700000000000002</v>
      </c>
      <c r="W218" s="1296">
        <v>0.56999999999999995</v>
      </c>
      <c r="X218" s="1296">
        <v>7.9</v>
      </c>
    </row>
    <row r="219" spans="2:24" x14ac:dyDescent="0.3">
      <c r="B219" s="452">
        <v>216</v>
      </c>
      <c r="C219" s="1601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K219" s="251">
        <v>65</v>
      </c>
      <c r="L219" s="452" t="s">
        <v>835</v>
      </c>
      <c r="M219" s="952">
        <v>46314</v>
      </c>
      <c r="N219" s="452">
        <v>0.45500000000000002</v>
      </c>
      <c r="O219" s="452">
        <v>6.7000000000000004E-2</v>
      </c>
      <c r="P219" s="452">
        <v>8.82</v>
      </c>
      <c r="S219" s="1287">
        <v>65</v>
      </c>
      <c r="T219" s="1315" t="s">
        <v>836</v>
      </c>
      <c r="U219" s="1316">
        <v>46313</v>
      </c>
      <c r="V219" s="1365">
        <v>0.36399999999999999</v>
      </c>
      <c r="W219" s="1315">
        <v>0.81</v>
      </c>
      <c r="X219" s="1315">
        <v>10.4</v>
      </c>
    </row>
    <row r="220" spans="2:24" x14ac:dyDescent="0.3">
      <c r="B220" s="452">
        <v>217</v>
      </c>
      <c r="C220" s="1601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K220" s="251">
        <v>66</v>
      </c>
      <c r="L220" s="452" t="s">
        <v>837</v>
      </c>
      <c r="M220" s="952">
        <v>46314</v>
      </c>
      <c r="N220" s="452">
        <v>0.60299999999999998</v>
      </c>
      <c r="O220" s="452">
        <v>0.14000000000000001</v>
      </c>
      <c r="P220" s="452">
        <v>9.84</v>
      </c>
      <c r="S220" s="1287">
        <v>66</v>
      </c>
      <c r="T220" s="1315" t="s">
        <v>838</v>
      </c>
      <c r="U220" s="1316">
        <v>46313</v>
      </c>
      <c r="V220" s="1365">
        <v>0.30299999999999999</v>
      </c>
      <c r="W220" s="1315">
        <v>0.62</v>
      </c>
      <c r="X220" s="1315">
        <v>10.02</v>
      </c>
    </row>
    <row r="221" spans="2:24" x14ac:dyDescent="0.3">
      <c r="B221" s="452">
        <v>218</v>
      </c>
      <c r="C221" s="1601"/>
      <c r="D221" s="452" t="s">
        <v>856</v>
      </c>
      <c r="E221" s="453">
        <v>46310</v>
      </c>
      <c r="F221" s="1322">
        <v>0.24</v>
      </c>
      <c r="G221" s="452">
        <v>0.3</v>
      </c>
      <c r="H221" s="452">
        <v>13.632999999999999</v>
      </c>
      <c r="K221" s="251">
        <v>67</v>
      </c>
      <c r="L221" s="452" t="s">
        <v>839</v>
      </c>
      <c r="M221" s="952">
        <v>46314</v>
      </c>
      <c r="N221" s="452">
        <v>0.67300000000000004</v>
      </c>
      <c r="O221" s="452">
        <v>0.39200000000000002</v>
      </c>
      <c r="P221" s="452">
        <v>9.9</v>
      </c>
      <c r="S221" s="1287">
        <v>67</v>
      </c>
      <c r="T221" s="1315" t="s">
        <v>840</v>
      </c>
      <c r="U221" s="1316">
        <v>46313</v>
      </c>
      <c r="V221" s="1365">
        <v>0.33700000000000002</v>
      </c>
      <c r="W221" s="1315">
        <v>0.49</v>
      </c>
      <c r="X221" s="1315">
        <v>11.08</v>
      </c>
    </row>
    <row r="222" spans="2:24" x14ac:dyDescent="0.3">
      <c r="B222" s="452">
        <v>219</v>
      </c>
      <c r="C222" s="1601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K222" s="251">
        <v>68</v>
      </c>
      <c r="L222" s="452" t="s">
        <v>829</v>
      </c>
      <c r="M222" s="952">
        <v>46314</v>
      </c>
      <c r="N222" s="452">
        <v>0.68600000000000005</v>
      </c>
      <c r="O222" s="452">
        <v>0.57799999999999996</v>
      </c>
      <c r="P222" s="452">
        <v>9.3699999999999992</v>
      </c>
      <c r="S222" s="1287">
        <v>68</v>
      </c>
      <c r="T222" s="1366" t="s">
        <v>830</v>
      </c>
      <c r="U222" s="1367">
        <v>46313</v>
      </c>
      <c r="V222" s="1366">
        <v>0.34399999999999997</v>
      </c>
      <c r="W222" s="1366">
        <v>0.74</v>
      </c>
      <c r="X222" s="1366">
        <v>11.63</v>
      </c>
    </row>
    <row r="223" spans="2:24" x14ac:dyDescent="0.3">
      <c r="B223" s="452">
        <v>220</v>
      </c>
      <c r="C223" s="1601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K223" s="251">
        <v>69</v>
      </c>
      <c r="L223" s="452" t="s">
        <v>831</v>
      </c>
      <c r="M223" s="952">
        <v>46314</v>
      </c>
      <c r="N223" s="452">
        <v>0.57199999999999995</v>
      </c>
      <c r="O223" s="452">
        <v>0.41799999999999998</v>
      </c>
      <c r="P223" s="452">
        <v>9.26</v>
      </c>
      <c r="S223" s="1287">
        <v>69</v>
      </c>
      <c r="T223" s="1366" t="s">
        <v>832</v>
      </c>
      <c r="U223" s="1367">
        <v>46313</v>
      </c>
      <c r="V223" s="1366">
        <v>0.34399999999999997</v>
      </c>
      <c r="W223" s="1366">
        <v>0.42</v>
      </c>
      <c r="X223" s="1366">
        <v>12.05</v>
      </c>
    </row>
    <row r="224" spans="2:24" x14ac:dyDescent="0.3">
      <c r="B224" s="452">
        <v>221</v>
      </c>
      <c r="C224" s="1601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K224" s="251">
        <v>70</v>
      </c>
      <c r="L224" s="452" t="s">
        <v>833</v>
      </c>
      <c r="M224" s="952">
        <v>46314</v>
      </c>
      <c r="N224" s="452">
        <v>0.45600000000000002</v>
      </c>
      <c r="O224" s="452">
        <v>0.66100000000000003</v>
      </c>
      <c r="P224" s="452">
        <v>10.16</v>
      </c>
      <c r="S224" s="1287">
        <v>70</v>
      </c>
      <c r="T224" s="1366" t="s">
        <v>834</v>
      </c>
      <c r="U224" s="1367">
        <v>46313</v>
      </c>
      <c r="V224" s="1366">
        <v>0.33500000000000002</v>
      </c>
      <c r="W224" s="1366">
        <v>0.28000000000000003</v>
      </c>
      <c r="X224" s="1366">
        <v>12.36</v>
      </c>
    </row>
    <row r="225" spans="2:24" x14ac:dyDescent="0.3">
      <c r="B225" s="452">
        <v>222</v>
      </c>
      <c r="C225" s="1601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K225" s="251">
        <v>71</v>
      </c>
      <c r="L225" s="1126" t="s">
        <v>835</v>
      </c>
      <c r="M225" s="1345">
        <v>46315</v>
      </c>
      <c r="N225" s="1126">
        <v>0.29499999999999998</v>
      </c>
      <c r="O225" s="1126">
        <v>0.36</v>
      </c>
      <c r="P225" s="1126">
        <v>12.05</v>
      </c>
      <c r="S225" s="1287">
        <v>71</v>
      </c>
      <c r="T225" s="1313" t="s">
        <v>836</v>
      </c>
      <c r="U225" s="1323">
        <v>46314</v>
      </c>
      <c r="V225" s="1368">
        <v>0.23699999999999999</v>
      </c>
      <c r="W225" s="1313">
        <v>0.24</v>
      </c>
      <c r="X225" s="1313">
        <v>10.23</v>
      </c>
    </row>
    <row r="226" spans="2:24" x14ac:dyDescent="0.3">
      <c r="B226" s="452">
        <v>223</v>
      </c>
      <c r="C226" s="1601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K226" s="251">
        <v>72</v>
      </c>
      <c r="L226" s="1126" t="s">
        <v>837</v>
      </c>
      <c r="M226" s="1345">
        <v>46315</v>
      </c>
      <c r="N226" s="1126">
        <v>0.34200000000000003</v>
      </c>
      <c r="O226" s="1126">
        <v>0.3</v>
      </c>
      <c r="P226" s="1126">
        <v>12.39</v>
      </c>
      <c r="S226" s="1287">
        <v>72</v>
      </c>
      <c r="T226" s="1313" t="s">
        <v>838</v>
      </c>
      <c r="U226" s="1323">
        <v>46314</v>
      </c>
      <c r="V226" s="1368">
        <v>0.34300000000000003</v>
      </c>
      <c r="W226" s="1313">
        <v>0.52</v>
      </c>
      <c r="X226" s="1313">
        <v>8.73</v>
      </c>
    </row>
    <row r="227" spans="2:24" x14ac:dyDescent="0.3">
      <c r="B227" s="452">
        <v>224</v>
      </c>
      <c r="C227" s="1601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K227" s="251">
        <v>73</v>
      </c>
      <c r="L227" s="1126" t="s">
        <v>839</v>
      </c>
      <c r="M227" s="1345">
        <v>46315</v>
      </c>
      <c r="N227" s="1126">
        <v>0.439</v>
      </c>
      <c r="O227" s="1126">
        <v>0.35</v>
      </c>
      <c r="P227" s="1126">
        <v>11.99</v>
      </c>
      <c r="S227" s="1287">
        <v>73</v>
      </c>
      <c r="T227" s="1313" t="s">
        <v>840</v>
      </c>
      <c r="U227" s="1323">
        <v>46314</v>
      </c>
      <c r="V227" s="1368">
        <v>0.26800000000000002</v>
      </c>
      <c r="W227" s="1313">
        <v>0.54</v>
      </c>
      <c r="X227" s="1313">
        <v>8.26</v>
      </c>
    </row>
    <row r="228" spans="2:24" x14ac:dyDescent="0.3">
      <c r="B228" s="452">
        <v>225</v>
      </c>
      <c r="C228" s="1601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K228" s="251">
        <v>74</v>
      </c>
      <c r="L228" s="1126" t="s">
        <v>829</v>
      </c>
      <c r="M228" s="1345">
        <v>46315</v>
      </c>
      <c r="N228" s="1126">
        <v>0.435</v>
      </c>
      <c r="O228" s="1126">
        <v>0.36</v>
      </c>
      <c r="P228" s="1126">
        <v>11.76</v>
      </c>
      <c r="S228" s="1287">
        <v>74</v>
      </c>
      <c r="T228" s="1324" t="s">
        <v>830</v>
      </c>
      <c r="U228" s="1325">
        <v>46314</v>
      </c>
      <c r="V228" s="1324">
        <v>0.39400000000000002</v>
      </c>
      <c r="W228" s="1324">
        <v>0.34</v>
      </c>
      <c r="X228" s="1324">
        <v>13.08</v>
      </c>
    </row>
    <row r="229" spans="2:24" x14ac:dyDescent="0.3">
      <c r="B229" s="452">
        <v>226</v>
      </c>
      <c r="C229" s="1601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K229" s="251">
        <v>75</v>
      </c>
      <c r="L229" s="1126" t="s">
        <v>831</v>
      </c>
      <c r="M229" s="1345">
        <v>46315</v>
      </c>
      <c r="N229" s="1126">
        <v>0.65700000000000003</v>
      </c>
      <c r="O229" s="1126">
        <v>0.52</v>
      </c>
      <c r="P229" s="1126">
        <v>13.73</v>
      </c>
      <c r="S229" s="1287">
        <v>75</v>
      </c>
      <c r="T229" s="1324" t="s">
        <v>832</v>
      </c>
      <c r="U229" s="1325">
        <v>46314</v>
      </c>
      <c r="V229" s="1324">
        <v>0.32100000000000001</v>
      </c>
      <c r="W229" s="1324">
        <v>0.38</v>
      </c>
      <c r="X229" s="1324">
        <v>13.39</v>
      </c>
    </row>
    <row r="230" spans="2:24" x14ac:dyDescent="0.3">
      <c r="B230" s="452">
        <v>227</v>
      </c>
      <c r="C230" s="1602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K230" s="251">
        <v>76</v>
      </c>
      <c r="L230" s="1126" t="s">
        <v>833</v>
      </c>
      <c r="M230" s="1345">
        <v>46315</v>
      </c>
      <c r="N230" s="1126">
        <v>0.52</v>
      </c>
      <c r="O230" s="1126">
        <v>0.56999999999999995</v>
      </c>
      <c r="P230" s="1126">
        <v>12.25</v>
      </c>
      <c r="S230" s="1287">
        <v>76</v>
      </c>
      <c r="T230" s="1324" t="s">
        <v>834</v>
      </c>
      <c r="U230" s="1325">
        <v>46314</v>
      </c>
      <c r="V230" s="1324">
        <v>0.28699999999999998</v>
      </c>
      <c r="W230" s="1324">
        <v>0.36</v>
      </c>
      <c r="X230" s="1324">
        <v>13.98</v>
      </c>
    </row>
    <row r="231" spans="2:24" ht="14.4" customHeight="1" x14ac:dyDescent="0.3">
      <c r="B231" s="1313">
        <v>228</v>
      </c>
      <c r="C231" s="1594">
        <v>20</v>
      </c>
      <c r="D231" s="1313" t="s">
        <v>461</v>
      </c>
      <c r="E231" s="1314">
        <v>46311</v>
      </c>
      <c r="F231" s="1313">
        <v>0.63900000000000001</v>
      </c>
      <c r="G231" s="1313">
        <v>0.52</v>
      </c>
      <c r="H231" s="1313">
        <v>9.7100000000000009</v>
      </c>
      <c r="K231" s="251">
        <v>77</v>
      </c>
      <c r="L231" s="1381" t="s">
        <v>839</v>
      </c>
      <c r="M231" s="1382">
        <v>46316</v>
      </c>
      <c r="N231" s="1381">
        <v>0.36099999999999999</v>
      </c>
      <c r="O231" s="1381">
        <v>0.28999999999999998</v>
      </c>
      <c r="P231" s="1381">
        <v>6.9</v>
      </c>
      <c r="S231" s="1287">
        <v>77</v>
      </c>
      <c r="T231" s="1287" t="s">
        <v>836</v>
      </c>
      <c r="U231" s="1326">
        <v>46315</v>
      </c>
      <c r="V231" s="1287">
        <v>0.245</v>
      </c>
      <c r="W231" s="1287">
        <v>0.31</v>
      </c>
      <c r="X231" s="1287">
        <v>13.72</v>
      </c>
    </row>
    <row r="232" spans="2:24" ht="14.4" customHeight="1" x14ac:dyDescent="0.3">
      <c r="B232" s="1313">
        <v>229</v>
      </c>
      <c r="C232" s="1595"/>
      <c r="D232" s="1313" t="s">
        <v>462</v>
      </c>
      <c r="E232" s="1314">
        <v>46311</v>
      </c>
      <c r="F232" s="1313">
        <v>0.61799999999999999</v>
      </c>
      <c r="G232" s="1313">
        <v>0.52</v>
      </c>
      <c r="H232" s="1313">
        <v>9.0399999999999991</v>
      </c>
      <c r="K232" s="251">
        <v>78</v>
      </c>
      <c r="L232" s="1381" t="s">
        <v>829</v>
      </c>
      <c r="M232" s="1382">
        <v>46316</v>
      </c>
      <c r="N232" s="1381">
        <v>0.43099999999999999</v>
      </c>
      <c r="O232" s="1381">
        <v>0.27</v>
      </c>
      <c r="P232" s="1381">
        <v>9.6999999999999993</v>
      </c>
      <c r="S232" s="1287">
        <v>78</v>
      </c>
      <c r="T232" s="1287" t="s">
        <v>838</v>
      </c>
      <c r="U232" s="1326">
        <v>46315</v>
      </c>
      <c r="V232" s="1287">
        <v>0.35899999999999999</v>
      </c>
      <c r="W232" s="1287">
        <v>0.33</v>
      </c>
      <c r="X232" s="1287">
        <v>13.54</v>
      </c>
    </row>
    <row r="233" spans="2:24" ht="14.4" customHeight="1" x14ac:dyDescent="0.3">
      <c r="B233" s="1313">
        <v>230</v>
      </c>
      <c r="C233" s="1595"/>
      <c r="D233" s="1313" t="s">
        <v>463</v>
      </c>
      <c r="E233" s="1314">
        <v>46311</v>
      </c>
      <c r="F233" s="1313">
        <v>0.67700000000000005</v>
      </c>
      <c r="G233" s="1313">
        <v>0.53</v>
      </c>
      <c r="H233" s="1313">
        <v>9.44</v>
      </c>
      <c r="K233" s="251">
        <v>79</v>
      </c>
      <c r="L233" s="1381" t="s">
        <v>831</v>
      </c>
      <c r="M233" s="1382">
        <v>46316</v>
      </c>
      <c r="N233" s="1381">
        <v>0.57699999999999996</v>
      </c>
      <c r="O233" s="1381">
        <v>0.35</v>
      </c>
      <c r="P233" s="1381">
        <v>10.51</v>
      </c>
      <c r="S233" s="1287">
        <v>79</v>
      </c>
      <c r="T233" s="1287" t="s">
        <v>840</v>
      </c>
      <c r="U233" s="1326">
        <v>46315</v>
      </c>
      <c r="V233" s="1287">
        <v>0.311</v>
      </c>
      <c r="W233" s="1287">
        <v>0.35</v>
      </c>
      <c r="X233" s="1287">
        <v>13.86</v>
      </c>
    </row>
    <row r="234" spans="2:24" ht="14.4" customHeight="1" x14ac:dyDescent="0.3">
      <c r="B234" s="1313">
        <v>231</v>
      </c>
      <c r="C234" s="1595"/>
      <c r="D234" s="1313" t="s">
        <v>852</v>
      </c>
      <c r="E234" s="1314">
        <v>46311</v>
      </c>
      <c r="F234" s="1313">
        <v>0.63300000000000001</v>
      </c>
      <c r="G234" s="1313">
        <v>0.55000000000000004</v>
      </c>
      <c r="H234" s="1313">
        <v>9.4499999999999993</v>
      </c>
      <c r="K234" s="251">
        <v>80</v>
      </c>
      <c r="L234" s="1381" t="s">
        <v>833</v>
      </c>
      <c r="M234" s="1382">
        <v>46316</v>
      </c>
      <c r="N234" s="1381">
        <v>0.53600000000000003</v>
      </c>
      <c r="O234" s="1381">
        <v>0.35</v>
      </c>
      <c r="P234" s="1381">
        <v>13.11</v>
      </c>
      <c r="S234" s="1287">
        <v>80</v>
      </c>
      <c r="T234" s="1379" t="s">
        <v>830</v>
      </c>
      <c r="U234" s="1380">
        <v>46315</v>
      </c>
      <c r="V234" s="1379">
        <v>0.28599999999999998</v>
      </c>
      <c r="W234" s="1379">
        <v>0.33</v>
      </c>
      <c r="X234" s="1379">
        <v>13.5</v>
      </c>
    </row>
    <row r="235" spans="2:24" ht="14.4" customHeight="1" x14ac:dyDescent="0.3">
      <c r="B235" s="1313">
        <v>232</v>
      </c>
      <c r="C235" s="1595"/>
      <c r="D235" s="1313" t="s">
        <v>853</v>
      </c>
      <c r="E235" s="1314">
        <v>46311</v>
      </c>
      <c r="F235" s="1313">
        <v>0.60099999999999998</v>
      </c>
      <c r="G235" s="1313">
        <v>0.55000000000000004</v>
      </c>
      <c r="H235" s="1313">
        <v>9.57</v>
      </c>
      <c r="K235" s="251">
        <v>81</v>
      </c>
      <c r="L235" s="1304" t="s">
        <v>835</v>
      </c>
      <c r="M235" s="1305">
        <v>46317</v>
      </c>
      <c r="N235" s="1304">
        <v>0.75</v>
      </c>
      <c r="O235" s="1304">
        <v>0.66</v>
      </c>
      <c r="P235" s="1304">
        <v>15.56</v>
      </c>
      <c r="S235" s="1287">
        <v>81</v>
      </c>
      <c r="T235" s="1379" t="s">
        <v>832</v>
      </c>
      <c r="U235" s="1380">
        <v>46315</v>
      </c>
      <c r="V235" s="1379">
        <v>0.309</v>
      </c>
      <c r="W235" s="1379">
        <v>0.38</v>
      </c>
      <c r="X235" s="1379">
        <v>13.34</v>
      </c>
    </row>
    <row r="236" spans="2:24" ht="14.4" customHeight="1" x14ac:dyDescent="0.3">
      <c r="B236" s="1313">
        <v>233</v>
      </c>
      <c r="C236" s="1595"/>
      <c r="D236" s="1313" t="s">
        <v>854</v>
      </c>
      <c r="E236" s="1314">
        <v>46311</v>
      </c>
      <c r="F236" s="1313">
        <v>0.60899999999999999</v>
      </c>
      <c r="G236" s="1313">
        <v>0.61</v>
      </c>
      <c r="H236" s="1313">
        <v>9.4</v>
      </c>
      <c r="K236" s="251">
        <v>82</v>
      </c>
      <c r="L236" s="1304" t="s">
        <v>837</v>
      </c>
      <c r="M236" s="1305">
        <v>46317</v>
      </c>
      <c r="N236" s="1304">
        <v>0.91800000000000004</v>
      </c>
      <c r="O236" s="1304">
        <v>0.9</v>
      </c>
      <c r="P236" s="1304">
        <v>16.940000000000001</v>
      </c>
      <c r="S236" s="1287">
        <v>82</v>
      </c>
      <c r="T236" s="1379" t="s">
        <v>834</v>
      </c>
      <c r="U236" s="1380">
        <v>46315</v>
      </c>
      <c r="V236" s="1379">
        <v>0.376</v>
      </c>
      <c r="W236" s="1379">
        <v>0.38</v>
      </c>
      <c r="X236" s="1379">
        <v>12.98</v>
      </c>
    </row>
    <row r="237" spans="2:24" ht="14.4" customHeight="1" x14ac:dyDescent="0.3">
      <c r="B237" s="1313">
        <v>234</v>
      </c>
      <c r="C237" s="1595"/>
      <c r="D237" s="1313" t="s">
        <v>855</v>
      </c>
      <c r="E237" s="1314">
        <v>46311</v>
      </c>
      <c r="F237" s="1313">
        <v>0.64900000000000002</v>
      </c>
      <c r="G237" s="1313">
        <v>0.51</v>
      </c>
      <c r="H237" s="1313">
        <v>9.1999999999999993</v>
      </c>
      <c r="K237" s="251">
        <v>83</v>
      </c>
      <c r="L237" s="1304" t="s">
        <v>839</v>
      </c>
      <c r="M237" s="1305">
        <v>46317</v>
      </c>
      <c r="N237" s="1304">
        <v>0.83499999999999996</v>
      </c>
      <c r="O237" s="1304">
        <v>0.82</v>
      </c>
      <c r="P237" s="1304">
        <v>15.58</v>
      </c>
      <c r="S237" s="1287">
        <v>83</v>
      </c>
      <c r="T237" s="1125" t="s">
        <v>836</v>
      </c>
      <c r="U237" s="1302">
        <v>46316</v>
      </c>
      <c r="V237" s="1125">
        <v>0.54300000000000004</v>
      </c>
      <c r="W237" s="1125">
        <v>0.4</v>
      </c>
      <c r="X237" s="1125">
        <v>12.98</v>
      </c>
    </row>
    <row r="238" spans="2:24" ht="14.4" customHeight="1" x14ac:dyDescent="0.3">
      <c r="B238" s="1313">
        <v>235</v>
      </c>
      <c r="C238" s="1595"/>
      <c r="D238" s="1313" t="s">
        <v>856</v>
      </c>
      <c r="E238" s="1314">
        <v>46311</v>
      </c>
      <c r="F238" s="1313">
        <v>0.66500000000000004</v>
      </c>
      <c r="G238" s="1313">
        <v>0.55000000000000004</v>
      </c>
      <c r="H238" s="1313">
        <v>9.3000000000000007</v>
      </c>
      <c r="K238" s="251">
        <v>84</v>
      </c>
      <c r="L238" s="1304" t="s">
        <v>829</v>
      </c>
      <c r="M238" s="1305">
        <v>46317</v>
      </c>
      <c r="N238" s="1304">
        <v>0.874</v>
      </c>
      <c r="O238" s="1304">
        <v>0.8</v>
      </c>
      <c r="P238" s="1304">
        <v>16.899999999999999</v>
      </c>
      <c r="S238" s="1287">
        <v>84</v>
      </c>
      <c r="T238" s="1125" t="s">
        <v>838</v>
      </c>
      <c r="U238" s="1302">
        <v>46316</v>
      </c>
      <c r="V238" s="1125">
        <v>0.67800000000000005</v>
      </c>
      <c r="W238" s="1125">
        <v>0.32</v>
      </c>
      <c r="X238" s="1125">
        <v>12.8</v>
      </c>
    </row>
    <row r="239" spans="2:24" ht="14.4" customHeight="1" x14ac:dyDescent="0.3">
      <c r="B239" s="1313">
        <v>236</v>
      </c>
      <c r="C239" s="1595"/>
      <c r="D239" s="1313" t="s">
        <v>857</v>
      </c>
      <c r="E239" s="1314">
        <v>46311</v>
      </c>
      <c r="F239" s="1313">
        <v>0.64</v>
      </c>
      <c r="G239" s="1313">
        <v>0.55000000000000004</v>
      </c>
      <c r="H239" s="1313">
        <v>9.2100000000000009</v>
      </c>
      <c r="K239" s="251">
        <v>85</v>
      </c>
      <c r="L239" s="1304" t="s">
        <v>831</v>
      </c>
      <c r="M239" s="1305">
        <v>46317</v>
      </c>
      <c r="N239" s="1304">
        <v>0.92300000000000004</v>
      </c>
      <c r="O239" s="1304">
        <v>0.92</v>
      </c>
      <c r="P239" s="1304">
        <v>16.329999999999998</v>
      </c>
      <c r="S239" s="1287">
        <v>85</v>
      </c>
      <c r="T239" s="1125" t="s">
        <v>840</v>
      </c>
      <c r="U239" s="1302">
        <v>46316</v>
      </c>
      <c r="V239" s="1125">
        <v>0.67900000000000005</v>
      </c>
      <c r="W239" s="1125">
        <v>0.39</v>
      </c>
      <c r="X239" s="1125">
        <v>12.59</v>
      </c>
    </row>
    <row r="240" spans="2:24" ht="14.4" customHeight="1" x14ac:dyDescent="0.3">
      <c r="B240" s="1313">
        <v>237</v>
      </c>
      <c r="C240" s="1595"/>
      <c r="D240" s="1313" t="s">
        <v>858</v>
      </c>
      <c r="E240" s="1314">
        <v>46311</v>
      </c>
      <c r="F240" s="1313">
        <v>0.64500000000000002</v>
      </c>
      <c r="G240" s="1313">
        <v>0.51</v>
      </c>
      <c r="H240" s="1313">
        <v>9.18</v>
      </c>
      <c r="K240" s="251">
        <v>86</v>
      </c>
      <c r="L240" s="1304" t="s">
        <v>833</v>
      </c>
      <c r="M240" s="1305">
        <v>46317</v>
      </c>
      <c r="N240" s="1304">
        <v>0.95599999999999996</v>
      </c>
      <c r="O240" s="1304">
        <v>0.78</v>
      </c>
      <c r="P240" s="1304">
        <v>15.81</v>
      </c>
      <c r="S240" s="1287">
        <v>86</v>
      </c>
      <c r="T240" s="1318" t="s">
        <v>830</v>
      </c>
      <c r="U240" s="1319">
        <v>46316</v>
      </c>
      <c r="V240" s="1318">
        <v>0.313</v>
      </c>
      <c r="W240" s="1318">
        <v>0.54</v>
      </c>
      <c r="X240" s="1318">
        <v>9.9700000000000006</v>
      </c>
    </row>
    <row r="241" spans="2:24" ht="14.4" customHeight="1" x14ac:dyDescent="0.3">
      <c r="B241" s="1313">
        <v>238</v>
      </c>
      <c r="C241" s="1595"/>
      <c r="D241" s="1313" t="s">
        <v>458</v>
      </c>
      <c r="E241" s="1314">
        <v>46312</v>
      </c>
      <c r="F241" s="1313">
        <v>0.63200000000000001</v>
      </c>
      <c r="G241" s="1313">
        <v>0.57999999999999996</v>
      </c>
      <c r="H241" s="1313">
        <v>8.07</v>
      </c>
      <c r="K241" s="251">
        <v>87</v>
      </c>
      <c r="L241" s="1125" t="s">
        <v>835</v>
      </c>
      <c r="M241" s="1302">
        <v>46318</v>
      </c>
      <c r="N241" s="1125">
        <v>0.47299999999999998</v>
      </c>
      <c r="O241" s="1125">
        <v>0.28999999999999998</v>
      </c>
      <c r="P241" s="1125">
        <v>9.24</v>
      </c>
      <c r="S241" s="1287">
        <v>87</v>
      </c>
      <c r="T241" s="1318" t="s">
        <v>832</v>
      </c>
      <c r="U241" s="1319">
        <v>46316</v>
      </c>
      <c r="V241" s="1318">
        <v>0.34</v>
      </c>
      <c r="W241" s="1318">
        <v>0.47</v>
      </c>
      <c r="X241" s="1318">
        <v>10.09</v>
      </c>
    </row>
    <row r="242" spans="2:24" ht="14.4" customHeight="1" x14ac:dyDescent="0.3">
      <c r="B242" s="1313">
        <v>239</v>
      </c>
      <c r="C242" s="1595"/>
      <c r="D242" s="1313" t="s">
        <v>459</v>
      </c>
      <c r="E242" s="1314">
        <v>46312</v>
      </c>
      <c r="F242" s="1313">
        <v>0.68600000000000005</v>
      </c>
      <c r="G242" s="1313">
        <v>0.56000000000000005</v>
      </c>
      <c r="H242" s="1313">
        <v>8.31</v>
      </c>
      <c r="K242" s="251">
        <v>88</v>
      </c>
      <c r="L242" s="1125" t="s">
        <v>837</v>
      </c>
      <c r="M242" s="1302">
        <v>46318</v>
      </c>
      <c r="N242" s="1125">
        <v>0.48499999999999999</v>
      </c>
      <c r="O242" s="1125">
        <v>0.24</v>
      </c>
      <c r="P242" s="1125">
        <v>9.6199999999999992</v>
      </c>
      <c r="S242" s="1287">
        <v>88</v>
      </c>
      <c r="T242" s="1318" t="s">
        <v>834</v>
      </c>
      <c r="U242" s="1319">
        <v>46316</v>
      </c>
      <c r="V242" s="1318">
        <v>0.37</v>
      </c>
      <c r="W242" s="1318">
        <v>0.41</v>
      </c>
      <c r="X242" s="1318">
        <v>9.8699999999999992</v>
      </c>
    </row>
    <row r="243" spans="2:24" ht="14.4" customHeight="1" x14ac:dyDescent="0.3">
      <c r="B243" s="1313">
        <v>240</v>
      </c>
      <c r="C243" s="1595"/>
      <c r="D243" s="1313" t="s">
        <v>460</v>
      </c>
      <c r="E243" s="1314">
        <v>46312</v>
      </c>
      <c r="F243" s="1313">
        <v>0.69</v>
      </c>
      <c r="G243" s="1313">
        <v>0.52</v>
      </c>
      <c r="H243" s="1313">
        <v>8.7899999999999991</v>
      </c>
      <c r="K243" s="251">
        <v>89</v>
      </c>
      <c r="L243" s="1313" t="s">
        <v>835</v>
      </c>
      <c r="M243" s="1323">
        <v>46319</v>
      </c>
      <c r="N243" s="1400">
        <v>1.016</v>
      </c>
      <c r="O243" s="1313">
        <v>0.56999999999999995</v>
      </c>
      <c r="P243" s="1313">
        <v>13.25</v>
      </c>
      <c r="S243" s="1287">
        <v>89</v>
      </c>
      <c r="T243" s="452" t="s">
        <v>836</v>
      </c>
      <c r="U243" s="952">
        <v>46317</v>
      </c>
      <c r="V243" s="452">
        <v>0.27100000000000002</v>
      </c>
      <c r="W243" s="452">
        <v>0.24</v>
      </c>
      <c r="X243" s="452">
        <v>7.38</v>
      </c>
    </row>
    <row r="244" spans="2:24" x14ac:dyDescent="0.3">
      <c r="B244" s="1313">
        <v>241</v>
      </c>
      <c r="C244" s="1595"/>
      <c r="D244" s="1313" t="s">
        <v>461</v>
      </c>
      <c r="E244" s="1314">
        <v>46312</v>
      </c>
      <c r="F244" s="1313">
        <v>0.75900000000000001</v>
      </c>
      <c r="G244" s="1313">
        <v>0.53</v>
      </c>
      <c r="H244" s="1313">
        <v>8.43</v>
      </c>
      <c r="K244" s="251">
        <v>90</v>
      </c>
      <c r="L244" s="1313" t="s">
        <v>837</v>
      </c>
      <c r="M244" s="1323">
        <v>46319</v>
      </c>
      <c r="N244" s="1313">
        <v>0.80400000000000005</v>
      </c>
      <c r="O244" s="1313">
        <v>0.37</v>
      </c>
      <c r="P244" s="1313">
        <v>12.91</v>
      </c>
      <c r="S244" s="1287">
        <v>90</v>
      </c>
      <c r="T244" s="452" t="s">
        <v>838</v>
      </c>
      <c r="U244" s="952">
        <v>46317</v>
      </c>
      <c r="V244" s="452">
        <v>0.22700000000000001</v>
      </c>
      <c r="W244" s="452">
        <v>0.2</v>
      </c>
      <c r="X244" s="452">
        <v>7.98</v>
      </c>
    </row>
    <row r="245" spans="2:24" x14ac:dyDescent="0.3">
      <c r="B245" s="1313">
        <v>242</v>
      </c>
      <c r="C245" s="1595"/>
      <c r="D245" s="1313" t="s">
        <v>462</v>
      </c>
      <c r="E245" s="1314">
        <v>46312</v>
      </c>
      <c r="F245" s="1313">
        <v>0.746</v>
      </c>
      <c r="G245" s="1313">
        <v>0.55000000000000004</v>
      </c>
      <c r="H245" s="1313">
        <v>8.5500000000000007</v>
      </c>
      <c r="K245" s="251">
        <v>91</v>
      </c>
      <c r="L245" s="1313" t="s">
        <v>839</v>
      </c>
      <c r="M245" s="1323">
        <v>46319</v>
      </c>
      <c r="N245" s="1313">
        <v>0.66800000000000004</v>
      </c>
      <c r="O245" s="1313">
        <v>0.2</v>
      </c>
      <c r="P245" s="1313">
        <v>12.38</v>
      </c>
      <c r="S245" s="1287">
        <v>91</v>
      </c>
      <c r="T245" s="452" t="s">
        <v>840</v>
      </c>
      <c r="U245" s="952">
        <v>46317</v>
      </c>
      <c r="V245" s="452">
        <v>0.28220000000000001</v>
      </c>
      <c r="W245" s="452">
        <v>0.27</v>
      </c>
      <c r="X245" s="452">
        <v>8.91</v>
      </c>
    </row>
    <row r="246" spans="2:24" x14ac:dyDescent="0.3">
      <c r="B246" s="1313">
        <v>243</v>
      </c>
      <c r="C246" s="1595"/>
      <c r="D246" s="1313" t="s">
        <v>463</v>
      </c>
      <c r="E246" s="1314">
        <v>46312</v>
      </c>
      <c r="F246" s="1313">
        <v>0.73299999999999998</v>
      </c>
      <c r="G246" s="1313">
        <v>0.55000000000000004</v>
      </c>
      <c r="H246" s="1313">
        <v>8.49</v>
      </c>
      <c r="K246" s="251">
        <v>92</v>
      </c>
      <c r="L246" s="1313" t="s">
        <v>829</v>
      </c>
      <c r="M246" s="1323">
        <v>46319</v>
      </c>
      <c r="N246" s="1313">
        <v>0.66300000000000003</v>
      </c>
      <c r="O246" s="1313">
        <v>0.19</v>
      </c>
      <c r="P246" s="1313">
        <v>7.22</v>
      </c>
      <c r="S246" s="1287">
        <v>92</v>
      </c>
      <c r="T246" s="1391" t="s">
        <v>830</v>
      </c>
      <c r="U246" s="1392">
        <v>46317</v>
      </c>
      <c r="V246" s="1391">
        <v>0.35599999999999998</v>
      </c>
      <c r="W246" s="1391">
        <v>0.48</v>
      </c>
      <c r="X246" s="1391">
        <v>12.65</v>
      </c>
    </row>
    <row r="247" spans="2:24" x14ac:dyDescent="0.3">
      <c r="B247" s="1313">
        <v>244</v>
      </c>
      <c r="C247" s="1595"/>
      <c r="D247" s="1313" t="s">
        <v>852</v>
      </c>
      <c r="E247" s="1314">
        <v>46312</v>
      </c>
      <c r="F247" s="1313">
        <v>0.72499999999999998</v>
      </c>
      <c r="G247" s="1313">
        <v>0.53</v>
      </c>
      <c r="H247" s="1313">
        <v>8.14</v>
      </c>
      <c r="K247" s="251">
        <v>93</v>
      </c>
      <c r="L247" s="1313" t="s">
        <v>831</v>
      </c>
      <c r="M247" s="1323">
        <v>46319</v>
      </c>
      <c r="N247" s="1313">
        <v>0.77800000000000002</v>
      </c>
      <c r="O247" s="1313">
        <v>0.62</v>
      </c>
      <c r="P247" s="1313">
        <v>13.13</v>
      </c>
      <c r="S247" s="1287">
        <v>93</v>
      </c>
      <c r="T247" s="1391" t="s">
        <v>832</v>
      </c>
      <c r="U247" s="1392">
        <v>46317</v>
      </c>
      <c r="V247" s="1391">
        <v>0.34699999999999998</v>
      </c>
      <c r="W247" s="1391">
        <v>0.36</v>
      </c>
      <c r="X247" s="1391">
        <v>12.61</v>
      </c>
    </row>
    <row r="248" spans="2:24" x14ac:dyDescent="0.3">
      <c r="B248" s="1313">
        <v>245</v>
      </c>
      <c r="C248" s="1596"/>
      <c r="D248" s="1313" t="s">
        <v>853</v>
      </c>
      <c r="E248" s="1314">
        <v>46312</v>
      </c>
      <c r="F248" s="1313">
        <v>0.73</v>
      </c>
      <c r="G248" s="1313">
        <v>0.57999999999999996</v>
      </c>
      <c r="H248" s="1313">
        <v>8.57</v>
      </c>
      <c r="K248" s="251">
        <v>94</v>
      </c>
      <c r="L248" s="1313" t="s">
        <v>833</v>
      </c>
      <c r="M248" s="1323">
        <v>46319</v>
      </c>
      <c r="N248" s="1313">
        <v>0.80700000000000005</v>
      </c>
      <c r="O248" s="1313">
        <v>0.55000000000000004</v>
      </c>
      <c r="P248" s="1313">
        <v>12.75</v>
      </c>
      <c r="S248" s="1287">
        <v>94</v>
      </c>
      <c r="T248" s="1391" t="s">
        <v>834</v>
      </c>
      <c r="U248" s="1392">
        <v>46317</v>
      </c>
      <c r="V248" s="1391">
        <v>0.47</v>
      </c>
      <c r="W248" s="1391">
        <v>0.32</v>
      </c>
      <c r="X248" s="1391">
        <v>16.21</v>
      </c>
    </row>
    <row r="249" spans="2:24" ht="14.4" customHeight="1" x14ac:dyDescent="0.3">
      <c r="B249" s="452">
        <v>246</v>
      </c>
      <c r="C249" s="1588">
        <v>21</v>
      </c>
      <c r="D249" s="452" t="s">
        <v>458</v>
      </c>
      <c r="E249" s="453">
        <v>46313</v>
      </c>
      <c r="F249" s="452">
        <v>0.51100000000000001</v>
      </c>
      <c r="G249" s="452">
        <v>0.61</v>
      </c>
      <c r="H249" s="452">
        <v>10.76</v>
      </c>
      <c r="K249" s="251">
        <v>95</v>
      </c>
      <c r="L249" s="1577" t="s">
        <v>985</v>
      </c>
      <c r="M249" s="1578"/>
      <c r="N249" s="1578"/>
      <c r="O249" s="1578"/>
      <c r="P249" s="1579"/>
      <c r="S249" s="1287">
        <v>95</v>
      </c>
      <c r="T249" s="1313" t="s">
        <v>836</v>
      </c>
      <c r="U249" s="1323">
        <v>46318</v>
      </c>
      <c r="V249" s="1313">
        <v>0.25800000000000001</v>
      </c>
      <c r="W249" s="1313">
        <v>0.24</v>
      </c>
      <c r="X249" s="1313">
        <v>16.59</v>
      </c>
    </row>
    <row r="250" spans="2:24" ht="14.4" customHeight="1" x14ac:dyDescent="0.3">
      <c r="B250" s="452">
        <v>247</v>
      </c>
      <c r="C250" s="1589"/>
      <c r="D250" s="452" t="s">
        <v>459</v>
      </c>
      <c r="E250" s="453">
        <v>46313</v>
      </c>
      <c r="F250" s="452">
        <v>0.46899999999999997</v>
      </c>
      <c r="G250" s="452">
        <v>0.57999999999999996</v>
      </c>
      <c r="H250" s="452">
        <v>11.27</v>
      </c>
      <c r="K250" s="251">
        <v>96</v>
      </c>
      <c r="L250" s="1290" t="s">
        <v>833</v>
      </c>
      <c r="M250" s="1291">
        <v>46321</v>
      </c>
      <c r="N250" s="1290">
        <v>0.59399999999999997</v>
      </c>
      <c r="O250" s="1290">
        <v>0.25</v>
      </c>
      <c r="P250" s="1290">
        <v>10.61</v>
      </c>
      <c r="S250" s="1287">
        <v>96</v>
      </c>
      <c r="T250" s="1313" t="s">
        <v>838</v>
      </c>
      <c r="U250" s="1323">
        <v>46318</v>
      </c>
      <c r="V250" s="1313">
        <v>0.22700000000000001</v>
      </c>
      <c r="W250" s="1313">
        <v>0.32</v>
      </c>
      <c r="X250" s="1313">
        <v>16.72</v>
      </c>
    </row>
    <row r="251" spans="2:24" ht="14.4" customHeight="1" x14ac:dyDescent="0.3">
      <c r="B251" s="452">
        <v>248</v>
      </c>
      <c r="C251" s="1589"/>
      <c r="D251" s="452" t="s">
        <v>460</v>
      </c>
      <c r="E251" s="453">
        <v>46313</v>
      </c>
      <c r="F251" s="452">
        <v>0.45</v>
      </c>
      <c r="G251" s="452">
        <v>0.59</v>
      </c>
      <c r="H251" s="452">
        <v>10.95</v>
      </c>
      <c r="K251" s="251">
        <v>97</v>
      </c>
      <c r="L251" s="1391" t="s">
        <v>835</v>
      </c>
      <c r="M251" s="1392">
        <v>46322</v>
      </c>
      <c r="N251" s="1391">
        <v>0.66200000000000003</v>
      </c>
      <c r="O251" s="1391">
        <v>0.67</v>
      </c>
      <c r="P251" s="1391">
        <v>9.6999999999999993</v>
      </c>
      <c r="S251" s="1287">
        <v>97</v>
      </c>
      <c r="T251" s="1313" t="s">
        <v>840</v>
      </c>
      <c r="U251" s="1323">
        <v>46318</v>
      </c>
      <c r="V251" s="1313">
        <v>0.28999999999999998</v>
      </c>
      <c r="W251" s="1313">
        <v>0.27</v>
      </c>
      <c r="X251" s="1313">
        <v>16.309999999999999</v>
      </c>
    </row>
    <row r="252" spans="2:24" ht="14.4" customHeight="1" x14ac:dyDescent="0.3">
      <c r="B252" s="452">
        <v>249</v>
      </c>
      <c r="C252" s="1589"/>
      <c r="D252" s="452" t="s">
        <v>848</v>
      </c>
      <c r="E252" s="453">
        <v>46313</v>
      </c>
      <c r="F252" s="452">
        <v>0.50700000000000001</v>
      </c>
      <c r="G252" s="452">
        <v>0.5</v>
      </c>
      <c r="H252" s="452">
        <v>10.75</v>
      </c>
      <c r="K252" s="251">
        <v>98</v>
      </c>
      <c r="L252" s="1391" t="s">
        <v>1007</v>
      </c>
      <c r="M252" s="1392">
        <v>46322</v>
      </c>
      <c r="N252" s="1391">
        <v>0.76100000000000001</v>
      </c>
      <c r="O252" s="1391">
        <v>0.82</v>
      </c>
      <c r="P252" s="1391">
        <v>12.55</v>
      </c>
      <c r="S252" s="1287">
        <v>98</v>
      </c>
      <c r="T252" s="1126" t="s">
        <v>830</v>
      </c>
      <c r="U252" s="1345">
        <v>46318</v>
      </c>
      <c r="V252" s="1126">
        <v>0.504</v>
      </c>
      <c r="W252" s="1126">
        <v>0.48</v>
      </c>
      <c r="X252" s="1126">
        <v>12.23</v>
      </c>
    </row>
    <row r="253" spans="2:24" ht="14.4" customHeight="1" x14ac:dyDescent="0.3">
      <c r="B253" s="452">
        <v>250</v>
      </c>
      <c r="C253" s="1589"/>
      <c r="D253" s="452" t="s">
        <v>849</v>
      </c>
      <c r="E253" s="453">
        <v>46313</v>
      </c>
      <c r="F253" s="452">
        <v>0.49399999999999999</v>
      </c>
      <c r="G253" s="452">
        <v>0.53</v>
      </c>
      <c r="H253" s="452">
        <v>10.36</v>
      </c>
      <c r="K253" s="251">
        <v>99</v>
      </c>
      <c r="L253" s="1391" t="s">
        <v>1008</v>
      </c>
      <c r="M253" s="1392">
        <v>46322</v>
      </c>
      <c r="N253" s="1391">
        <v>0.70099999999999996</v>
      </c>
      <c r="O253" s="1391">
        <v>0.74</v>
      </c>
      <c r="P253" s="1391">
        <v>9.09</v>
      </c>
      <c r="S253" s="1287">
        <v>99</v>
      </c>
      <c r="T253" s="1126" t="s">
        <v>832</v>
      </c>
      <c r="U253" s="1345">
        <v>46318</v>
      </c>
      <c r="V253" s="1126">
        <v>0.42</v>
      </c>
      <c r="W253" s="1126">
        <v>0.37</v>
      </c>
      <c r="X253" s="1126">
        <v>12.94</v>
      </c>
    </row>
    <row r="254" spans="2:24" ht="14.4" customHeight="1" x14ac:dyDescent="0.3">
      <c r="B254" s="452">
        <v>251</v>
      </c>
      <c r="C254" s="1589"/>
      <c r="D254" s="452" t="s">
        <v>850</v>
      </c>
      <c r="E254" s="453">
        <v>46313</v>
      </c>
      <c r="F254" s="452">
        <v>0.56599999999999995</v>
      </c>
      <c r="G254" s="452">
        <v>0.47</v>
      </c>
      <c r="H254" s="452">
        <v>10.43</v>
      </c>
      <c r="K254" s="251">
        <v>100</v>
      </c>
      <c r="L254" s="1391" t="s">
        <v>1009</v>
      </c>
      <c r="M254" s="1392">
        <v>46322</v>
      </c>
      <c r="N254" s="1391">
        <v>0.79800000000000004</v>
      </c>
      <c r="O254" s="1391">
        <v>0.72</v>
      </c>
      <c r="P254" s="1391">
        <v>14.95</v>
      </c>
      <c r="S254" s="1287">
        <v>100</v>
      </c>
      <c r="T254" s="1126" t="s">
        <v>834</v>
      </c>
      <c r="U254" s="1345">
        <v>46318</v>
      </c>
      <c r="V254" s="1126">
        <v>0.52500000000000002</v>
      </c>
      <c r="W254" s="1126">
        <v>0.44</v>
      </c>
      <c r="X254" s="1126">
        <v>14.68</v>
      </c>
    </row>
    <row r="255" spans="2:24" ht="14.4" customHeight="1" x14ac:dyDescent="0.3">
      <c r="B255" s="452">
        <v>252</v>
      </c>
      <c r="C255" s="1589"/>
      <c r="D255" s="452" t="s">
        <v>458</v>
      </c>
      <c r="E255" s="453">
        <v>46313</v>
      </c>
      <c r="F255" s="452">
        <v>0.36299999999999999</v>
      </c>
      <c r="G255" s="452">
        <v>0.17599999999999999</v>
      </c>
      <c r="H255" s="452">
        <v>8.0760000000000005</v>
      </c>
      <c r="K255" s="251">
        <v>101</v>
      </c>
      <c r="L255" s="1391" t="s">
        <v>1010</v>
      </c>
      <c r="M255" s="1392">
        <v>46322</v>
      </c>
      <c r="N255" s="1391">
        <v>0.78300000000000003</v>
      </c>
      <c r="O255" s="1391">
        <v>0.87</v>
      </c>
      <c r="P255" s="1391">
        <v>15.55</v>
      </c>
      <c r="S255" s="1287">
        <v>101</v>
      </c>
      <c r="T255" s="1393" t="s">
        <v>836</v>
      </c>
      <c r="U255" s="1394">
        <v>46319</v>
      </c>
      <c r="V255" s="1393">
        <v>0.39300000000000002</v>
      </c>
      <c r="W255" s="1393">
        <v>0.64</v>
      </c>
      <c r="X255" s="1393">
        <v>13.15</v>
      </c>
    </row>
    <row r="256" spans="2:24" ht="14.4" customHeight="1" x14ac:dyDescent="0.3">
      <c r="B256" s="452">
        <v>253</v>
      </c>
      <c r="C256" s="1589"/>
      <c r="D256" s="452" t="s">
        <v>459</v>
      </c>
      <c r="E256" s="453">
        <v>46313</v>
      </c>
      <c r="F256" s="452">
        <v>0.317</v>
      </c>
      <c r="G256" s="452">
        <v>0.27400000000000002</v>
      </c>
      <c r="H256" s="452">
        <v>8.1120000000000001</v>
      </c>
      <c r="K256" s="251">
        <v>102</v>
      </c>
      <c r="L256" s="1391" t="s">
        <v>1011</v>
      </c>
      <c r="M256" s="1392">
        <v>46322</v>
      </c>
      <c r="N256" s="1391">
        <v>0.82299999999999995</v>
      </c>
      <c r="O256" s="1391">
        <v>0.89</v>
      </c>
      <c r="P256" s="1391">
        <v>15.87</v>
      </c>
      <c r="S256" s="1287">
        <v>102</v>
      </c>
      <c r="T256" s="1393" t="s">
        <v>838</v>
      </c>
      <c r="U256" s="1394">
        <v>46319</v>
      </c>
      <c r="V256" s="1393">
        <v>0.46500000000000002</v>
      </c>
      <c r="W256" s="1393">
        <v>0.5</v>
      </c>
      <c r="X256" s="1393">
        <v>13.66</v>
      </c>
    </row>
    <row r="257" spans="2:24" ht="14.4" customHeight="1" x14ac:dyDescent="0.3">
      <c r="B257" s="452">
        <v>254</v>
      </c>
      <c r="C257" s="1589"/>
      <c r="D257" s="452" t="s">
        <v>460</v>
      </c>
      <c r="E257" s="453">
        <v>46313</v>
      </c>
      <c r="F257" s="452">
        <v>0.36399999999999999</v>
      </c>
      <c r="G257" s="452">
        <v>0.16500000000000001</v>
      </c>
      <c r="H257" s="452">
        <v>8.5830000000000002</v>
      </c>
      <c r="S257" s="1287">
        <v>103</v>
      </c>
      <c r="T257" s="1393" t="s">
        <v>840</v>
      </c>
      <c r="U257" s="1394">
        <v>46319</v>
      </c>
      <c r="V257" s="1393">
        <v>0.41499999999999998</v>
      </c>
      <c r="W257" s="1393">
        <v>0.66</v>
      </c>
      <c r="X257" s="1393">
        <v>13.72</v>
      </c>
    </row>
    <row r="258" spans="2:24" ht="14.4" customHeight="1" x14ac:dyDescent="0.3">
      <c r="B258" s="452">
        <v>255</v>
      </c>
      <c r="C258" s="1589"/>
      <c r="D258" s="452" t="s">
        <v>458</v>
      </c>
      <c r="E258" s="453">
        <v>46313</v>
      </c>
      <c r="F258" s="452">
        <v>0.26100000000000001</v>
      </c>
      <c r="G258" s="452">
        <v>0.17</v>
      </c>
      <c r="H258" s="452">
        <v>6.79</v>
      </c>
      <c r="S258" s="1287">
        <v>104</v>
      </c>
      <c r="T258" s="1293" t="s">
        <v>830</v>
      </c>
      <c r="U258" s="1294">
        <v>46319</v>
      </c>
      <c r="V258" s="1293">
        <v>0.33800000000000002</v>
      </c>
      <c r="W258" s="1399">
        <v>0.28999999999999998</v>
      </c>
      <c r="X258" s="1293">
        <v>12.51</v>
      </c>
    </row>
    <row r="259" spans="2:24" ht="14.4" customHeight="1" x14ac:dyDescent="0.3">
      <c r="B259" s="452">
        <v>256</v>
      </c>
      <c r="C259" s="1589"/>
      <c r="D259" s="452" t="s">
        <v>459</v>
      </c>
      <c r="E259" s="453">
        <v>46313</v>
      </c>
      <c r="F259" s="452">
        <v>0.30599999999999999</v>
      </c>
      <c r="G259" s="452">
        <v>0.3</v>
      </c>
      <c r="H259" s="452">
        <v>5.55</v>
      </c>
      <c r="S259" s="1287">
        <v>105</v>
      </c>
      <c r="T259" s="1293" t="s">
        <v>832</v>
      </c>
      <c r="U259" s="1294">
        <v>46319</v>
      </c>
      <c r="V259" s="1293">
        <v>0.35299999999999998</v>
      </c>
      <c r="W259" s="1293">
        <v>0.3</v>
      </c>
      <c r="X259" s="1293">
        <v>13.64</v>
      </c>
    </row>
    <row r="260" spans="2:24" ht="14.4" customHeight="1" x14ac:dyDescent="0.3">
      <c r="B260" s="452">
        <v>257</v>
      </c>
      <c r="C260" s="1589"/>
      <c r="D260" s="452" t="s">
        <v>461</v>
      </c>
      <c r="E260" s="453">
        <v>46313</v>
      </c>
      <c r="F260" s="452">
        <v>0.379</v>
      </c>
      <c r="G260" s="452">
        <v>0.20499999999999999</v>
      </c>
      <c r="H260" s="452">
        <v>9.859</v>
      </c>
      <c r="S260" s="1287">
        <v>106</v>
      </c>
      <c r="T260" s="1293" t="s">
        <v>834</v>
      </c>
      <c r="U260" s="1294">
        <v>46319</v>
      </c>
      <c r="V260" s="1293">
        <v>0.37</v>
      </c>
      <c r="W260" s="1293">
        <v>0.4</v>
      </c>
      <c r="X260" s="1293">
        <v>12.32</v>
      </c>
    </row>
    <row r="261" spans="2:24" ht="14.4" customHeight="1" x14ac:dyDescent="0.3">
      <c r="B261" s="452">
        <v>258</v>
      </c>
      <c r="C261" s="1589"/>
      <c r="D261" s="452" t="s">
        <v>462</v>
      </c>
      <c r="E261" s="453">
        <v>46313</v>
      </c>
      <c r="F261" s="452">
        <v>0.35199999999999998</v>
      </c>
      <c r="G261" s="452">
        <v>0.36699999999999999</v>
      </c>
      <c r="H261" s="452">
        <v>10.090999999999999</v>
      </c>
      <c r="S261" s="1287">
        <v>107</v>
      </c>
      <c r="T261" s="1125" t="s">
        <v>836</v>
      </c>
      <c r="U261" s="1302">
        <v>46320</v>
      </c>
      <c r="V261" s="1125">
        <v>0.53600000000000003</v>
      </c>
      <c r="W261" s="1125">
        <v>0.57999999999999996</v>
      </c>
      <c r="X261" s="1125">
        <v>15.46</v>
      </c>
    </row>
    <row r="262" spans="2:24" ht="14.4" customHeight="1" x14ac:dyDescent="0.3">
      <c r="B262" s="452">
        <v>259</v>
      </c>
      <c r="C262" s="1589"/>
      <c r="D262" s="452" t="s">
        <v>463</v>
      </c>
      <c r="E262" s="453">
        <v>46313</v>
      </c>
      <c r="F262" s="452">
        <v>0.50600000000000001</v>
      </c>
      <c r="G262" s="452">
        <v>0.21199999999999999</v>
      </c>
      <c r="H262" s="452">
        <v>9.9169999999999998</v>
      </c>
      <c r="S262" s="1287">
        <v>108</v>
      </c>
      <c r="T262" s="1125" t="s">
        <v>838</v>
      </c>
      <c r="U262" s="1302">
        <v>46320</v>
      </c>
      <c r="V262" s="1125">
        <v>0.63700000000000001</v>
      </c>
      <c r="W262" s="1125">
        <v>0.66</v>
      </c>
      <c r="X262" s="1125">
        <v>15.17</v>
      </c>
    </row>
    <row r="263" spans="2:24" ht="14.4" customHeight="1" x14ac:dyDescent="0.3">
      <c r="B263" s="452">
        <v>260</v>
      </c>
      <c r="C263" s="1589"/>
      <c r="D263" s="452" t="s">
        <v>852</v>
      </c>
      <c r="E263" s="453">
        <v>46313</v>
      </c>
      <c r="F263" s="452">
        <v>0.435</v>
      </c>
      <c r="G263" s="452">
        <v>0.27600000000000002</v>
      </c>
      <c r="H263" s="452">
        <v>9.5419999999999998</v>
      </c>
      <c r="S263" s="1287">
        <v>109</v>
      </c>
      <c r="T263" s="1125" t="s">
        <v>840</v>
      </c>
      <c r="U263" s="1302">
        <v>46320</v>
      </c>
      <c r="V263" s="1125">
        <v>0.435</v>
      </c>
      <c r="W263" s="1125">
        <v>0.53</v>
      </c>
      <c r="X263" s="1125">
        <v>13.74</v>
      </c>
    </row>
    <row r="264" spans="2:24" ht="14.4" customHeight="1" x14ac:dyDescent="0.3">
      <c r="B264" s="452">
        <v>261</v>
      </c>
      <c r="C264" s="1589"/>
      <c r="D264" s="452" t="s">
        <v>853</v>
      </c>
      <c r="E264" s="453">
        <v>46313</v>
      </c>
      <c r="F264" s="452">
        <v>0.46300000000000002</v>
      </c>
      <c r="G264" s="452">
        <v>0.30099999999999999</v>
      </c>
      <c r="H264" s="452">
        <v>9.6780000000000008</v>
      </c>
      <c r="S264" s="1287">
        <v>110</v>
      </c>
      <c r="T264" s="1407" t="s">
        <v>830</v>
      </c>
      <c r="U264" s="1408">
        <v>46320</v>
      </c>
      <c r="V264" s="1407">
        <v>0.35699999999999998</v>
      </c>
      <c r="W264" s="1407">
        <v>0.25</v>
      </c>
      <c r="X264" s="1407">
        <v>13.56</v>
      </c>
    </row>
    <row r="265" spans="2:24" ht="14.4" customHeight="1" x14ac:dyDescent="0.3">
      <c r="B265" s="452">
        <v>262</v>
      </c>
      <c r="C265" s="1589"/>
      <c r="D265" s="452" t="s">
        <v>461</v>
      </c>
      <c r="E265" s="453">
        <v>46313</v>
      </c>
      <c r="F265" s="452">
        <v>0.33</v>
      </c>
      <c r="G265" s="452">
        <v>0.15</v>
      </c>
      <c r="H265" s="452">
        <v>7.61</v>
      </c>
      <c r="S265" s="1287">
        <v>111</v>
      </c>
      <c r="T265" s="1407" t="s">
        <v>832</v>
      </c>
      <c r="U265" s="1408">
        <v>46320</v>
      </c>
      <c r="V265" s="1407">
        <v>0.33700000000000002</v>
      </c>
      <c r="W265" s="1407">
        <v>0.33</v>
      </c>
      <c r="X265" s="1407">
        <v>11.7</v>
      </c>
    </row>
    <row r="266" spans="2:24" ht="14.4" customHeight="1" x14ac:dyDescent="0.3">
      <c r="B266" s="452">
        <v>263</v>
      </c>
      <c r="C266" s="1589"/>
      <c r="D266" s="452" t="s">
        <v>462</v>
      </c>
      <c r="E266" s="453">
        <v>46313</v>
      </c>
      <c r="F266" s="452">
        <v>0.311</v>
      </c>
      <c r="G266" s="452">
        <v>0.36</v>
      </c>
      <c r="H266" s="452">
        <v>9.0399999999999991</v>
      </c>
      <c r="S266" s="1287">
        <v>112</v>
      </c>
      <c r="T266" s="1407" t="s">
        <v>834</v>
      </c>
      <c r="U266" s="1408">
        <v>46320</v>
      </c>
      <c r="V266" s="1407">
        <v>0.44600000000000001</v>
      </c>
      <c r="W266" s="1407">
        <v>0.45</v>
      </c>
      <c r="X266" s="1407">
        <v>14</v>
      </c>
    </row>
    <row r="267" spans="2:24" ht="14.4" customHeight="1" x14ac:dyDescent="0.3">
      <c r="B267" s="452">
        <v>264</v>
      </c>
      <c r="C267" s="1589"/>
      <c r="D267" s="452" t="s">
        <v>458</v>
      </c>
      <c r="E267" s="453">
        <v>46314</v>
      </c>
      <c r="F267" s="452">
        <v>0.443</v>
      </c>
      <c r="G267" s="452">
        <v>0.56999999999999995</v>
      </c>
      <c r="H267" s="452">
        <v>12.67</v>
      </c>
      <c r="S267" s="1287">
        <v>113</v>
      </c>
      <c r="T267" s="1324" t="s">
        <v>830</v>
      </c>
      <c r="U267" s="1325">
        <v>46321</v>
      </c>
      <c r="V267" s="1324">
        <v>0.372</v>
      </c>
      <c r="W267" s="1324">
        <v>0.72</v>
      </c>
      <c r="X267" s="1324">
        <v>17.899999999999999</v>
      </c>
    </row>
    <row r="268" spans="2:24" ht="14.4" customHeight="1" x14ac:dyDescent="0.3">
      <c r="B268" s="452">
        <v>265</v>
      </c>
      <c r="C268" s="1589"/>
      <c r="D268" s="452" t="s">
        <v>459</v>
      </c>
      <c r="E268" s="453">
        <v>46314</v>
      </c>
      <c r="F268" s="452">
        <v>0.45600000000000002</v>
      </c>
      <c r="G268" s="452">
        <v>0.68</v>
      </c>
      <c r="H268" s="452">
        <v>12.38</v>
      </c>
      <c r="S268" s="1287">
        <v>114</v>
      </c>
      <c r="T268" s="1324" t="s">
        <v>832</v>
      </c>
      <c r="U268" s="1325">
        <v>46321</v>
      </c>
      <c r="V268" s="1324">
        <v>0.47599999999999998</v>
      </c>
      <c r="W268" s="1324">
        <v>0.66</v>
      </c>
      <c r="X268" s="1324">
        <v>18.34</v>
      </c>
    </row>
    <row r="269" spans="2:24" ht="14.4" customHeight="1" x14ac:dyDescent="0.3">
      <c r="B269" s="452">
        <v>266</v>
      </c>
      <c r="C269" s="1589"/>
      <c r="D269" s="452" t="s">
        <v>460</v>
      </c>
      <c r="E269" s="453">
        <v>46314</v>
      </c>
      <c r="F269" s="452">
        <v>0.47399999999999998</v>
      </c>
      <c r="G269" s="452">
        <v>0.6</v>
      </c>
      <c r="H269" s="452">
        <v>13.18</v>
      </c>
      <c r="S269" s="1287">
        <v>115</v>
      </c>
      <c r="T269" s="1324" t="s">
        <v>834</v>
      </c>
      <c r="U269" s="1325">
        <v>46321</v>
      </c>
      <c r="V269" s="1324">
        <v>0.30599999999999999</v>
      </c>
      <c r="W269" s="1324">
        <v>0.6</v>
      </c>
      <c r="X269" s="1324">
        <v>18.55</v>
      </c>
    </row>
    <row r="270" spans="2:24" ht="14.4" customHeight="1" x14ac:dyDescent="0.3">
      <c r="B270" s="452">
        <v>267</v>
      </c>
      <c r="C270" s="1589"/>
      <c r="D270" s="452" t="s">
        <v>458</v>
      </c>
      <c r="E270" s="453">
        <v>46314</v>
      </c>
      <c r="F270" s="452">
        <v>0.34</v>
      </c>
      <c r="G270" s="452">
        <v>0.13</v>
      </c>
      <c r="H270" s="452">
        <v>10.15</v>
      </c>
      <c r="S270" s="1287">
        <v>116</v>
      </c>
      <c r="T270" s="1313" t="s">
        <v>836</v>
      </c>
      <c r="U270" s="1323">
        <v>46322</v>
      </c>
      <c r="V270" s="1313">
        <v>0.63500000000000001</v>
      </c>
      <c r="W270" s="1313">
        <v>0.65</v>
      </c>
      <c r="X270" s="1313">
        <v>17.36</v>
      </c>
    </row>
    <row r="271" spans="2:24" ht="14.4" customHeight="1" x14ac:dyDescent="0.3">
      <c r="B271" s="452">
        <v>268</v>
      </c>
      <c r="C271" s="1589"/>
      <c r="D271" s="452" t="s">
        <v>459</v>
      </c>
      <c r="E271" s="453">
        <v>46314</v>
      </c>
      <c r="F271" s="452">
        <v>0.46300000000000002</v>
      </c>
      <c r="G271" s="452">
        <v>0.17</v>
      </c>
      <c r="H271" s="452">
        <v>10.220000000000001</v>
      </c>
      <c r="S271" s="1287">
        <v>117</v>
      </c>
      <c r="T271" s="1313" t="s">
        <v>838</v>
      </c>
      <c r="U271" s="1323">
        <v>46322</v>
      </c>
      <c r="V271" s="1313">
        <v>0.67900000000000005</v>
      </c>
      <c r="W271" s="1313">
        <v>0.57999999999999996</v>
      </c>
      <c r="X271" s="1313">
        <v>17.29</v>
      </c>
    </row>
    <row r="272" spans="2:24" ht="14.4" customHeight="1" x14ac:dyDescent="0.3">
      <c r="B272" s="452">
        <v>269</v>
      </c>
      <c r="C272" s="1589"/>
      <c r="D272" s="452" t="s">
        <v>460</v>
      </c>
      <c r="E272" s="453">
        <v>46314</v>
      </c>
      <c r="F272" s="452">
        <v>0.38700000000000001</v>
      </c>
      <c r="G272" s="452">
        <v>0.32</v>
      </c>
      <c r="H272" s="452">
        <v>9.85</v>
      </c>
      <c r="S272" s="1287">
        <v>118</v>
      </c>
      <c r="T272" s="1313" t="s">
        <v>840</v>
      </c>
      <c r="U272" s="1323">
        <v>46322</v>
      </c>
      <c r="V272" s="1313">
        <v>0.71899999999999997</v>
      </c>
      <c r="W272" s="1313">
        <v>0.65</v>
      </c>
      <c r="X272" s="1313">
        <v>17.420000000000002</v>
      </c>
    </row>
    <row r="273" spans="2:24" x14ac:dyDescent="0.3">
      <c r="B273" s="452">
        <v>270</v>
      </c>
      <c r="C273" s="1589"/>
      <c r="D273" s="452" t="s">
        <v>948</v>
      </c>
      <c r="E273" s="453">
        <v>46314</v>
      </c>
      <c r="F273" s="452">
        <v>0.52300000000000002</v>
      </c>
      <c r="G273" s="452">
        <v>0.72</v>
      </c>
      <c r="H273" s="452">
        <v>14.76</v>
      </c>
      <c r="S273" s="1287">
        <v>119</v>
      </c>
      <c r="T273" s="6"/>
      <c r="U273" s="62"/>
      <c r="V273" s="6"/>
      <c r="W273" s="6"/>
      <c r="X273" s="6"/>
    </row>
    <row r="274" spans="2:24" x14ac:dyDescent="0.3">
      <c r="B274" s="452">
        <v>271</v>
      </c>
      <c r="C274" s="1589"/>
      <c r="D274" s="452" t="s">
        <v>949</v>
      </c>
      <c r="E274" s="453">
        <v>46314</v>
      </c>
      <c r="F274" s="452">
        <v>0.52100000000000002</v>
      </c>
      <c r="G274" s="452">
        <v>0.47</v>
      </c>
      <c r="H274" s="452">
        <v>14.38</v>
      </c>
      <c r="S274" s="1287">
        <v>120</v>
      </c>
      <c r="T274" s="6"/>
      <c r="U274" s="62"/>
      <c r="V274" s="6"/>
      <c r="W274" s="6"/>
      <c r="X274" s="6"/>
    </row>
    <row r="275" spans="2:24" x14ac:dyDescent="0.3">
      <c r="B275" s="452">
        <v>272</v>
      </c>
      <c r="C275" s="1590"/>
      <c r="D275" s="452" t="s">
        <v>950</v>
      </c>
      <c r="E275" s="453">
        <v>46314</v>
      </c>
      <c r="F275" s="452">
        <v>0.38800000000000001</v>
      </c>
      <c r="G275" s="452">
        <v>0.42</v>
      </c>
      <c r="H275" s="452">
        <v>14.56</v>
      </c>
      <c r="S275" s="1287">
        <v>121</v>
      </c>
      <c r="T275" s="6"/>
      <c r="U275" s="62"/>
      <c r="V275" s="6"/>
      <c r="W275" s="6"/>
      <c r="X275" s="6"/>
    </row>
    <row r="276" spans="2:24" ht="14.4" customHeight="1" x14ac:dyDescent="0.3">
      <c r="B276" s="1313">
        <v>273</v>
      </c>
      <c r="C276" s="1574">
        <v>22</v>
      </c>
      <c r="D276" s="1313" t="s">
        <v>458</v>
      </c>
      <c r="E276" s="1314">
        <v>46315</v>
      </c>
      <c r="F276" s="1313">
        <v>0.437</v>
      </c>
      <c r="G276" s="1313">
        <v>0.41</v>
      </c>
      <c r="H276" s="1313">
        <v>16.559999999999999</v>
      </c>
      <c r="S276" s="1287">
        <v>122</v>
      </c>
      <c r="T276" s="6"/>
      <c r="U276" s="62"/>
      <c r="V276" s="6"/>
      <c r="W276" s="6"/>
      <c r="X276" s="6"/>
    </row>
    <row r="277" spans="2:24" ht="14.4" customHeight="1" x14ac:dyDescent="0.3">
      <c r="B277" s="1313">
        <v>274</v>
      </c>
      <c r="C277" s="1575"/>
      <c r="D277" s="1313" t="s">
        <v>459</v>
      </c>
      <c r="E277" s="1314">
        <v>46315</v>
      </c>
      <c r="F277" s="1313">
        <v>0.501</v>
      </c>
      <c r="G277" s="1313">
        <v>0.4</v>
      </c>
      <c r="H277" s="1313">
        <v>16.739999999999998</v>
      </c>
      <c r="J277" s="1313">
        <v>0.182</v>
      </c>
      <c r="S277" s="1287">
        <v>123</v>
      </c>
      <c r="T277" s="6"/>
      <c r="U277" s="62"/>
      <c r="V277" s="6"/>
      <c r="W277" s="6"/>
      <c r="X277" s="6"/>
    </row>
    <row r="278" spans="2:24" ht="14.4" customHeight="1" x14ac:dyDescent="0.3">
      <c r="B278" s="1313">
        <v>275</v>
      </c>
      <c r="C278" s="1575"/>
      <c r="D278" s="1313" t="s">
        <v>460</v>
      </c>
      <c r="E278" s="1314">
        <v>46315</v>
      </c>
      <c r="F278" s="1313">
        <v>0.44400000000000001</v>
      </c>
      <c r="G278" s="1313">
        <v>0.45</v>
      </c>
      <c r="H278" s="1313">
        <v>16.45</v>
      </c>
      <c r="J278" s="1313">
        <v>0.13600000000000001</v>
      </c>
      <c r="S278" s="1287">
        <v>124</v>
      </c>
      <c r="T278" s="6"/>
      <c r="U278" s="62"/>
      <c r="V278" s="6"/>
      <c r="W278" s="6"/>
      <c r="X278" s="6"/>
    </row>
    <row r="279" spans="2:24" ht="14.4" customHeight="1" x14ac:dyDescent="0.3">
      <c r="B279" s="1313">
        <v>276</v>
      </c>
      <c r="C279" s="1575"/>
      <c r="D279" s="1313" t="s">
        <v>848</v>
      </c>
      <c r="E279" s="1314">
        <v>46315</v>
      </c>
      <c r="F279" s="1313">
        <v>0.46200000000000002</v>
      </c>
      <c r="G279" s="1313">
        <v>0.43</v>
      </c>
      <c r="H279" s="1313">
        <v>16.73</v>
      </c>
      <c r="J279" s="1340">
        <v>0.16400000000000001</v>
      </c>
      <c r="S279" s="1287">
        <v>125</v>
      </c>
      <c r="T279" s="6"/>
      <c r="U279" s="62"/>
      <c r="V279" s="6"/>
      <c r="W279" s="6"/>
      <c r="X279" s="6"/>
    </row>
    <row r="280" spans="2:24" ht="14.4" customHeight="1" x14ac:dyDescent="0.3">
      <c r="B280" s="1313">
        <v>277</v>
      </c>
      <c r="C280" s="1575"/>
      <c r="D280" s="1313" t="s">
        <v>849</v>
      </c>
      <c r="E280" s="1314">
        <v>46315</v>
      </c>
      <c r="F280" s="1313">
        <v>0.44500000000000001</v>
      </c>
      <c r="G280" s="1313">
        <v>0.39</v>
      </c>
      <c r="H280" s="1313">
        <v>16.73</v>
      </c>
      <c r="S280" s="1287">
        <v>126</v>
      </c>
      <c r="T280" s="6"/>
      <c r="U280" s="62"/>
      <c r="V280" s="6"/>
      <c r="W280" s="6"/>
      <c r="X280" s="6"/>
    </row>
    <row r="281" spans="2:24" ht="14.4" customHeight="1" x14ac:dyDescent="0.3">
      <c r="B281" s="1313">
        <v>278</v>
      </c>
      <c r="C281" s="1575"/>
      <c r="D281" s="1313" t="s">
        <v>461</v>
      </c>
      <c r="E281" s="1314">
        <v>46315</v>
      </c>
      <c r="F281" s="1313">
        <v>0.54</v>
      </c>
      <c r="G281" s="1313">
        <v>0.32</v>
      </c>
      <c r="H281" s="1313">
        <v>15.09</v>
      </c>
      <c r="S281" s="1287">
        <v>127</v>
      </c>
      <c r="T281" s="6"/>
      <c r="U281" s="62"/>
      <c r="V281" s="6"/>
      <c r="W281" s="6"/>
      <c r="X281" s="6"/>
    </row>
    <row r="282" spans="2:24" ht="14.4" customHeight="1" x14ac:dyDescent="0.3">
      <c r="B282" s="1313">
        <v>279</v>
      </c>
      <c r="C282" s="1575"/>
      <c r="D282" s="1313" t="s">
        <v>462</v>
      </c>
      <c r="E282" s="1314">
        <v>46315</v>
      </c>
      <c r="F282" s="1313">
        <v>0.54700000000000004</v>
      </c>
      <c r="G282" s="1313">
        <v>0.53</v>
      </c>
      <c r="H282" s="1313">
        <v>15.59</v>
      </c>
      <c r="J282" s="1313">
        <v>0.124</v>
      </c>
      <c r="S282" s="1287">
        <v>128</v>
      </c>
      <c r="T282" s="6"/>
      <c r="U282" s="62"/>
      <c r="V282" s="6"/>
      <c r="W282" s="6"/>
      <c r="X282" s="6"/>
    </row>
    <row r="283" spans="2:24" ht="14.4" customHeight="1" x14ac:dyDescent="0.3">
      <c r="B283" s="1313">
        <v>280</v>
      </c>
      <c r="C283" s="1575"/>
      <c r="D283" s="1313" t="s">
        <v>463</v>
      </c>
      <c r="E283" s="1314">
        <v>46315</v>
      </c>
      <c r="F283" s="1313">
        <v>0.61299999999999999</v>
      </c>
      <c r="G283" s="1313">
        <v>0.47</v>
      </c>
      <c r="H283" s="1313">
        <v>15.75</v>
      </c>
      <c r="J283" s="1313">
        <v>0.14299999999999999</v>
      </c>
      <c r="S283" s="1287">
        <v>129</v>
      </c>
      <c r="T283" s="6"/>
      <c r="U283" s="62"/>
      <c r="V283" s="6"/>
      <c r="W283" s="6"/>
      <c r="X283" s="6"/>
    </row>
    <row r="284" spans="2:24" ht="14.4" customHeight="1" x14ac:dyDescent="0.3">
      <c r="B284" s="1313">
        <v>281</v>
      </c>
      <c r="C284" s="1576"/>
      <c r="D284" s="1313" t="s">
        <v>852</v>
      </c>
      <c r="E284" s="1314">
        <v>46315</v>
      </c>
      <c r="F284" s="1313">
        <v>0.52400000000000002</v>
      </c>
      <c r="G284" s="1313">
        <v>0.43</v>
      </c>
      <c r="H284" s="1313">
        <v>15.68</v>
      </c>
      <c r="S284" s="1287">
        <v>130</v>
      </c>
      <c r="T284" s="6"/>
      <c r="U284" s="62"/>
      <c r="V284" s="6"/>
      <c r="W284" s="6"/>
      <c r="X284" s="6"/>
    </row>
    <row r="285" spans="2:24" ht="14.4" customHeight="1" x14ac:dyDescent="0.3">
      <c r="B285" s="452">
        <v>282</v>
      </c>
      <c r="C285" s="1573">
        <v>23</v>
      </c>
      <c r="D285" s="452" t="s">
        <v>458</v>
      </c>
      <c r="E285" s="453">
        <v>46316</v>
      </c>
      <c r="F285" s="452">
        <v>0.499</v>
      </c>
      <c r="G285" s="452">
        <v>0.57999999999999996</v>
      </c>
      <c r="H285" s="452">
        <v>13.31</v>
      </c>
      <c r="S285" s="1287">
        <v>131</v>
      </c>
      <c r="T285" s="6"/>
      <c r="U285" s="62"/>
      <c r="V285" s="6"/>
      <c r="W285" s="6"/>
      <c r="X285" s="6"/>
    </row>
    <row r="286" spans="2:24" ht="14.4" customHeight="1" x14ac:dyDescent="0.3">
      <c r="B286" s="452">
        <v>283</v>
      </c>
      <c r="C286" s="1568"/>
      <c r="D286" s="452" t="s">
        <v>459</v>
      </c>
      <c r="E286" s="453">
        <v>46316</v>
      </c>
      <c r="F286" s="452">
        <v>0.47399999999999998</v>
      </c>
      <c r="G286" s="452">
        <v>0.49</v>
      </c>
      <c r="H286" s="452">
        <v>12.16</v>
      </c>
      <c r="S286" s="1287">
        <v>132</v>
      </c>
      <c r="T286" s="6"/>
      <c r="U286" s="62"/>
      <c r="V286" s="6"/>
      <c r="W286" s="6"/>
      <c r="X286" s="6"/>
    </row>
    <row r="287" spans="2:24" ht="14.4" customHeight="1" x14ac:dyDescent="0.3">
      <c r="B287" s="452">
        <v>284</v>
      </c>
      <c r="C287" s="1568"/>
      <c r="D287" s="452" t="s">
        <v>460</v>
      </c>
      <c r="E287" s="453">
        <v>46316</v>
      </c>
      <c r="F287" s="452">
        <v>0.48</v>
      </c>
      <c r="G287" s="452">
        <v>0.62</v>
      </c>
      <c r="H287" s="452">
        <v>12.54</v>
      </c>
    </row>
    <row r="288" spans="2:24" ht="14.4" customHeight="1" x14ac:dyDescent="0.3">
      <c r="B288" s="452">
        <v>285</v>
      </c>
      <c r="C288" s="1568"/>
      <c r="D288" s="452" t="s">
        <v>848</v>
      </c>
      <c r="E288" s="453">
        <v>46316</v>
      </c>
      <c r="F288" s="452">
        <v>0.59899999999999998</v>
      </c>
      <c r="G288" s="452">
        <v>0.56999999999999995</v>
      </c>
      <c r="H288" s="452">
        <v>12.13</v>
      </c>
    </row>
    <row r="289" spans="2:8" ht="14.4" customHeight="1" x14ac:dyDescent="0.3">
      <c r="B289" s="452">
        <v>286</v>
      </c>
      <c r="C289" s="1568"/>
      <c r="D289" s="452" t="s">
        <v>849</v>
      </c>
      <c r="E289" s="453">
        <v>46316</v>
      </c>
      <c r="F289" s="452">
        <v>0.52300000000000002</v>
      </c>
      <c r="G289" s="452">
        <v>0.5</v>
      </c>
      <c r="H289" s="452">
        <v>12.06</v>
      </c>
    </row>
    <row r="290" spans="2:8" ht="14.4" customHeight="1" x14ac:dyDescent="0.3">
      <c r="B290" s="452">
        <v>287</v>
      </c>
      <c r="C290" s="1568"/>
      <c r="D290" s="452" t="s">
        <v>850</v>
      </c>
      <c r="E290" s="453">
        <v>46316</v>
      </c>
      <c r="F290" s="452">
        <v>0.42899999999999999</v>
      </c>
      <c r="G290" s="452">
        <v>0.54</v>
      </c>
      <c r="H290" s="452">
        <v>12.4</v>
      </c>
    </row>
    <row r="291" spans="2:8" ht="14.4" customHeight="1" x14ac:dyDescent="0.3">
      <c r="B291" s="452">
        <v>288</v>
      </c>
      <c r="C291" s="1568"/>
      <c r="D291" s="452" t="s">
        <v>461</v>
      </c>
      <c r="E291" s="453">
        <v>46316</v>
      </c>
      <c r="F291" s="452">
        <v>0.67400000000000004</v>
      </c>
      <c r="G291" s="452">
        <v>0.82</v>
      </c>
      <c r="H291" s="452">
        <v>14.71</v>
      </c>
    </row>
    <row r="292" spans="2:8" ht="14.4" customHeight="1" x14ac:dyDescent="0.3">
      <c r="B292" s="452">
        <v>289</v>
      </c>
      <c r="C292" s="1568"/>
      <c r="D292" s="452" t="s">
        <v>462</v>
      </c>
      <c r="E292" s="453">
        <v>46316</v>
      </c>
      <c r="F292" s="452">
        <v>0.61</v>
      </c>
      <c r="G292" s="452">
        <v>0.68</v>
      </c>
      <c r="H292" s="452">
        <v>15.58</v>
      </c>
    </row>
    <row r="293" spans="2:8" ht="14.4" customHeight="1" x14ac:dyDescent="0.3">
      <c r="B293" s="452">
        <v>290</v>
      </c>
      <c r="C293" s="1568"/>
      <c r="D293" s="452" t="s">
        <v>463</v>
      </c>
      <c r="E293" s="453">
        <v>46316</v>
      </c>
      <c r="F293" s="452">
        <v>0.60299999999999998</v>
      </c>
      <c r="G293" s="452">
        <v>0.62</v>
      </c>
      <c r="H293" s="452">
        <v>19.97</v>
      </c>
    </row>
    <row r="294" spans="2:8" ht="14.4" customHeight="1" x14ac:dyDescent="0.3">
      <c r="B294" s="452">
        <v>291</v>
      </c>
      <c r="C294" s="1568"/>
      <c r="D294" s="452" t="s">
        <v>852</v>
      </c>
      <c r="E294" s="453">
        <v>46316</v>
      </c>
      <c r="F294" s="452">
        <v>0.59299999999999997</v>
      </c>
      <c r="G294" s="452">
        <v>0.6</v>
      </c>
      <c r="H294" s="452">
        <v>15.69</v>
      </c>
    </row>
    <row r="295" spans="2:8" ht="14.4" customHeight="1" x14ac:dyDescent="0.3">
      <c r="B295" s="452">
        <v>292</v>
      </c>
      <c r="C295" s="1568"/>
      <c r="D295" s="452" t="s">
        <v>853</v>
      </c>
      <c r="E295" s="453">
        <v>46316</v>
      </c>
      <c r="F295" s="452">
        <v>0.65600000000000003</v>
      </c>
      <c r="G295" s="452">
        <v>0.66</v>
      </c>
      <c r="H295" s="452">
        <v>15.48</v>
      </c>
    </row>
    <row r="296" spans="2:8" ht="14.4" customHeight="1" x14ac:dyDescent="0.3">
      <c r="B296" s="452">
        <v>293</v>
      </c>
      <c r="C296" s="1568"/>
      <c r="D296" s="452" t="s">
        <v>458</v>
      </c>
      <c r="E296" s="453">
        <v>46317</v>
      </c>
      <c r="F296" s="452">
        <v>0.52400000000000002</v>
      </c>
      <c r="G296" s="452">
        <v>0.88</v>
      </c>
      <c r="H296" s="452">
        <v>15.82</v>
      </c>
    </row>
    <row r="297" spans="2:8" ht="14.4" customHeight="1" x14ac:dyDescent="0.3">
      <c r="B297" s="452">
        <v>294</v>
      </c>
      <c r="C297" s="1568"/>
      <c r="D297" s="452" t="s">
        <v>459</v>
      </c>
      <c r="E297" s="453">
        <v>46317</v>
      </c>
      <c r="F297" s="452">
        <v>0.55700000000000005</v>
      </c>
      <c r="G297" s="452">
        <v>0.52400000000000002</v>
      </c>
      <c r="H297" s="452">
        <v>15.97</v>
      </c>
    </row>
    <row r="298" spans="2:8" ht="14.4" customHeight="1" x14ac:dyDescent="0.3">
      <c r="B298" s="452">
        <v>295</v>
      </c>
      <c r="C298" s="1569"/>
      <c r="D298" s="452" t="s">
        <v>460</v>
      </c>
      <c r="E298" s="453">
        <v>46317</v>
      </c>
      <c r="F298" s="452">
        <v>0.52400000000000002</v>
      </c>
      <c r="G298" s="452">
        <v>0.78</v>
      </c>
      <c r="H298" s="452">
        <v>16.29</v>
      </c>
    </row>
    <row r="299" spans="2:8" ht="14.4" customHeight="1" x14ac:dyDescent="0.3">
      <c r="B299" s="1313">
        <v>301</v>
      </c>
      <c r="C299" s="1574">
        <v>24</v>
      </c>
      <c r="D299" s="1313" t="s">
        <v>461</v>
      </c>
      <c r="E299" s="1314">
        <v>46317</v>
      </c>
      <c r="F299" s="1313">
        <v>0.47699999999999998</v>
      </c>
      <c r="G299" s="1313">
        <v>0.59</v>
      </c>
      <c r="H299" s="1313">
        <v>17.48</v>
      </c>
    </row>
    <row r="300" spans="2:8" ht="14.4" customHeight="1" x14ac:dyDescent="0.3">
      <c r="B300" s="1313">
        <v>302</v>
      </c>
      <c r="C300" s="1575"/>
      <c r="D300" s="1313" t="s">
        <v>462</v>
      </c>
      <c r="E300" s="1314">
        <v>46317</v>
      </c>
      <c r="F300" s="1313">
        <v>0.58499999999999996</v>
      </c>
      <c r="G300" s="1313">
        <v>0.62</v>
      </c>
      <c r="H300" s="1313">
        <v>18.14</v>
      </c>
    </row>
    <row r="301" spans="2:8" ht="14.4" customHeight="1" x14ac:dyDescent="0.3">
      <c r="B301" s="1313">
        <v>303</v>
      </c>
      <c r="C301" s="1575"/>
      <c r="D301" s="1313" t="s">
        <v>463</v>
      </c>
      <c r="E301" s="1314">
        <v>46317</v>
      </c>
      <c r="F301" s="1313">
        <v>0.65500000000000003</v>
      </c>
      <c r="G301" s="1313">
        <v>0.7</v>
      </c>
      <c r="H301" s="1313">
        <v>17.64</v>
      </c>
    </row>
    <row r="302" spans="2:8" ht="14.4" customHeight="1" x14ac:dyDescent="0.3">
      <c r="B302" s="1313">
        <v>304</v>
      </c>
      <c r="C302" s="1575"/>
      <c r="D302" s="1313" t="s">
        <v>852</v>
      </c>
      <c r="E302" s="1314">
        <v>46317</v>
      </c>
      <c r="F302" s="1313">
        <v>0.52700000000000002</v>
      </c>
      <c r="G302" s="1313">
        <v>0.57999999999999996</v>
      </c>
      <c r="H302" s="1313">
        <v>16.440000000000001</v>
      </c>
    </row>
    <row r="303" spans="2:8" ht="14.4" customHeight="1" x14ac:dyDescent="0.3">
      <c r="B303" s="1313">
        <v>305</v>
      </c>
      <c r="C303" s="1575"/>
      <c r="D303" s="1313" t="s">
        <v>853</v>
      </c>
      <c r="E303" s="1314">
        <v>46317</v>
      </c>
      <c r="F303" s="1313">
        <v>0.497</v>
      </c>
      <c r="G303" s="1313">
        <v>0.48</v>
      </c>
      <c r="H303" s="1313">
        <v>16.98</v>
      </c>
    </row>
    <row r="304" spans="2:8" ht="14.4" customHeight="1" x14ac:dyDescent="0.3">
      <c r="B304" s="1313">
        <v>306</v>
      </c>
      <c r="C304" s="1575"/>
      <c r="D304" s="1313" t="s">
        <v>854</v>
      </c>
      <c r="E304" s="1314">
        <v>46317</v>
      </c>
      <c r="F304" s="1313">
        <v>0.64400000000000002</v>
      </c>
      <c r="G304" s="1313">
        <v>0.43</v>
      </c>
      <c r="H304" s="1313">
        <v>18.07</v>
      </c>
    </row>
    <row r="305" spans="2:8" ht="14.4" customHeight="1" x14ac:dyDescent="0.3">
      <c r="B305" s="1313">
        <v>307</v>
      </c>
      <c r="C305" s="1575"/>
      <c r="D305" s="1570" t="s">
        <v>981</v>
      </c>
      <c r="E305" s="1571"/>
      <c r="F305" s="1571"/>
      <c r="G305" s="1571"/>
      <c r="H305" s="1572"/>
    </row>
    <row r="306" spans="2:8" ht="14.4" customHeight="1" x14ac:dyDescent="0.3">
      <c r="B306" s="1313">
        <v>308</v>
      </c>
      <c r="C306" s="1575"/>
      <c r="D306" s="1313" t="s">
        <v>982</v>
      </c>
      <c r="E306" s="1314">
        <v>46318</v>
      </c>
      <c r="F306" s="1313">
        <v>0.72399999999999998</v>
      </c>
      <c r="G306" s="1313">
        <v>0.85</v>
      </c>
      <c r="H306" s="1313">
        <v>14.15</v>
      </c>
    </row>
    <row r="307" spans="2:8" ht="14.4" customHeight="1" x14ac:dyDescent="0.3">
      <c r="B307" s="1313">
        <v>309</v>
      </c>
      <c r="C307" s="1575"/>
      <c r="D307" s="1313" t="s">
        <v>983</v>
      </c>
      <c r="E307" s="1314">
        <v>46318</v>
      </c>
      <c r="F307" s="1313">
        <v>0.75700000000000001</v>
      </c>
      <c r="G307" s="1313">
        <v>0.48</v>
      </c>
      <c r="H307" s="1313">
        <v>11.23</v>
      </c>
    </row>
    <row r="308" spans="2:8" ht="14.4" customHeight="1" x14ac:dyDescent="0.3">
      <c r="B308" s="1313">
        <v>310</v>
      </c>
      <c r="C308" s="1575"/>
      <c r="D308" s="1313" t="s">
        <v>984</v>
      </c>
      <c r="E308" s="1314">
        <v>46318</v>
      </c>
      <c r="F308" s="1313">
        <v>0.78800000000000003</v>
      </c>
      <c r="G308" s="1313">
        <v>0.79</v>
      </c>
      <c r="H308" s="1313">
        <v>13.92</v>
      </c>
    </row>
    <row r="309" spans="2:8" ht="14.4" customHeight="1" x14ac:dyDescent="0.3">
      <c r="B309" s="452">
        <v>311</v>
      </c>
      <c r="C309" s="1568">
        <v>25</v>
      </c>
      <c r="D309" s="452" t="s">
        <v>458</v>
      </c>
      <c r="E309" s="453">
        <v>46319</v>
      </c>
      <c r="F309" s="452">
        <v>0.34699999999999998</v>
      </c>
      <c r="G309" s="452">
        <v>0.32</v>
      </c>
      <c r="H309" s="452">
        <v>10.81</v>
      </c>
    </row>
    <row r="310" spans="2:8" x14ac:dyDescent="0.3">
      <c r="B310" s="452">
        <v>312</v>
      </c>
      <c r="C310" s="1568"/>
      <c r="D310" s="452" t="s">
        <v>459</v>
      </c>
      <c r="E310" s="453">
        <v>46319</v>
      </c>
      <c r="F310" s="452">
        <v>0.39300000000000002</v>
      </c>
      <c r="G310" s="452">
        <v>0.37</v>
      </c>
      <c r="H310" s="452">
        <v>11.24</v>
      </c>
    </row>
    <row r="311" spans="2:8" x14ac:dyDescent="0.3">
      <c r="B311" s="452">
        <v>313</v>
      </c>
      <c r="C311" s="1568"/>
      <c r="D311" s="452" t="s">
        <v>460</v>
      </c>
      <c r="E311" s="453">
        <v>46319</v>
      </c>
      <c r="F311" s="452">
        <v>0.33900000000000002</v>
      </c>
      <c r="G311" s="452">
        <v>0.65</v>
      </c>
      <c r="H311" s="452">
        <v>13.93</v>
      </c>
    </row>
    <row r="312" spans="2:8" x14ac:dyDescent="0.3">
      <c r="B312" s="452">
        <v>314</v>
      </c>
      <c r="C312" s="1568"/>
      <c r="D312" s="452" t="s">
        <v>982</v>
      </c>
      <c r="E312" s="453">
        <v>46319</v>
      </c>
      <c r="F312" s="452">
        <v>0.42299999999999999</v>
      </c>
      <c r="G312" s="452">
        <v>0.6</v>
      </c>
      <c r="H312" s="452">
        <v>13.41</v>
      </c>
    </row>
    <row r="313" spans="2:8" x14ac:dyDescent="0.3">
      <c r="B313" s="452">
        <v>315</v>
      </c>
      <c r="C313" s="1568"/>
      <c r="D313" s="452" t="s">
        <v>983</v>
      </c>
      <c r="E313" s="453">
        <v>46319</v>
      </c>
      <c r="F313" s="452">
        <v>0.44500000000000001</v>
      </c>
      <c r="G313" s="452">
        <v>0.7</v>
      </c>
      <c r="H313" s="452">
        <v>15.74</v>
      </c>
    </row>
    <row r="314" spans="2:8" x14ac:dyDescent="0.3">
      <c r="B314" s="452">
        <v>316</v>
      </c>
      <c r="C314" s="1568"/>
      <c r="D314" s="452" t="s">
        <v>984</v>
      </c>
      <c r="E314" s="453">
        <v>46319</v>
      </c>
      <c r="F314" s="452">
        <v>0.45800000000000002</v>
      </c>
      <c r="G314" s="452">
        <v>0.74</v>
      </c>
      <c r="H314" s="452">
        <v>15.51</v>
      </c>
    </row>
    <row r="315" spans="2:8" x14ac:dyDescent="0.3">
      <c r="B315" s="452">
        <v>317</v>
      </c>
      <c r="C315" s="1568"/>
      <c r="D315" s="452" t="s">
        <v>458</v>
      </c>
      <c r="E315" s="453">
        <v>46320</v>
      </c>
      <c r="F315" s="452">
        <v>0.51700000000000002</v>
      </c>
      <c r="G315" s="452">
        <v>0.65</v>
      </c>
      <c r="H315" s="452">
        <v>14.8</v>
      </c>
    </row>
    <row r="316" spans="2:8" x14ac:dyDescent="0.3">
      <c r="B316" s="452">
        <v>318</v>
      </c>
      <c r="C316" s="1568"/>
      <c r="D316" s="452" t="s">
        <v>459</v>
      </c>
      <c r="E316" s="453">
        <v>46320</v>
      </c>
      <c r="F316" s="452">
        <v>0.41499999999999998</v>
      </c>
      <c r="G316" s="452">
        <v>0.5</v>
      </c>
      <c r="H316" s="452">
        <v>13.55</v>
      </c>
    </row>
    <row r="317" spans="2:8" x14ac:dyDescent="0.3">
      <c r="B317" s="452">
        <v>319</v>
      </c>
      <c r="C317" s="1569"/>
      <c r="D317" s="452" t="s">
        <v>460</v>
      </c>
      <c r="E317" s="453">
        <v>46320</v>
      </c>
      <c r="F317" s="452">
        <v>0.49</v>
      </c>
      <c r="G317" s="452">
        <v>0.56999999999999995</v>
      </c>
      <c r="H317" s="452">
        <v>16.62</v>
      </c>
    </row>
    <row r="318" spans="2:8" x14ac:dyDescent="0.3">
      <c r="B318" s="6">
        <v>320</v>
      </c>
      <c r="C318" s="1580" t="s">
        <v>1006</v>
      </c>
      <c r="D318" s="1581"/>
      <c r="E318" s="1581"/>
      <c r="F318" s="1581"/>
      <c r="G318" s="1581"/>
      <c r="H318" s="1581"/>
    </row>
    <row r="319" spans="2:8" x14ac:dyDescent="0.3">
      <c r="B319" s="6">
        <v>321</v>
      </c>
      <c r="C319" s="1577" t="s">
        <v>969</v>
      </c>
      <c r="D319" s="1578"/>
      <c r="E319" s="1578"/>
      <c r="F319" s="1578"/>
      <c r="G319" s="1578"/>
      <c r="H319" s="1579"/>
    </row>
    <row r="320" spans="2:8" x14ac:dyDescent="0.3">
      <c r="B320" s="1313">
        <v>322</v>
      </c>
      <c r="C320" s="1565">
        <v>26</v>
      </c>
      <c r="D320" s="1313" t="s">
        <v>461</v>
      </c>
      <c r="E320" s="1314">
        <v>46321</v>
      </c>
      <c r="F320" s="1313">
        <v>0.51600000000000001</v>
      </c>
      <c r="G320" s="1313">
        <v>0.43</v>
      </c>
      <c r="H320" s="1313">
        <v>18.739999999999998</v>
      </c>
    </row>
    <row r="321" spans="2:8" x14ac:dyDescent="0.3">
      <c r="B321" s="1313">
        <v>323</v>
      </c>
      <c r="C321" s="1566"/>
      <c r="D321" s="1313" t="s">
        <v>462</v>
      </c>
      <c r="E321" s="1314">
        <v>46321</v>
      </c>
      <c r="F321" s="1313">
        <v>0.58299999999999996</v>
      </c>
      <c r="G321" s="1313">
        <v>0.5</v>
      </c>
      <c r="H321" s="1313">
        <v>18.690000000000001</v>
      </c>
    </row>
    <row r="322" spans="2:8" x14ac:dyDescent="0.3">
      <c r="B322" s="1313">
        <v>324</v>
      </c>
      <c r="C322" s="1566"/>
      <c r="D322" s="1313" t="s">
        <v>463</v>
      </c>
      <c r="E322" s="1314">
        <v>46321</v>
      </c>
      <c r="F322" s="1313">
        <v>0.54600000000000004</v>
      </c>
      <c r="G322" s="1313">
        <v>0.46</v>
      </c>
      <c r="H322" s="1313">
        <v>17.52</v>
      </c>
    </row>
    <row r="323" spans="2:8" x14ac:dyDescent="0.3">
      <c r="B323" s="1313">
        <v>325</v>
      </c>
      <c r="C323" s="1566"/>
      <c r="D323" s="1313" t="s">
        <v>852</v>
      </c>
      <c r="E323" s="1314">
        <v>46321</v>
      </c>
      <c r="F323" s="1313">
        <v>0.53300000000000003</v>
      </c>
      <c r="G323" s="1313">
        <v>0.4</v>
      </c>
      <c r="H323" s="1313">
        <v>17.78</v>
      </c>
    </row>
    <row r="324" spans="2:8" x14ac:dyDescent="0.3">
      <c r="B324" s="1313">
        <v>326</v>
      </c>
      <c r="C324" s="1566"/>
      <c r="D324" s="1313" t="s">
        <v>853</v>
      </c>
      <c r="E324" s="1314">
        <v>46321</v>
      </c>
      <c r="F324" s="1313">
        <v>0.55200000000000005</v>
      </c>
      <c r="G324" s="1313">
        <v>0.41</v>
      </c>
      <c r="H324" s="1313">
        <v>17.77</v>
      </c>
    </row>
    <row r="325" spans="2:8" x14ac:dyDescent="0.3">
      <c r="B325" s="1313">
        <v>327</v>
      </c>
      <c r="C325" s="1567"/>
      <c r="D325" s="1313" t="s">
        <v>854</v>
      </c>
      <c r="E325" s="1314">
        <v>46321</v>
      </c>
      <c r="F325" s="1313">
        <v>0.51800000000000002</v>
      </c>
      <c r="G325" s="1313">
        <v>0.41</v>
      </c>
      <c r="H325" s="1313">
        <v>17.82</v>
      </c>
    </row>
    <row r="326" spans="2:8" x14ac:dyDescent="0.3">
      <c r="B326" s="6">
        <v>328</v>
      </c>
      <c r="C326" s="6"/>
      <c r="D326" s="6"/>
      <c r="E326" s="233"/>
      <c r="F326" s="6"/>
      <c r="G326" s="6"/>
      <c r="H326" s="6"/>
    </row>
    <row r="327" spans="2:8" x14ac:dyDescent="0.3">
      <c r="B327" s="6">
        <v>329</v>
      </c>
      <c r="C327" s="6"/>
      <c r="D327" s="6"/>
      <c r="E327" s="233"/>
      <c r="F327" s="6"/>
      <c r="G327" s="6"/>
      <c r="H327" s="6"/>
    </row>
    <row r="328" spans="2:8" x14ac:dyDescent="0.3">
      <c r="B328" s="6">
        <v>330</v>
      </c>
      <c r="C328" s="6"/>
      <c r="D328" s="6"/>
      <c r="E328" s="233"/>
      <c r="F328" s="6"/>
      <c r="G328" s="6"/>
      <c r="H328" s="6"/>
    </row>
    <row r="329" spans="2:8" x14ac:dyDescent="0.3">
      <c r="B329" s="6">
        <v>331</v>
      </c>
      <c r="C329" s="6"/>
      <c r="D329" s="6"/>
      <c r="E329" s="233"/>
      <c r="F329" s="6"/>
      <c r="G329" s="6"/>
      <c r="H329" s="6"/>
    </row>
    <row r="330" spans="2:8" x14ac:dyDescent="0.3">
      <c r="B330" s="6">
        <v>332</v>
      </c>
      <c r="C330" s="6"/>
      <c r="D330" s="6"/>
      <c r="E330" s="233"/>
      <c r="F330" s="6"/>
      <c r="G330" s="6"/>
      <c r="H330" s="6"/>
    </row>
    <row r="331" spans="2:8" x14ac:dyDescent="0.3">
      <c r="B331" s="6">
        <v>333</v>
      </c>
      <c r="C331" s="6"/>
      <c r="D331" s="6"/>
      <c r="E331" s="233"/>
      <c r="F331" s="6"/>
      <c r="G331" s="6"/>
      <c r="H331" s="6"/>
    </row>
    <row r="332" spans="2:8" x14ac:dyDescent="0.3">
      <c r="B332" s="6">
        <v>334</v>
      </c>
      <c r="C332" s="6"/>
      <c r="D332" s="6"/>
      <c r="E332" s="233"/>
      <c r="F332" s="6"/>
      <c r="G332" s="6"/>
      <c r="H332" s="6"/>
    </row>
    <row r="333" spans="2:8" x14ac:dyDescent="0.3">
      <c r="B333" s="6">
        <v>335</v>
      </c>
      <c r="C333" s="6"/>
      <c r="D333" s="6"/>
      <c r="E333" s="233"/>
      <c r="F333" s="6"/>
      <c r="G333" s="6"/>
      <c r="H333" s="6"/>
    </row>
    <row r="334" spans="2:8" x14ac:dyDescent="0.3">
      <c r="B334" s="6">
        <v>336</v>
      </c>
      <c r="C334" s="6"/>
      <c r="D334" s="6"/>
      <c r="E334" s="233"/>
      <c r="F334" s="6"/>
      <c r="G334" s="6"/>
      <c r="H334" s="6"/>
    </row>
    <row r="335" spans="2:8" x14ac:dyDescent="0.3">
      <c r="B335" s="6">
        <v>337</v>
      </c>
      <c r="C335" s="6"/>
      <c r="D335" s="6"/>
      <c r="E335" s="233"/>
      <c r="F335" s="6"/>
      <c r="G335" s="6"/>
      <c r="H335" s="6"/>
    </row>
    <row r="336" spans="2:8" x14ac:dyDescent="0.3">
      <c r="B336" s="6">
        <v>338</v>
      </c>
      <c r="C336" s="6"/>
      <c r="D336" s="6"/>
      <c r="E336" s="233"/>
      <c r="F336" s="6"/>
      <c r="G336" s="6"/>
      <c r="H336" s="6"/>
    </row>
    <row r="337" spans="2:8" x14ac:dyDescent="0.3">
      <c r="B337" s="6">
        <v>339</v>
      </c>
      <c r="C337" s="6"/>
      <c r="D337" s="6"/>
      <c r="E337" s="233"/>
      <c r="F337" s="6"/>
      <c r="G337" s="6"/>
      <c r="H337" s="6"/>
    </row>
    <row r="338" spans="2:8" x14ac:dyDescent="0.3">
      <c r="B338" s="6">
        <v>340</v>
      </c>
      <c r="C338" s="6"/>
      <c r="D338" s="6"/>
      <c r="E338" s="233"/>
      <c r="F338" s="6"/>
      <c r="G338" s="6"/>
      <c r="H338" s="6"/>
    </row>
    <row r="339" spans="2:8" x14ac:dyDescent="0.3">
      <c r="B339" s="6">
        <v>341</v>
      </c>
      <c r="C339" s="6"/>
      <c r="D339" s="6"/>
      <c r="E339" s="233"/>
      <c r="F339" s="6"/>
      <c r="G339" s="6"/>
      <c r="H339" s="6"/>
    </row>
    <row r="340" spans="2:8" x14ac:dyDescent="0.3">
      <c r="B340" s="6">
        <v>342</v>
      </c>
      <c r="C340" s="6"/>
      <c r="D340" s="6"/>
      <c r="E340" s="233"/>
      <c r="F340" s="6"/>
      <c r="G340" s="6"/>
      <c r="H340" s="6"/>
    </row>
    <row r="341" spans="2:8" x14ac:dyDescent="0.3">
      <c r="B341" s="6">
        <v>343</v>
      </c>
      <c r="C341" s="6"/>
      <c r="D341" s="6"/>
      <c r="E341" s="233"/>
      <c r="F341" s="6"/>
      <c r="G341" s="6"/>
      <c r="H341" s="6"/>
    </row>
    <row r="342" spans="2:8" x14ac:dyDescent="0.3">
      <c r="B342" s="6">
        <v>344</v>
      </c>
      <c r="C342" s="6"/>
      <c r="D342" s="6"/>
      <c r="E342" s="233"/>
      <c r="F342" s="6"/>
      <c r="G342" s="6"/>
      <c r="H342" s="6"/>
    </row>
    <row r="343" spans="2:8" x14ac:dyDescent="0.3">
      <c r="B343" s="6">
        <v>345</v>
      </c>
      <c r="C343" s="6"/>
      <c r="D343" s="6"/>
      <c r="E343" s="233"/>
      <c r="F343" s="6"/>
      <c r="G343" s="6"/>
      <c r="H343" s="6"/>
    </row>
    <row r="344" spans="2:8" x14ac:dyDescent="0.3">
      <c r="B344" s="6">
        <v>346</v>
      </c>
      <c r="C344" s="6"/>
      <c r="D344" s="6"/>
      <c r="E344" s="233"/>
      <c r="F344" s="6"/>
      <c r="G344" s="6"/>
      <c r="H344" s="6"/>
    </row>
    <row r="345" spans="2:8" x14ac:dyDescent="0.3">
      <c r="B345" s="6">
        <v>347</v>
      </c>
      <c r="C345" s="6"/>
      <c r="D345" s="6"/>
      <c r="E345" s="233"/>
      <c r="F345" s="6"/>
      <c r="G345" s="6"/>
      <c r="H345" s="6"/>
    </row>
    <row r="346" spans="2:8" x14ac:dyDescent="0.3">
      <c r="B346" s="6">
        <v>348</v>
      </c>
      <c r="C346" s="6"/>
      <c r="D346" s="6"/>
      <c r="E346" s="233"/>
      <c r="F346" s="6"/>
      <c r="G346" s="6"/>
      <c r="H346" s="6"/>
    </row>
    <row r="347" spans="2:8" x14ac:dyDescent="0.3">
      <c r="B347" s="6">
        <v>349</v>
      </c>
      <c r="C347" s="6"/>
      <c r="D347" s="6"/>
      <c r="E347" s="233"/>
      <c r="F347" s="6"/>
      <c r="G347" s="6"/>
      <c r="H347" s="6"/>
    </row>
    <row r="348" spans="2:8" x14ac:dyDescent="0.3">
      <c r="B348" s="6">
        <v>350</v>
      </c>
      <c r="C348" s="6"/>
      <c r="D348" s="6"/>
      <c r="E348" s="233"/>
      <c r="F348" s="6"/>
      <c r="G348" s="6"/>
      <c r="H348" s="6"/>
    </row>
    <row r="349" spans="2:8" x14ac:dyDescent="0.3">
      <c r="B349" s="6">
        <v>351</v>
      </c>
      <c r="C349" s="6"/>
      <c r="D349" s="6"/>
      <c r="E349" s="233"/>
      <c r="F349" s="6"/>
      <c r="G349" s="6"/>
      <c r="H349" s="6"/>
    </row>
    <row r="350" spans="2:8" x14ac:dyDescent="0.3">
      <c r="B350" s="6">
        <v>352</v>
      </c>
      <c r="C350" s="6"/>
      <c r="D350" s="6"/>
      <c r="E350" s="233"/>
      <c r="F350" s="6"/>
      <c r="G350" s="6"/>
      <c r="H350" s="6"/>
    </row>
    <row r="351" spans="2:8" x14ac:dyDescent="0.3">
      <c r="B351" s="6">
        <v>353</v>
      </c>
      <c r="C351" s="6"/>
      <c r="D351" s="6"/>
      <c r="E351" s="233"/>
      <c r="F351" s="6"/>
      <c r="G351" s="6"/>
      <c r="H351" s="6"/>
    </row>
    <row r="352" spans="2:8" x14ac:dyDescent="0.3">
      <c r="B352" s="6">
        <v>354</v>
      </c>
      <c r="C352" s="6"/>
      <c r="D352" s="6"/>
      <c r="E352" s="233"/>
      <c r="F352" s="6"/>
      <c r="G352" s="6"/>
      <c r="H352" s="6"/>
    </row>
    <row r="353" spans="2:8" x14ac:dyDescent="0.3">
      <c r="B353" s="6">
        <v>355</v>
      </c>
      <c r="C353" s="6"/>
      <c r="D353" s="6"/>
      <c r="E353" s="233"/>
      <c r="F353" s="6"/>
      <c r="G353" s="6"/>
      <c r="H353" s="6"/>
    </row>
    <row r="354" spans="2:8" x14ac:dyDescent="0.3">
      <c r="B354" s="6">
        <v>356</v>
      </c>
      <c r="C354" s="6"/>
      <c r="D354" s="6"/>
      <c r="E354" s="233"/>
      <c r="F354" s="6"/>
      <c r="G354" s="6"/>
      <c r="H354" s="6"/>
    </row>
    <row r="355" spans="2:8" x14ac:dyDescent="0.3">
      <c r="B355" s="6">
        <v>357</v>
      </c>
      <c r="C355" s="6"/>
      <c r="D355" s="6"/>
      <c r="E355" s="233"/>
      <c r="F355" s="6"/>
      <c r="G355" s="6"/>
      <c r="H355" s="6"/>
    </row>
    <row r="356" spans="2:8" x14ac:dyDescent="0.3">
      <c r="B356" s="6">
        <v>358</v>
      </c>
      <c r="C356" s="6"/>
      <c r="D356" s="6"/>
      <c r="E356" s="233"/>
      <c r="F356" s="6"/>
      <c r="G356" s="6"/>
      <c r="H356" s="6"/>
    </row>
    <row r="357" spans="2:8" x14ac:dyDescent="0.3">
      <c r="B357" s="6">
        <v>359</v>
      </c>
      <c r="C357" s="6"/>
      <c r="D357" s="6"/>
      <c r="E357" s="233"/>
      <c r="F357" s="6"/>
      <c r="G357" s="6"/>
      <c r="H357" s="6"/>
    </row>
    <row r="358" spans="2:8" x14ac:dyDescent="0.3">
      <c r="B358" s="6">
        <v>360</v>
      </c>
      <c r="C358" s="6"/>
      <c r="D358" s="6"/>
      <c r="E358" s="233"/>
      <c r="F358" s="6"/>
      <c r="G358" s="6"/>
      <c r="H358" s="6"/>
    </row>
    <row r="359" spans="2:8" x14ac:dyDescent="0.3">
      <c r="B359" s="6">
        <v>361</v>
      </c>
      <c r="C359" s="6"/>
      <c r="D359" s="6"/>
      <c r="E359" s="233"/>
      <c r="F359" s="6"/>
      <c r="G359" s="6"/>
      <c r="H359" s="6"/>
    </row>
    <row r="360" spans="2:8" x14ac:dyDescent="0.3">
      <c r="B360" s="6">
        <v>362</v>
      </c>
      <c r="C360" s="6"/>
      <c r="D360" s="6"/>
      <c r="E360" s="233"/>
      <c r="F360" s="6"/>
      <c r="G360" s="6"/>
      <c r="H360" s="6"/>
    </row>
    <row r="361" spans="2:8" x14ac:dyDescent="0.3">
      <c r="B361" s="6">
        <v>363</v>
      </c>
      <c r="C361" s="6"/>
      <c r="D361" s="6"/>
      <c r="E361" s="233"/>
      <c r="F361" s="6"/>
      <c r="G361" s="6"/>
      <c r="H361" s="6"/>
    </row>
    <row r="362" spans="2:8" x14ac:dyDescent="0.3">
      <c r="B362" s="6">
        <v>364</v>
      </c>
      <c r="C362" s="6"/>
      <c r="D362" s="6"/>
      <c r="E362" s="233"/>
      <c r="F362" s="6"/>
      <c r="G362" s="6"/>
      <c r="H362" s="6"/>
    </row>
    <row r="363" spans="2:8" x14ac:dyDescent="0.3">
      <c r="B363" s="6">
        <v>365</v>
      </c>
      <c r="C363" s="6"/>
      <c r="D363" s="6"/>
      <c r="E363" s="233"/>
      <c r="F363" s="6"/>
      <c r="G363" s="6"/>
      <c r="H363" s="6"/>
    </row>
    <row r="364" spans="2:8" x14ac:dyDescent="0.3">
      <c r="B364" s="6">
        <v>366</v>
      </c>
      <c r="C364" s="6"/>
      <c r="D364" s="6"/>
      <c r="E364" s="233"/>
      <c r="F364" s="6"/>
      <c r="G364" s="6"/>
      <c r="H364" s="6"/>
    </row>
    <row r="365" spans="2:8" x14ac:dyDescent="0.3">
      <c r="B365" s="6">
        <v>367</v>
      </c>
      <c r="C365" s="6"/>
      <c r="D365" s="6"/>
      <c r="E365" s="233"/>
      <c r="F365" s="6"/>
      <c r="G365" s="6"/>
      <c r="H365" s="6"/>
    </row>
    <row r="366" spans="2:8" x14ac:dyDescent="0.3">
      <c r="B366" s="6">
        <v>368</v>
      </c>
      <c r="C366" s="6"/>
      <c r="D366" s="6"/>
      <c r="E366" s="233"/>
      <c r="F366" s="6"/>
      <c r="G366" s="6"/>
      <c r="H366" s="6"/>
    </row>
    <row r="367" spans="2:8" x14ac:dyDescent="0.3">
      <c r="B367" s="6">
        <v>369</v>
      </c>
      <c r="C367" s="6"/>
      <c r="D367" s="6"/>
      <c r="E367" s="233"/>
      <c r="F367" s="6"/>
      <c r="G367" s="6"/>
      <c r="H367" s="6"/>
    </row>
    <row r="368" spans="2:8" x14ac:dyDescent="0.3">
      <c r="B368" s="6">
        <v>370</v>
      </c>
      <c r="C368" s="6"/>
      <c r="D368" s="6"/>
      <c r="E368" s="233"/>
      <c r="F368" s="6"/>
      <c r="G368" s="6"/>
      <c r="H368" s="6"/>
    </row>
    <row r="369" spans="2:8" x14ac:dyDescent="0.3">
      <c r="B369" s="6">
        <v>371</v>
      </c>
      <c r="C369" s="6"/>
      <c r="D369" s="6"/>
      <c r="E369" s="233"/>
      <c r="F369" s="6"/>
      <c r="G369" s="6"/>
      <c r="H369" s="6"/>
    </row>
    <row r="370" spans="2:8" x14ac:dyDescent="0.3">
      <c r="B370" s="6">
        <v>372</v>
      </c>
      <c r="C370" s="6"/>
      <c r="D370" s="6"/>
      <c r="E370" s="233"/>
      <c r="F370" s="6"/>
      <c r="G370" s="6"/>
      <c r="H370" s="6"/>
    </row>
    <row r="371" spans="2:8" x14ac:dyDescent="0.3">
      <c r="B371" s="6">
        <v>373</v>
      </c>
      <c r="C371" s="6"/>
      <c r="D371" s="6"/>
      <c r="E371" s="233"/>
      <c r="F371" s="6"/>
      <c r="G371" s="6"/>
      <c r="H371" s="6"/>
    </row>
    <row r="372" spans="2:8" x14ac:dyDescent="0.3">
      <c r="B372" s="6">
        <v>374</v>
      </c>
      <c r="C372" s="6"/>
      <c r="D372" s="6"/>
      <c r="E372" s="233"/>
      <c r="F372" s="6"/>
      <c r="G372" s="6"/>
      <c r="H372" s="6"/>
    </row>
    <row r="373" spans="2:8" x14ac:dyDescent="0.3">
      <c r="B373" s="6">
        <v>375</v>
      </c>
      <c r="C373" s="6"/>
      <c r="D373" s="6"/>
      <c r="E373" s="233"/>
      <c r="F373" s="6"/>
      <c r="G373" s="6"/>
      <c r="H373" s="6"/>
    </row>
    <row r="374" spans="2:8" x14ac:dyDescent="0.3">
      <c r="B374" s="6">
        <v>376</v>
      </c>
      <c r="C374" s="6"/>
      <c r="D374" s="6"/>
      <c r="E374" s="233"/>
      <c r="F374" s="6"/>
      <c r="G374" s="6"/>
      <c r="H374" s="6"/>
    </row>
    <row r="375" spans="2:8" x14ac:dyDescent="0.3">
      <c r="B375" s="6">
        <v>377</v>
      </c>
      <c r="C375" s="6"/>
      <c r="D375" s="6"/>
      <c r="E375" s="233"/>
      <c r="F375" s="6"/>
      <c r="G375" s="6"/>
      <c r="H375" s="6"/>
    </row>
    <row r="376" spans="2:8" x14ac:dyDescent="0.3">
      <c r="B376" s="6">
        <v>378</v>
      </c>
      <c r="C376" s="6"/>
      <c r="D376" s="6"/>
      <c r="E376" s="233"/>
      <c r="F376" s="6"/>
      <c r="G376" s="6"/>
      <c r="H376" s="6"/>
    </row>
    <row r="377" spans="2:8" x14ac:dyDescent="0.3">
      <c r="B377" s="6">
        <v>379</v>
      </c>
      <c r="C377" s="6"/>
      <c r="D377" s="6"/>
      <c r="E377" s="233"/>
      <c r="F377" s="6"/>
      <c r="G377" s="6"/>
      <c r="H377" s="6"/>
    </row>
    <row r="378" spans="2:8" x14ac:dyDescent="0.3">
      <c r="B378" s="6">
        <v>380</v>
      </c>
      <c r="C378" s="6"/>
      <c r="D378" s="6"/>
      <c r="E378" s="233"/>
      <c r="F378" s="6"/>
      <c r="G378" s="6"/>
      <c r="H378" s="6"/>
    </row>
    <row r="379" spans="2:8" x14ac:dyDescent="0.3">
      <c r="B379" s="6">
        <v>381</v>
      </c>
      <c r="C379" s="6"/>
      <c r="D379" s="6"/>
      <c r="E379" s="233"/>
      <c r="F379" s="6"/>
      <c r="G379" s="6"/>
      <c r="H379" s="6"/>
    </row>
    <row r="380" spans="2:8" x14ac:dyDescent="0.3">
      <c r="B380" s="6">
        <v>382</v>
      </c>
      <c r="C380" s="6"/>
      <c r="D380" s="6"/>
      <c r="E380" s="233"/>
      <c r="F380" s="6"/>
      <c r="G380" s="6"/>
      <c r="H380" s="6"/>
    </row>
    <row r="381" spans="2:8" x14ac:dyDescent="0.3">
      <c r="B381" s="6">
        <v>383</v>
      </c>
      <c r="C381" s="6"/>
      <c r="D381" s="6"/>
      <c r="E381" s="233"/>
      <c r="F381" s="6"/>
      <c r="G381" s="6"/>
      <c r="H381" s="6"/>
    </row>
    <row r="382" spans="2:8" x14ac:dyDescent="0.3">
      <c r="B382" s="6">
        <v>384</v>
      </c>
      <c r="C382" s="6"/>
      <c r="D382" s="6"/>
      <c r="E382" s="233"/>
      <c r="F382" s="6"/>
      <c r="G382" s="6"/>
      <c r="H382" s="6"/>
    </row>
    <row r="383" spans="2:8" x14ac:dyDescent="0.3">
      <c r="B383" s="6">
        <v>385</v>
      </c>
      <c r="C383" s="6"/>
      <c r="D383" s="6"/>
      <c r="E383" s="233"/>
      <c r="F383" s="6"/>
      <c r="G383" s="6"/>
      <c r="H383" s="6"/>
    </row>
    <row r="384" spans="2:8" x14ac:dyDescent="0.3">
      <c r="B384" s="6">
        <v>386</v>
      </c>
      <c r="C384" s="6"/>
      <c r="D384" s="6"/>
      <c r="E384" s="233"/>
      <c r="F384" s="6"/>
      <c r="G384" s="6"/>
      <c r="H384" s="6"/>
    </row>
    <row r="385" spans="2:8" x14ac:dyDescent="0.3">
      <c r="B385" s="6">
        <v>387</v>
      </c>
      <c r="C385" s="6"/>
      <c r="D385" s="6"/>
      <c r="E385" s="233"/>
      <c r="F385" s="6"/>
      <c r="G385" s="6"/>
      <c r="H385" s="6"/>
    </row>
    <row r="386" spans="2:8" x14ac:dyDescent="0.3">
      <c r="B386" s="6">
        <v>388</v>
      </c>
      <c r="C386" s="6"/>
      <c r="D386" s="6"/>
      <c r="E386" s="233"/>
      <c r="F386" s="6"/>
      <c r="G386" s="6"/>
      <c r="H386" s="6"/>
    </row>
    <row r="387" spans="2:8" x14ac:dyDescent="0.3">
      <c r="B387" s="6">
        <v>389</v>
      </c>
      <c r="C387" s="6"/>
      <c r="D387" s="6"/>
      <c r="E387" s="233"/>
      <c r="F387" s="6"/>
      <c r="G387" s="6"/>
      <c r="H387" s="6"/>
    </row>
    <row r="388" spans="2:8" x14ac:dyDescent="0.3">
      <c r="B388" s="6">
        <v>390</v>
      </c>
      <c r="C388" s="6"/>
      <c r="D388" s="6"/>
      <c r="E388" s="233"/>
      <c r="F388" s="6"/>
      <c r="G388" s="6"/>
      <c r="H388" s="6"/>
    </row>
    <row r="389" spans="2:8" x14ac:dyDescent="0.3">
      <c r="B389" s="6">
        <v>391</v>
      </c>
      <c r="C389" s="6"/>
      <c r="D389" s="6"/>
      <c r="E389" s="233"/>
      <c r="F389" s="6"/>
      <c r="G389" s="6"/>
      <c r="H389" s="6"/>
    </row>
    <row r="390" spans="2:8" x14ac:dyDescent="0.3">
      <c r="B390" s="6">
        <v>392</v>
      </c>
      <c r="C390" s="6"/>
      <c r="D390" s="6"/>
      <c r="E390" s="233"/>
      <c r="F390" s="6"/>
      <c r="G390" s="6"/>
      <c r="H390" s="6"/>
    </row>
    <row r="391" spans="2:8" x14ac:dyDescent="0.3">
      <c r="B391" s="6">
        <v>393</v>
      </c>
      <c r="C391" s="6"/>
      <c r="D391" s="6"/>
      <c r="E391" s="233"/>
      <c r="F391" s="6"/>
      <c r="G391" s="6"/>
      <c r="H391" s="6"/>
    </row>
    <row r="392" spans="2:8" x14ac:dyDescent="0.3">
      <c r="B392" s="6">
        <v>394</v>
      </c>
      <c r="C392" s="6"/>
      <c r="D392" s="6"/>
      <c r="E392" s="233"/>
      <c r="F392" s="6"/>
      <c r="G392" s="6"/>
      <c r="H392" s="6"/>
    </row>
    <row r="393" spans="2:8" x14ac:dyDescent="0.3">
      <c r="B393" s="6">
        <v>395</v>
      </c>
      <c r="C393" s="6"/>
      <c r="D393" s="6"/>
      <c r="E393" s="233"/>
      <c r="F393" s="6"/>
      <c r="G393" s="6"/>
      <c r="H393" s="6"/>
    </row>
    <row r="394" spans="2:8" x14ac:dyDescent="0.3">
      <c r="B394" s="6">
        <v>396</v>
      </c>
      <c r="C394" s="6"/>
      <c r="D394" s="6"/>
      <c r="E394" s="233"/>
      <c r="F394" s="6"/>
      <c r="G394" s="6"/>
      <c r="H394" s="6"/>
    </row>
    <row r="395" spans="2:8" x14ac:dyDescent="0.3">
      <c r="B395" s="6">
        <v>397</v>
      </c>
      <c r="C395" s="6"/>
      <c r="D395" s="6"/>
      <c r="E395" s="233"/>
      <c r="F395" s="6"/>
      <c r="G395" s="6"/>
      <c r="H395" s="6"/>
    </row>
    <row r="396" spans="2:8" x14ac:dyDescent="0.3">
      <c r="B396" s="6">
        <v>398</v>
      </c>
      <c r="C396" s="6"/>
      <c r="D396" s="6"/>
      <c r="E396" s="233"/>
      <c r="F396" s="6"/>
      <c r="G396" s="6"/>
      <c r="H396" s="6"/>
    </row>
    <row r="397" spans="2:8" x14ac:dyDescent="0.3">
      <c r="B397" s="6">
        <v>399</v>
      </c>
      <c r="C397" s="6"/>
      <c r="D397" s="6"/>
      <c r="E397" s="233"/>
      <c r="F397" s="6"/>
      <c r="G397" s="6"/>
      <c r="H397" s="6"/>
    </row>
    <row r="398" spans="2:8" x14ac:dyDescent="0.3">
      <c r="B398" s="6">
        <v>400</v>
      </c>
      <c r="C398" s="6"/>
      <c r="D398" s="6"/>
      <c r="E398" s="233"/>
      <c r="F398" s="6"/>
      <c r="G398" s="6"/>
      <c r="H398" s="6"/>
    </row>
    <row r="399" spans="2:8" x14ac:dyDescent="0.3">
      <c r="B399" s="6">
        <v>401</v>
      </c>
      <c r="C399" s="6"/>
      <c r="D399" s="6"/>
      <c r="E399" s="233"/>
      <c r="F399" s="6"/>
      <c r="G399" s="6"/>
      <c r="H399" s="6"/>
    </row>
    <row r="400" spans="2:8" x14ac:dyDescent="0.3">
      <c r="B400" s="6">
        <v>402</v>
      </c>
      <c r="C400" s="6"/>
      <c r="D400" s="6"/>
      <c r="E400" s="233"/>
      <c r="F400" s="6"/>
      <c r="G400" s="6"/>
      <c r="H400" s="6"/>
    </row>
    <row r="401" spans="2:8" x14ac:dyDescent="0.3">
      <c r="B401" s="6">
        <v>403</v>
      </c>
      <c r="C401" s="6"/>
      <c r="D401" s="6"/>
      <c r="E401" s="233"/>
      <c r="F401" s="6"/>
      <c r="G401" s="6"/>
      <c r="H401" s="6"/>
    </row>
    <row r="402" spans="2:8" x14ac:dyDescent="0.3">
      <c r="B402" s="6">
        <v>404</v>
      </c>
      <c r="C402" s="6"/>
      <c r="D402" s="6"/>
      <c r="E402" s="233"/>
      <c r="F402" s="6"/>
      <c r="G402" s="6"/>
      <c r="H402" s="6"/>
    </row>
    <row r="403" spans="2:8" x14ac:dyDescent="0.3">
      <c r="B403" s="6">
        <v>405</v>
      </c>
      <c r="C403" s="6"/>
      <c r="D403" s="6"/>
      <c r="E403" s="233"/>
      <c r="F403" s="6"/>
      <c r="G403" s="6"/>
      <c r="H403" s="6"/>
    </row>
    <row r="404" spans="2:8" x14ac:dyDescent="0.3">
      <c r="B404" s="6">
        <v>406</v>
      </c>
      <c r="C404" s="6"/>
      <c r="D404" s="6"/>
      <c r="E404" s="233"/>
      <c r="F404" s="6"/>
      <c r="G404" s="6"/>
      <c r="H404" s="6"/>
    </row>
    <row r="405" spans="2:8" x14ac:dyDescent="0.3">
      <c r="B405" s="6">
        <v>407</v>
      </c>
      <c r="C405" s="6"/>
      <c r="D405" s="6"/>
      <c r="E405" s="233"/>
      <c r="F405" s="6"/>
      <c r="G405" s="6"/>
      <c r="H405" s="6"/>
    </row>
    <row r="406" spans="2:8" x14ac:dyDescent="0.3">
      <c r="B406" s="6">
        <v>408</v>
      </c>
      <c r="C406" s="6"/>
      <c r="D406" s="6"/>
      <c r="E406" s="233"/>
      <c r="F406" s="6"/>
      <c r="G406" s="6"/>
      <c r="H406" s="6"/>
    </row>
    <row r="407" spans="2:8" x14ac:dyDescent="0.3">
      <c r="B407" s="6">
        <v>409</v>
      </c>
      <c r="C407" s="6"/>
      <c r="D407" s="6"/>
      <c r="E407" s="233"/>
      <c r="F407" s="6"/>
      <c r="G407" s="6"/>
      <c r="H407" s="6"/>
    </row>
    <row r="408" spans="2:8" x14ac:dyDescent="0.3">
      <c r="B408" s="6">
        <v>410</v>
      </c>
      <c r="C408" s="6"/>
      <c r="D408" s="6"/>
      <c r="E408" s="233"/>
      <c r="F408" s="6"/>
      <c r="G408" s="6"/>
      <c r="H408" s="6"/>
    </row>
    <row r="409" spans="2:8" x14ac:dyDescent="0.3">
      <c r="B409" s="6">
        <v>411</v>
      </c>
      <c r="C409" s="6"/>
      <c r="D409" s="6"/>
      <c r="E409" s="233"/>
      <c r="F409" s="6"/>
      <c r="G409" s="6"/>
      <c r="H409" s="6"/>
    </row>
    <row r="410" spans="2:8" x14ac:dyDescent="0.3">
      <c r="B410" s="6">
        <v>412</v>
      </c>
      <c r="C410" s="6"/>
      <c r="D410" s="6"/>
      <c r="E410" s="233"/>
      <c r="F410" s="6"/>
      <c r="G410" s="6"/>
      <c r="H410" s="6"/>
    </row>
    <row r="411" spans="2:8" x14ac:dyDescent="0.3">
      <c r="B411" s="6">
        <v>413</v>
      </c>
      <c r="C411" s="6"/>
      <c r="D411" s="6"/>
      <c r="E411" s="233"/>
      <c r="F411" s="6"/>
      <c r="G411" s="6"/>
      <c r="H411" s="6"/>
    </row>
    <row r="412" spans="2:8" x14ac:dyDescent="0.3">
      <c r="B412" s="6">
        <v>414</v>
      </c>
      <c r="C412" s="6"/>
      <c r="D412" s="6"/>
      <c r="E412" s="233"/>
      <c r="F412" s="6"/>
      <c r="G412" s="6"/>
      <c r="H412" s="6"/>
    </row>
    <row r="413" spans="2:8" x14ac:dyDescent="0.3">
      <c r="B413" s="6">
        <v>415</v>
      </c>
      <c r="C413" s="6"/>
      <c r="D413" s="6"/>
      <c r="E413" s="233"/>
      <c r="F413" s="6"/>
      <c r="G413" s="6"/>
      <c r="H413" s="6"/>
    </row>
    <row r="414" spans="2:8" x14ac:dyDescent="0.3">
      <c r="B414" s="6">
        <v>416</v>
      </c>
      <c r="C414" s="6"/>
      <c r="D414" s="6"/>
      <c r="E414" s="233"/>
      <c r="F414" s="6"/>
      <c r="G414" s="6"/>
      <c r="H414" s="6"/>
    </row>
    <row r="415" spans="2:8" x14ac:dyDescent="0.3">
      <c r="B415" s="6">
        <v>417</v>
      </c>
      <c r="C415" s="6"/>
      <c r="D415" s="6"/>
      <c r="E415" s="233"/>
      <c r="F415" s="6"/>
      <c r="G415" s="6"/>
      <c r="H415" s="6"/>
    </row>
    <row r="416" spans="2:8" x14ac:dyDescent="0.3">
      <c r="B416" s="6">
        <v>418</v>
      </c>
      <c r="C416" s="6"/>
      <c r="D416" s="6"/>
      <c r="E416" s="233"/>
      <c r="F416" s="6"/>
      <c r="G416" s="6"/>
      <c r="H416" s="6"/>
    </row>
    <row r="417" spans="2:8" x14ac:dyDescent="0.3">
      <c r="B417" s="6">
        <v>419</v>
      </c>
      <c r="C417" s="6"/>
      <c r="D417" s="6"/>
      <c r="E417" s="233"/>
      <c r="F417" s="6"/>
      <c r="G417" s="6"/>
      <c r="H417" s="6"/>
    </row>
    <row r="418" spans="2:8" x14ac:dyDescent="0.3">
      <c r="B418" s="6">
        <v>420</v>
      </c>
      <c r="C418" s="6"/>
      <c r="D418" s="6"/>
      <c r="E418" s="233"/>
      <c r="F418" s="6"/>
      <c r="G418" s="6"/>
      <c r="H418" s="6"/>
    </row>
    <row r="419" spans="2:8" x14ac:dyDescent="0.3">
      <c r="B419" s="6">
        <v>421</v>
      </c>
      <c r="C419" s="6"/>
      <c r="D419" s="6"/>
      <c r="E419" s="233"/>
      <c r="F419" s="6"/>
      <c r="G419" s="6"/>
      <c r="H419" s="6"/>
    </row>
    <row r="420" spans="2:8" x14ac:dyDescent="0.3">
      <c r="B420" s="6">
        <v>422</v>
      </c>
      <c r="C420" s="6"/>
      <c r="D420" s="6"/>
      <c r="E420" s="233"/>
      <c r="F420" s="6"/>
      <c r="G420" s="6"/>
      <c r="H420" s="6"/>
    </row>
    <row r="421" spans="2:8" x14ac:dyDescent="0.3">
      <c r="B421" s="6">
        <v>423</v>
      </c>
      <c r="C421" s="6"/>
      <c r="D421" s="6"/>
      <c r="E421" s="233"/>
      <c r="F421" s="6"/>
      <c r="G421" s="6"/>
      <c r="H421" s="6"/>
    </row>
    <row r="422" spans="2:8" x14ac:dyDescent="0.3">
      <c r="B422" s="6">
        <v>424</v>
      </c>
      <c r="C422" s="6"/>
      <c r="D422" s="6"/>
      <c r="E422" s="233"/>
      <c r="F422" s="6"/>
      <c r="G422" s="6"/>
      <c r="H422" s="6"/>
    </row>
    <row r="423" spans="2:8" x14ac:dyDescent="0.3">
      <c r="B423" s="6">
        <v>425</v>
      </c>
      <c r="C423" s="6"/>
      <c r="D423" s="6"/>
      <c r="E423" s="233"/>
      <c r="F423" s="6"/>
      <c r="G423" s="6"/>
      <c r="H423" s="6"/>
    </row>
    <row r="424" spans="2:8" x14ac:dyDescent="0.3">
      <c r="B424" s="6">
        <v>426</v>
      </c>
      <c r="C424" s="6"/>
      <c r="D424" s="6"/>
      <c r="E424" s="233"/>
      <c r="F424" s="6"/>
      <c r="G424" s="6"/>
      <c r="H424" s="6"/>
    </row>
    <row r="425" spans="2:8" x14ac:dyDescent="0.3">
      <c r="B425" s="6">
        <v>427</v>
      </c>
      <c r="C425" s="6"/>
      <c r="D425" s="6"/>
      <c r="E425" s="233"/>
      <c r="F425" s="6"/>
      <c r="G425" s="6"/>
      <c r="H425" s="6"/>
    </row>
    <row r="426" spans="2:8" x14ac:dyDescent="0.3">
      <c r="B426" s="6">
        <v>428</v>
      </c>
      <c r="C426" s="6"/>
      <c r="D426" s="6"/>
      <c r="E426" s="233"/>
      <c r="F426" s="6"/>
      <c r="G426" s="6"/>
      <c r="H426" s="6"/>
    </row>
    <row r="427" spans="2:8" x14ac:dyDescent="0.3">
      <c r="B427" s="6">
        <v>429</v>
      </c>
      <c r="C427" s="6"/>
      <c r="D427" s="6"/>
      <c r="E427" s="233"/>
      <c r="F427" s="6"/>
      <c r="G427" s="6"/>
      <c r="H427" s="6"/>
    </row>
    <row r="428" spans="2:8" x14ac:dyDescent="0.3">
      <c r="B428" s="6">
        <v>430</v>
      </c>
      <c r="C428" s="6"/>
      <c r="D428" s="6"/>
      <c r="E428" s="233"/>
      <c r="F428" s="6"/>
      <c r="G428" s="6"/>
      <c r="H428" s="6"/>
    </row>
    <row r="429" spans="2:8" x14ac:dyDescent="0.3">
      <c r="B429" s="6">
        <v>431</v>
      </c>
      <c r="C429" s="6"/>
      <c r="D429" s="6"/>
      <c r="E429" s="233"/>
      <c r="F429" s="6"/>
      <c r="G429" s="6"/>
      <c r="H429" s="6"/>
    </row>
    <row r="430" spans="2:8" x14ac:dyDescent="0.3">
      <c r="B430" s="6">
        <v>432</v>
      </c>
      <c r="C430" s="6"/>
      <c r="D430" s="6"/>
      <c r="E430" s="233"/>
      <c r="F430" s="6"/>
      <c r="G430" s="6"/>
      <c r="H430" s="6"/>
    </row>
    <row r="431" spans="2:8" x14ac:dyDescent="0.3">
      <c r="B431" s="6">
        <v>433</v>
      </c>
      <c r="C431" s="6"/>
      <c r="D431" s="6"/>
      <c r="E431" s="233"/>
      <c r="F431" s="6"/>
      <c r="G431" s="6"/>
      <c r="H431" s="6"/>
    </row>
    <row r="432" spans="2:8" x14ac:dyDescent="0.3">
      <c r="B432" s="6">
        <v>434</v>
      </c>
      <c r="C432" s="6"/>
      <c r="D432" s="6"/>
      <c r="E432" s="233"/>
      <c r="F432" s="6"/>
      <c r="G432" s="6"/>
      <c r="H432" s="6"/>
    </row>
    <row r="433" spans="2:8" x14ac:dyDescent="0.3">
      <c r="B433" s="6">
        <v>435</v>
      </c>
      <c r="C433" s="6"/>
      <c r="D433" s="6"/>
      <c r="E433" s="233"/>
      <c r="F433" s="6"/>
      <c r="G433" s="6"/>
      <c r="H433" s="6"/>
    </row>
    <row r="434" spans="2:8" x14ac:dyDescent="0.3">
      <c r="B434" s="6">
        <v>436</v>
      </c>
      <c r="C434" s="6"/>
      <c r="D434" s="6"/>
      <c r="E434" s="233"/>
      <c r="F434" s="6"/>
      <c r="G434" s="6"/>
      <c r="H434" s="6"/>
    </row>
    <row r="435" spans="2:8" x14ac:dyDescent="0.3">
      <c r="B435" s="6">
        <v>437</v>
      </c>
      <c r="C435" s="6"/>
      <c r="D435" s="6"/>
      <c r="E435" s="233"/>
      <c r="F435" s="6"/>
      <c r="G435" s="6"/>
      <c r="H435" s="6"/>
    </row>
    <row r="436" spans="2:8" x14ac:dyDescent="0.3">
      <c r="B436" s="6">
        <v>438</v>
      </c>
      <c r="C436" s="6"/>
      <c r="D436" s="6"/>
      <c r="E436" s="233"/>
      <c r="F436" s="6"/>
      <c r="G436" s="6"/>
      <c r="H436" s="6"/>
    </row>
    <row r="437" spans="2:8" x14ac:dyDescent="0.3">
      <c r="B437" s="6">
        <v>439</v>
      </c>
      <c r="C437" s="6"/>
      <c r="D437" s="6"/>
      <c r="E437" s="233"/>
      <c r="F437" s="6"/>
      <c r="G437" s="6"/>
      <c r="H437" s="6"/>
    </row>
    <row r="438" spans="2:8" x14ac:dyDescent="0.3">
      <c r="B438" s="6">
        <v>440</v>
      </c>
      <c r="C438" s="6"/>
      <c r="D438" s="6"/>
      <c r="E438" s="233"/>
      <c r="F438" s="6"/>
      <c r="G438" s="6"/>
      <c r="H438" s="6"/>
    </row>
    <row r="439" spans="2:8" x14ac:dyDescent="0.3">
      <c r="B439" s="6">
        <v>441</v>
      </c>
      <c r="C439" s="6"/>
      <c r="D439" s="6"/>
      <c r="E439" s="233"/>
      <c r="F439" s="6"/>
      <c r="G439" s="6"/>
      <c r="H439" s="6"/>
    </row>
    <row r="440" spans="2:8" x14ac:dyDescent="0.3">
      <c r="B440" s="6">
        <v>442</v>
      </c>
      <c r="C440" s="6"/>
      <c r="D440" s="6"/>
      <c r="E440" s="233"/>
      <c r="F440" s="6"/>
      <c r="G440" s="6"/>
      <c r="H440" s="6"/>
    </row>
    <row r="441" spans="2:8" x14ac:dyDescent="0.3">
      <c r="B441" s="6">
        <v>443</v>
      </c>
      <c r="C441" s="6"/>
      <c r="D441" s="6"/>
      <c r="E441" s="233"/>
      <c r="F441" s="6"/>
      <c r="G441" s="6"/>
      <c r="H441" s="6"/>
    </row>
    <row r="442" spans="2:8" x14ac:dyDescent="0.3">
      <c r="B442" s="6">
        <v>444</v>
      </c>
      <c r="C442" s="6"/>
      <c r="D442" s="6"/>
      <c r="E442" s="233"/>
      <c r="F442" s="6"/>
      <c r="G442" s="6"/>
      <c r="H442" s="6"/>
    </row>
    <row r="443" spans="2:8" x14ac:dyDescent="0.3">
      <c r="B443" s="6">
        <v>445</v>
      </c>
      <c r="C443" s="6"/>
      <c r="D443" s="6"/>
      <c r="E443" s="233"/>
      <c r="F443" s="6"/>
      <c r="G443" s="6"/>
      <c r="H443" s="6"/>
    </row>
    <row r="444" spans="2:8" x14ac:dyDescent="0.3">
      <c r="B444" s="6">
        <v>446</v>
      </c>
      <c r="C444" s="6"/>
      <c r="D444" s="6"/>
      <c r="E444" s="233"/>
      <c r="F444" s="6"/>
      <c r="G444" s="6"/>
      <c r="H444" s="6"/>
    </row>
    <row r="445" spans="2:8" x14ac:dyDescent="0.3">
      <c r="B445" s="6">
        <v>447</v>
      </c>
      <c r="C445" s="6"/>
      <c r="D445" s="6"/>
      <c r="E445" s="233"/>
      <c r="F445" s="6"/>
      <c r="G445" s="6"/>
      <c r="H445" s="6"/>
    </row>
    <row r="446" spans="2:8" x14ac:dyDescent="0.3">
      <c r="B446" s="6">
        <v>448</v>
      </c>
      <c r="C446" s="6"/>
      <c r="D446" s="6"/>
      <c r="E446" s="233"/>
      <c r="F446" s="6"/>
      <c r="G446" s="6"/>
      <c r="H446" s="6"/>
    </row>
    <row r="447" spans="2:8" x14ac:dyDescent="0.3">
      <c r="B447" s="6">
        <v>449</v>
      </c>
      <c r="C447" s="6"/>
      <c r="D447" s="6"/>
      <c r="E447" s="233"/>
      <c r="F447" s="6"/>
      <c r="G447" s="6"/>
      <c r="H447" s="6"/>
    </row>
    <row r="448" spans="2:8" x14ac:dyDescent="0.3">
      <c r="B448" s="6">
        <v>450</v>
      </c>
      <c r="C448" s="6"/>
      <c r="D448" s="6"/>
      <c r="E448" s="233"/>
      <c r="F448" s="6"/>
      <c r="G448" s="6"/>
      <c r="H448" s="6"/>
    </row>
    <row r="449" spans="2:8" x14ac:dyDescent="0.3">
      <c r="B449" s="6">
        <v>451</v>
      </c>
      <c r="C449" s="6"/>
      <c r="D449" s="6"/>
      <c r="E449" s="233"/>
      <c r="F449" s="6"/>
      <c r="G449" s="6"/>
      <c r="H449" s="6"/>
    </row>
    <row r="450" spans="2:8" x14ac:dyDescent="0.3">
      <c r="B450" s="6">
        <v>452</v>
      </c>
      <c r="C450" s="6"/>
      <c r="D450" s="6"/>
      <c r="E450" s="233"/>
      <c r="F450" s="6"/>
      <c r="G450" s="6"/>
      <c r="H450" s="6"/>
    </row>
    <row r="451" spans="2:8" x14ac:dyDescent="0.3">
      <c r="B451" s="6">
        <v>453</v>
      </c>
      <c r="C451" s="6"/>
      <c r="D451" s="6"/>
      <c r="E451" s="233"/>
      <c r="F451" s="6"/>
      <c r="G451" s="6"/>
      <c r="H451" s="6"/>
    </row>
    <row r="452" spans="2:8" x14ac:dyDescent="0.3">
      <c r="B452" s="6">
        <v>454</v>
      </c>
      <c r="C452" s="6"/>
      <c r="D452" s="6"/>
      <c r="E452" s="233"/>
      <c r="F452" s="6"/>
      <c r="G452" s="6"/>
      <c r="H452" s="6"/>
    </row>
    <row r="453" spans="2:8" x14ac:dyDescent="0.3">
      <c r="B453" s="6">
        <v>455</v>
      </c>
      <c r="C453" s="6"/>
      <c r="D453" s="6"/>
      <c r="E453" s="233"/>
      <c r="F453" s="6"/>
      <c r="G453" s="6"/>
      <c r="H453" s="6"/>
    </row>
    <row r="454" spans="2:8" x14ac:dyDescent="0.3">
      <c r="B454" s="6">
        <v>456</v>
      </c>
      <c r="C454" s="6"/>
      <c r="D454" s="6"/>
      <c r="E454" s="233"/>
      <c r="F454" s="6"/>
      <c r="G454" s="6"/>
      <c r="H454" s="6"/>
    </row>
    <row r="455" spans="2:8" x14ac:dyDescent="0.3">
      <c r="B455" s="6">
        <v>457</v>
      </c>
      <c r="C455" s="6"/>
      <c r="D455" s="6"/>
      <c r="E455" s="233"/>
      <c r="F455" s="6"/>
      <c r="G455" s="6"/>
      <c r="H455" s="6"/>
    </row>
    <row r="456" spans="2:8" x14ac:dyDescent="0.3">
      <c r="B456" s="6">
        <v>458</v>
      </c>
      <c r="C456" s="6"/>
      <c r="D456" s="6"/>
      <c r="E456" s="233"/>
      <c r="F456" s="6"/>
      <c r="G456" s="6"/>
      <c r="H456" s="6"/>
    </row>
    <row r="457" spans="2:8" x14ac:dyDescent="0.3">
      <c r="B457" s="6">
        <v>459</v>
      </c>
      <c r="C457" s="6"/>
      <c r="D457" s="6"/>
      <c r="E457" s="233"/>
      <c r="F457" s="6"/>
      <c r="G457" s="6"/>
      <c r="H457" s="6"/>
    </row>
    <row r="458" spans="2:8" x14ac:dyDescent="0.3">
      <c r="B458" s="6">
        <v>460</v>
      </c>
      <c r="C458" s="6"/>
      <c r="D458" s="6"/>
      <c r="E458" s="233"/>
      <c r="F458" s="6"/>
      <c r="G458" s="6"/>
      <c r="H458" s="6"/>
    </row>
    <row r="459" spans="2:8" x14ac:dyDescent="0.3">
      <c r="B459" s="6">
        <v>461</v>
      </c>
      <c r="C459" s="6"/>
      <c r="D459" s="6"/>
      <c r="E459" s="233"/>
      <c r="F459" s="6"/>
      <c r="G459" s="6"/>
      <c r="H459" s="6"/>
    </row>
    <row r="460" spans="2:8" x14ac:dyDescent="0.3">
      <c r="B460" s="6">
        <v>462</v>
      </c>
      <c r="C460" s="6"/>
      <c r="D460" s="6"/>
      <c r="E460" s="233"/>
      <c r="F460" s="6"/>
      <c r="G460" s="6"/>
      <c r="H460" s="6"/>
    </row>
    <row r="461" spans="2:8" x14ac:dyDescent="0.3">
      <c r="B461" s="6">
        <v>463</v>
      </c>
      <c r="C461" s="6"/>
      <c r="D461" s="6"/>
      <c r="E461" s="233"/>
      <c r="F461" s="6"/>
      <c r="G461" s="6"/>
      <c r="H461" s="6"/>
    </row>
    <row r="462" spans="2:8" x14ac:dyDescent="0.3">
      <c r="B462" s="6">
        <v>464</v>
      </c>
      <c r="C462" s="6"/>
      <c r="D462" s="6"/>
      <c r="E462" s="233"/>
      <c r="F462" s="6"/>
      <c r="G462" s="6"/>
      <c r="H462" s="6"/>
    </row>
    <row r="463" spans="2:8" x14ac:dyDescent="0.3">
      <c r="B463" s="6">
        <v>465</v>
      </c>
      <c r="C463" s="6"/>
      <c r="D463" s="6"/>
      <c r="E463" s="233"/>
      <c r="F463" s="6"/>
      <c r="G463" s="6"/>
      <c r="H463" s="6"/>
    </row>
    <row r="464" spans="2:8" x14ac:dyDescent="0.3">
      <c r="B464" s="6">
        <v>466</v>
      </c>
      <c r="C464" s="6"/>
      <c r="D464" s="6"/>
      <c r="E464" s="233"/>
      <c r="F464" s="6"/>
      <c r="G464" s="6"/>
      <c r="H464" s="6"/>
    </row>
    <row r="465" spans="2:8" x14ac:dyDescent="0.3">
      <c r="B465" s="6">
        <v>467</v>
      </c>
      <c r="C465" s="6"/>
      <c r="D465" s="6"/>
      <c r="E465" s="233"/>
      <c r="F465" s="6"/>
      <c r="G465" s="6"/>
      <c r="H465" s="6"/>
    </row>
    <row r="466" spans="2:8" x14ac:dyDescent="0.3">
      <c r="B466" s="6">
        <v>468</v>
      </c>
      <c r="C466" s="6"/>
      <c r="D466" s="6"/>
      <c r="E466" s="233"/>
      <c r="F466" s="6"/>
      <c r="G466" s="6"/>
      <c r="H466" s="6"/>
    </row>
    <row r="467" spans="2:8" x14ac:dyDescent="0.3">
      <c r="B467" s="6">
        <v>469</v>
      </c>
      <c r="C467" s="6"/>
      <c r="D467" s="6"/>
      <c r="E467" s="233"/>
      <c r="F467" s="6"/>
      <c r="G467" s="6"/>
      <c r="H467" s="6"/>
    </row>
    <row r="468" spans="2:8" x14ac:dyDescent="0.3">
      <c r="B468" s="6">
        <v>470</v>
      </c>
      <c r="C468" s="6"/>
      <c r="D468" s="6"/>
      <c r="E468" s="233"/>
      <c r="F468" s="6"/>
      <c r="G468" s="6"/>
      <c r="H468" s="6"/>
    </row>
    <row r="469" spans="2:8" x14ac:dyDescent="0.3">
      <c r="B469" s="6">
        <v>471</v>
      </c>
      <c r="C469" s="6"/>
      <c r="D469" s="6"/>
      <c r="E469" s="233"/>
      <c r="F469" s="6"/>
      <c r="G469" s="6"/>
      <c r="H469" s="6"/>
    </row>
    <row r="470" spans="2:8" x14ac:dyDescent="0.3">
      <c r="B470" s="6">
        <v>472</v>
      </c>
      <c r="C470" s="6"/>
      <c r="D470" s="6"/>
      <c r="E470" s="233"/>
      <c r="F470" s="6"/>
      <c r="G470" s="6"/>
      <c r="H470" s="6"/>
    </row>
    <row r="471" spans="2:8" x14ac:dyDescent="0.3">
      <c r="B471" s="6">
        <v>473</v>
      </c>
      <c r="C471" s="6"/>
      <c r="D471" s="6"/>
      <c r="E471" s="233"/>
      <c r="F471" s="6"/>
      <c r="G471" s="6"/>
      <c r="H471" s="6"/>
    </row>
    <row r="472" spans="2:8" x14ac:dyDescent="0.3">
      <c r="B472" s="6">
        <v>474</v>
      </c>
      <c r="C472" s="6"/>
      <c r="D472" s="6"/>
      <c r="E472" s="233"/>
      <c r="F472" s="6"/>
      <c r="G472" s="6"/>
      <c r="H472" s="6"/>
    </row>
    <row r="473" spans="2:8" x14ac:dyDescent="0.3">
      <c r="B473" s="6">
        <v>475</v>
      </c>
      <c r="C473" s="6"/>
      <c r="D473" s="6"/>
      <c r="E473" s="233"/>
      <c r="F473" s="6"/>
      <c r="G473" s="6"/>
      <c r="H473" s="6"/>
    </row>
    <row r="474" spans="2:8" x14ac:dyDescent="0.3">
      <c r="B474" s="6">
        <v>476</v>
      </c>
      <c r="C474" s="6"/>
      <c r="D474" s="6"/>
      <c r="E474" s="233"/>
      <c r="F474" s="6"/>
      <c r="G474" s="6"/>
      <c r="H474" s="6"/>
    </row>
    <row r="475" spans="2:8" x14ac:dyDescent="0.3">
      <c r="B475" s="6">
        <v>477</v>
      </c>
      <c r="C475" s="6"/>
      <c r="D475" s="6"/>
      <c r="E475" s="233"/>
      <c r="F475" s="6"/>
      <c r="G475" s="6"/>
      <c r="H475" s="6"/>
    </row>
    <row r="476" spans="2:8" x14ac:dyDescent="0.3">
      <c r="B476" s="6">
        <v>478</v>
      </c>
      <c r="C476" s="6"/>
      <c r="D476" s="6"/>
      <c r="E476" s="233"/>
      <c r="F476" s="6"/>
      <c r="G476" s="6"/>
      <c r="H476" s="6"/>
    </row>
    <row r="477" spans="2:8" x14ac:dyDescent="0.3">
      <c r="B477" s="6">
        <v>479</v>
      </c>
      <c r="C477" s="6"/>
      <c r="D477" s="6"/>
      <c r="E477" s="233"/>
      <c r="F477" s="6"/>
      <c r="G477" s="6"/>
      <c r="H477" s="6"/>
    </row>
    <row r="478" spans="2:8" x14ac:dyDescent="0.3">
      <c r="B478" s="6">
        <v>480</v>
      </c>
      <c r="C478" s="6"/>
      <c r="D478" s="6"/>
      <c r="E478" s="233"/>
      <c r="F478" s="6"/>
      <c r="G478" s="6"/>
      <c r="H478" s="6"/>
    </row>
    <row r="479" spans="2:8" x14ac:dyDescent="0.3">
      <c r="B479" s="6">
        <v>481</v>
      </c>
      <c r="C479" s="6"/>
      <c r="D479" s="6"/>
      <c r="E479" s="233"/>
      <c r="F479" s="6"/>
      <c r="G479" s="6"/>
      <c r="H479" s="6"/>
    </row>
    <row r="480" spans="2:8" x14ac:dyDescent="0.3">
      <c r="B480" s="6">
        <v>482</v>
      </c>
      <c r="C480" s="6"/>
      <c r="D480" s="6"/>
      <c r="E480" s="233"/>
      <c r="F480" s="6"/>
      <c r="G480" s="6"/>
      <c r="H480" s="6"/>
    </row>
    <row r="481" spans="2:8" x14ac:dyDescent="0.3">
      <c r="B481" s="6">
        <v>483</v>
      </c>
      <c r="C481" s="6"/>
      <c r="D481" s="6"/>
      <c r="E481" s="233"/>
      <c r="F481" s="6"/>
      <c r="G481" s="6"/>
      <c r="H481" s="6"/>
    </row>
    <row r="482" spans="2:8" x14ac:dyDescent="0.3">
      <c r="B482" s="6">
        <v>484</v>
      </c>
      <c r="C482" s="6"/>
      <c r="D482" s="6"/>
      <c r="E482" s="233"/>
      <c r="F482" s="6"/>
      <c r="G482" s="6"/>
      <c r="H482" s="6"/>
    </row>
    <row r="483" spans="2:8" x14ac:dyDescent="0.3">
      <c r="B483" s="6">
        <v>485</v>
      </c>
      <c r="C483" s="6"/>
      <c r="D483" s="6"/>
      <c r="E483" s="233"/>
      <c r="F483" s="6"/>
      <c r="G483" s="6"/>
      <c r="H483" s="6"/>
    </row>
    <row r="484" spans="2:8" x14ac:dyDescent="0.3">
      <c r="B484" s="6">
        <v>486</v>
      </c>
      <c r="C484" s="6"/>
      <c r="D484" s="6"/>
      <c r="E484" s="233"/>
      <c r="F484" s="6"/>
      <c r="G484" s="6"/>
      <c r="H484" s="6"/>
    </row>
    <row r="485" spans="2:8" x14ac:dyDescent="0.3">
      <c r="B485" s="6">
        <v>487</v>
      </c>
      <c r="C485" s="6"/>
      <c r="D485" s="6"/>
      <c r="E485" s="233"/>
      <c r="F485" s="6"/>
      <c r="G485" s="6"/>
      <c r="H485" s="6"/>
    </row>
    <row r="486" spans="2:8" x14ac:dyDescent="0.3">
      <c r="B486" s="6">
        <v>488</v>
      </c>
      <c r="C486" s="6"/>
      <c r="D486" s="6"/>
      <c r="E486" s="233"/>
      <c r="F486" s="6"/>
      <c r="G486" s="6"/>
      <c r="H486" s="6"/>
    </row>
    <row r="487" spans="2:8" x14ac:dyDescent="0.3">
      <c r="B487" s="6">
        <v>489</v>
      </c>
      <c r="C487" s="6"/>
      <c r="D487" s="6"/>
      <c r="E487" s="233"/>
      <c r="F487" s="6"/>
      <c r="G487" s="6"/>
      <c r="H487" s="6"/>
    </row>
    <row r="488" spans="2:8" x14ac:dyDescent="0.3">
      <c r="B488" s="6">
        <v>490</v>
      </c>
      <c r="C488" s="6"/>
      <c r="D488" s="6"/>
      <c r="E488" s="233"/>
      <c r="F488" s="6"/>
      <c r="G488" s="6"/>
      <c r="H488" s="6"/>
    </row>
    <row r="489" spans="2:8" x14ac:dyDescent="0.3">
      <c r="B489" s="6">
        <v>491</v>
      </c>
      <c r="C489" s="6"/>
      <c r="D489" s="6"/>
      <c r="E489" s="233"/>
      <c r="F489" s="6"/>
      <c r="G489" s="6"/>
      <c r="H489" s="6"/>
    </row>
    <row r="490" spans="2:8" x14ac:dyDescent="0.3">
      <c r="B490" s="6">
        <v>492</v>
      </c>
      <c r="C490" s="6"/>
      <c r="D490" s="6"/>
      <c r="E490" s="233"/>
      <c r="F490" s="6"/>
      <c r="G490" s="6"/>
      <c r="H490" s="6"/>
    </row>
    <row r="491" spans="2:8" x14ac:dyDescent="0.3">
      <c r="B491" s="6">
        <v>493</v>
      </c>
      <c r="C491" s="6"/>
      <c r="D491" s="6"/>
      <c r="E491" s="233"/>
      <c r="F491" s="6"/>
      <c r="G491" s="6"/>
      <c r="H491" s="6"/>
    </row>
    <row r="492" spans="2:8" x14ac:dyDescent="0.3">
      <c r="B492" s="6">
        <v>494</v>
      </c>
      <c r="C492" s="6"/>
      <c r="D492" s="6"/>
      <c r="E492" s="233"/>
      <c r="F492" s="6"/>
      <c r="G492" s="6"/>
      <c r="H492" s="6"/>
    </row>
    <row r="493" spans="2:8" x14ac:dyDescent="0.3">
      <c r="B493" s="6">
        <v>495</v>
      </c>
      <c r="C493" s="6"/>
      <c r="D493" s="6"/>
      <c r="E493" s="233"/>
      <c r="F493" s="6"/>
      <c r="G493" s="6"/>
      <c r="H493" s="6"/>
    </row>
    <row r="494" spans="2:8" x14ac:dyDescent="0.3">
      <c r="B494" s="6">
        <v>496</v>
      </c>
      <c r="C494" s="6"/>
      <c r="D494" s="6"/>
      <c r="E494" s="233"/>
      <c r="F494" s="6"/>
      <c r="G494" s="6"/>
      <c r="H494" s="6"/>
    </row>
    <row r="495" spans="2:8" x14ac:dyDescent="0.3">
      <c r="B495" s="6">
        <v>497</v>
      </c>
      <c r="C495" s="6"/>
      <c r="D495" s="6"/>
      <c r="E495" s="233"/>
      <c r="F495" s="6"/>
      <c r="G495" s="6"/>
      <c r="H495" s="6"/>
    </row>
    <row r="496" spans="2:8" x14ac:dyDescent="0.3">
      <c r="B496" s="6">
        <v>498</v>
      </c>
      <c r="C496" s="6"/>
      <c r="D496" s="6"/>
      <c r="E496" s="233"/>
      <c r="F496" s="6"/>
      <c r="G496" s="6"/>
      <c r="H496" s="6"/>
    </row>
    <row r="497" spans="2:8" x14ac:dyDescent="0.3">
      <c r="B497" s="6">
        <v>499</v>
      </c>
      <c r="C497" s="6"/>
      <c r="D497" s="6"/>
      <c r="E497" s="233"/>
      <c r="F497" s="6"/>
      <c r="G497" s="6"/>
      <c r="H497" s="6"/>
    </row>
    <row r="498" spans="2:8" x14ac:dyDescent="0.3">
      <c r="B498" s="6">
        <v>500</v>
      </c>
      <c r="C498" s="6"/>
      <c r="D498" s="6"/>
      <c r="E498" s="233"/>
      <c r="F498" s="6"/>
      <c r="G498" s="6"/>
      <c r="H498" s="6"/>
    </row>
    <row r="499" spans="2:8" x14ac:dyDescent="0.3">
      <c r="B499" s="6">
        <v>501</v>
      </c>
      <c r="C499" s="6"/>
      <c r="D499" s="6"/>
      <c r="E499" s="233"/>
      <c r="F499" s="6"/>
      <c r="G499" s="6"/>
      <c r="H499" s="6"/>
    </row>
    <row r="500" spans="2:8" x14ac:dyDescent="0.3">
      <c r="B500" s="6">
        <v>502</v>
      </c>
      <c r="C500" s="6"/>
      <c r="D500" s="6"/>
      <c r="E500" s="233"/>
      <c r="F500" s="6"/>
      <c r="G500" s="6"/>
      <c r="H500" s="6"/>
    </row>
    <row r="501" spans="2:8" x14ac:dyDescent="0.3">
      <c r="B501" s="6">
        <v>503</v>
      </c>
      <c r="C501" s="6"/>
      <c r="D501" s="6"/>
      <c r="E501" s="233"/>
      <c r="F501" s="6"/>
      <c r="G501" s="6"/>
      <c r="H501" s="6"/>
    </row>
    <row r="502" spans="2:8" x14ac:dyDescent="0.3">
      <c r="B502" s="6">
        <v>504</v>
      </c>
      <c r="C502" s="6"/>
      <c r="D502" s="6"/>
      <c r="E502" s="233"/>
      <c r="F502" s="6"/>
      <c r="G502" s="6"/>
      <c r="H502" s="6"/>
    </row>
    <row r="503" spans="2:8" x14ac:dyDescent="0.3">
      <c r="B503" s="6">
        <v>505</v>
      </c>
      <c r="C503" s="6"/>
      <c r="D503" s="6"/>
      <c r="E503" s="233"/>
      <c r="F503" s="6"/>
      <c r="G503" s="6"/>
      <c r="H503" s="6"/>
    </row>
    <row r="504" spans="2:8" x14ac:dyDescent="0.3">
      <c r="B504" s="6">
        <v>506</v>
      </c>
      <c r="C504" s="6"/>
      <c r="D504" s="6"/>
      <c r="E504" s="233"/>
      <c r="F504" s="6"/>
      <c r="G504" s="6"/>
      <c r="H504" s="6"/>
    </row>
    <row r="505" spans="2:8" x14ac:dyDescent="0.3">
      <c r="B505" s="6">
        <v>507</v>
      </c>
      <c r="C505" s="6"/>
      <c r="D505" s="6"/>
      <c r="E505" s="233"/>
      <c r="F505" s="6"/>
      <c r="G505" s="6"/>
      <c r="H505" s="6"/>
    </row>
    <row r="506" spans="2:8" x14ac:dyDescent="0.3">
      <c r="B506" s="6">
        <v>508</v>
      </c>
      <c r="C506" s="6"/>
      <c r="D506" s="6"/>
      <c r="E506" s="233"/>
      <c r="F506" s="6"/>
      <c r="G506" s="6"/>
      <c r="H506" s="6"/>
    </row>
    <row r="507" spans="2:8" x14ac:dyDescent="0.3">
      <c r="B507" s="6">
        <v>509</v>
      </c>
      <c r="C507" s="6"/>
      <c r="D507" s="6"/>
      <c r="E507" s="233"/>
      <c r="F507" s="6"/>
      <c r="G507" s="6"/>
      <c r="H507" s="6"/>
    </row>
    <row r="508" spans="2:8" x14ac:dyDescent="0.3">
      <c r="B508" s="6">
        <v>510</v>
      </c>
      <c r="C508" s="6"/>
      <c r="D508" s="6"/>
      <c r="E508" s="233"/>
      <c r="F508" s="6"/>
      <c r="G508" s="6"/>
      <c r="H508" s="6"/>
    </row>
    <row r="509" spans="2:8" x14ac:dyDescent="0.3">
      <c r="B509" s="6">
        <v>511</v>
      </c>
      <c r="C509" s="6"/>
      <c r="D509" s="6"/>
      <c r="E509" s="233"/>
      <c r="F509" s="6"/>
      <c r="G509" s="6"/>
      <c r="H509" s="6"/>
    </row>
    <row r="510" spans="2:8" x14ac:dyDescent="0.3">
      <c r="B510" s="6">
        <v>512</v>
      </c>
      <c r="C510" s="6"/>
      <c r="D510" s="6"/>
      <c r="E510" s="233"/>
      <c r="F510" s="6"/>
      <c r="G510" s="6"/>
      <c r="H510" s="6"/>
    </row>
    <row r="511" spans="2:8" x14ac:dyDescent="0.3">
      <c r="B511" s="6">
        <v>513</v>
      </c>
      <c r="C511" s="6"/>
      <c r="D511" s="6"/>
      <c r="E511" s="233"/>
      <c r="F511" s="6"/>
      <c r="G511" s="6"/>
      <c r="H511" s="6"/>
    </row>
    <row r="512" spans="2:8" x14ac:dyDescent="0.3">
      <c r="B512" s="6">
        <v>514</v>
      </c>
      <c r="C512" s="6"/>
      <c r="D512" s="6"/>
      <c r="E512" s="233"/>
      <c r="F512" s="6"/>
      <c r="G512" s="6"/>
      <c r="H512" s="6"/>
    </row>
    <row r="513" spans="2:8" x14ac:dyDescent="0.3">
      <c r="B513" s="6">
        <v>515</v>
      </c>
      <c r="C513" s="6"/>
      <c r="D513" s="6"/>
      <c r="E513" s="233"/>
      <c r="F513" s="6"/>
      <c r="G513" s="6"/>
      <c r="H513" s="6"/>
    </row>
    <row r="514" spans="2:8" x14ac:dyDescent="0.3">
      <c r="B514" s="6">
        <v>516</v>
      </c>
      <c r="C514" s="6"/>
      <c r="D514" s="6"/>
      <c r="E514" s="233"/>
      <c r="F514" s="6"/>
      <c r="G514" s="6"/>
      <c r="H514" s="6"/>
    </row>
    <row r="515" spans="2:8" x14ac:dyDescent="0.3">
      <c r="B515" s="6">
        <v>517</v>
      </c>
      <c r="C515" s="6"/>
      <c r="D515" s="6"/>
      <c r="E515" s="233"/>
      <c r="F515" s="6"/>
      <c r="G515" s="6"/>
      <c r="H515" s="6"/>
    </row>
    <row r="516" spans="2:8" x14ac:dyDescent="0.3">
      <c r="B516" s="6">
        <v>518</v>
      </c>
      <c r="C516" s="6"/>
      <c r="D516" s="6"/>
      <c r="E516" s="233"/>
      <c r="F516" s="6"/>
      <c r="G516" s="6"/>
      <c r="H516" s="6"/>
    </row>
    <row r="517" spans="2:8" x14ac:dyDescent="0.3">
      <c r="B517" s="6">
        <v>519</v>
      </c>
      <c r="C517" s="6"/>
      <c r="D517" s="6"/>
      <c r="E517" s="233"/>
      <c r="F517" s="6"/>
      <c r="G517" s="6"/>
      <c r="H517" s="6"/>
    </row>
    <row r="518" spans="2:8" x14ac:dyDescent="0.3">
      <c r="B518" s="6">
        <v>520</v>
      </c>
      <c r="C518" s="6"/>
      <c r="D518" s="6"/>
      <c r="E518" s="233"/>
      <c r="F518" s="6"/>
      <c r="G518" s="6"/>
      <c r="H518" s="6"/>
    </row>
    <row r="519" spans="2:8" x14ac:dyDescent="0.3">
      <c r="B519" s="6">
        <v>521</v>
      </c>
      <c r="C519" s="6"/>
      <c r="D519" s="6"/>
      <c r="E519" s="233"/>
      <c r="F519" s="6"/>
      <c r="G519" s="6"/>
      <c r="H519" s="6"/>
    </row>
    <row r="520" spans="2:8" x14ac:dyDescent="0.3">
      <c r="B520" s="6">
        <v>522</v>
      </c>
      <c r="C520" s="6"/>
      <c r="D520" s="6"/>
      <c r="E520" s="233"/>
      <c r="F520" s="6"/>
      <c r="G520" s="6"/>
      <c r="H520" s="6"/>
    </row>
    <row r="521" spans="2:8" x14ac:dyDescent="0.3">
      <c r="B521" s="6">
        <v>523</v>
      </c>
      <c r="C521" s="6"/>
      <c r="D521" s="6"/>
      <c r="E521" s="233"/>
      <c r="F521" s="6"/>
      <c r="G521" s="6"/>
      <c r="H521" s="6"/>
    </row>
    <row r="522" spans="2:8" x14ac:dyDescent="0.3">
      <c r="B522" s="6">
        <v>524</v>
      </c>
      <c r="C522" s="6"/>
      <c r="D522" s="6"/>
      <c r="E522" s="233"/>
      <c r="F522" s="6"/>
      <c r="G522" s="6"/>
      <c r="H522" s="6"/>
    </row>
    <row r="523" spans="2:8" x14ac:dyDescent="0.3">
      <c r="B523" s="6">
        <v>525</v>
      </c>
      <c r="C523" s="6"/>
      <c r="D523" s="6"/>
      <c r="E523" s="233"/>
      <c r="F523" s="6"/>
      <c r="G523" s="6"/>
      <c r="H523" s="6"/>
    </row>
    <row r="524" spans="2:8" x14ac:dyDescent="0.3">
      <c r="B524" s="6">
        <v>526</v>
      </c>
      <c r="C524" s="6"/>
      <c r="D524" s="6"/>
      <c r="E524" s="233"/>
      <c r="F524" s="6"/>
      <c r="G524" s="6"/>
      <c r="H524" s="6"/>
    </row>
    <row r="525" spans="2:8" x14ac:dyDescent="0.3">
      <c r="B525" s="6">
        <v>527</v>
      </c>
      <c r="C525" s="6"/>
      <c r="D525" s="6"/>
      <c r="E525" s="233"/>
      <c r="F525" s="6"/>
      <c r="G525" s="6"/>
      <c r="H525" s="6"/>
    </row>
    <row r="526" spans="2:8" x14ac:dyDescent="0.3">
      <c r="B526" s="6">
        <v>528</v>
      </c>
      <c r="C526" s="6"/>
      <c r="D526" s="6"/>
      <c r="E526" s="233"/>
      <c r="F526" s="6"/>
      <c r="G526" s="6"/>
      <c r="H526" s="6"/>
    </row>
    <row r="527" spans="2:8" x14ac:dyDescent="0.3">
      <c r="B527" s="6">
        <v>529</v>
      </c>
      <c r="C527" s="6"/>
      <c r="D527" s="6"/>
      <c r="E527" s="233"/>
      <c r="F527" s="6"/>
      <c r="G527" s="6"/>
      <c r="H527" s="6"/>
    </row>
    <row r="528" spans="2:8" x14ac:dyDescent="0.3">
      <c r="B528" s="6">
        <v>530</v>
      </c>
      <c r="C528" s="6"/>
      <c r="D528" s="6"/>
      <c r="E528" s="233"/>
      <c r="F528" s="6"/>
      <c r="G528" s="6"/>
      <c r="H528" s="6"/>
    </row>
    <row r="529" spans="2:8" x14ac:dyDescent="0.3">
      <c r="B529" s="6">
        <v>531</v>
      </c>
      <c r="C529" s="6"/>
      <c r="D529" s="6"/>
      <c r="E529" s="233"/>
      <c r="F529" s="6"/>
      <c r="G529" s="6"/>
      <c r="H529" s="6"/>
    </row>
    <row r="530" spans="2:8" x14ac:dyDescent="0.3">
      <c r="B530" s="6">
        <v>532</v>
      </c>
      <c r="C530" s="6"/>
      <c r="D530" s="6"/>
      <c r="E530" s="233"/>
      <c r="F530" s="6"/>
      <c r="G530" s="6"/>
      <c r="H530" s="6"/>
    </row>
    <row r="531" spans="2:8" x14ac:dyDescent="0.3">
      <c r="B531" s="6">
        <v>533</v>
      </c>
      <c r="C531" s="6"/>
      <c r="D531" s="6"/>
      <c r="E531" s="233"/>
      <c r="F531" s="6"/>
      <c r="G531" s="6"/>
      <c r="H531" s="6"/>
    </row>
    <row r="532" spans="2:8" x14ac:dyDescent="0.3">
      <c r="B532" s="6">
        <v>534</v>
      </c>
      <c r="C532" s="6"/>
      <c r="D532" s="6"/>
      <c r="E532" s="233"/>
      <c r="F532" s="6"/>
      <c r="G532" s="6"/>
      <c r="H532" s="6"/>
    </row>
    <row r="533" spans="2:8" x14ac:dyDescent="0.3">
      <c r="B533" s="6">
        <v>535</v>
      </c>
      <c r="C533" s="6"/>
      <c r="D533" s="6"/>
      <c r="E533" s="233"/>
      <c r="F533" s="6"/>
      <c r="G533" s="6"/>
      <c r="H533" s="6"/>
    </row>
    <row r="534" spans="2:8" x14ac:dyDescent="0.3">
      <c r="B534" s="6">
        <v>536</v>
      </c>
      <c r="C534" s="6"/>
      <c r="D534" s="6"/>
      <c r="E534" s="233"/>
      <c r="F534" s="6"/>
      <c r="G534" s="6"/>
      <c r="H534" s="6"/>
    </row>
    <row r="535" spans="2:8" x14ac:dyDescent="0.3">
      <c r="B535" s="6">
        <v>537</v>
      </c>
      <c r="C535" s="6"/>
      <c r="D535" s="6"/>
      <c r="E535" s="233"/>
      <c r="F535" s="6"/>
      <c r="G535" s="6"/>
      <c r="H535" s="6"/>
    </row>
    <row r="536" spans="2:8" x14ac:dyDescent="0.3">
      <c r="B536" s="6">
        <v>538</v>
      </c>
      <c r="C536" s="6"/>
      <c r="D536" s="6"/>
      <c r="E536" s="233"/>
      <c r="F536" s="6"/>
      <c r="G536" s="6"/>
      <c r="H536" s="6"/>
    </row>
    <row r="537" spans="2:8" x14ac:dyDescent="0.3">
      <c r="B537" s="6">
        <v>539</v>
      </c>
      <c r="C537" s="6"/>
      <c r="D537" s="6"/>
      <c r="E537" s="233"/>
      <c r="F537" s="6"/>
      <c r="G537" s="6"/>
      <c r="H537" s="6"/>
    </row>
    <row r="538" spans="2:8" x14ac:dyDescent="0.3">
      <c r="B538" s="6">
        <v>540</v>
      </c>
      <c r="C538" s="6"/>
      <c r="D538" s="6"/>
      <c r="E538" s="233"/>
      <c r="F538" s="6"/>
      <c r="G538" s="6"/>
      <c r="H538" s="6"/>
    </row>
    <row r="539" spans="2:8" x14ac:dyDescent="0.3">
      <c r="B539" s="6">
        <v>541</v>
      </c>
      <c r="C539" s="6"/>
      <c r="D539" s="6"/>
      <c r="E539" s="233"/>
      <c r="F539" s="6"/>
      <c r="G539" s="6"/>
      <c r="H539" s="6"/>
    </row>
    <row r="540" spans="2:8" x14ac:dyDescent="0.3">
      <c r="B540" s="6">
        <v>542</v>
      </c>
      <c r="C540" s="6"/>
      <c r="D540" s="6"/>
      <c r="E540" s="233"/>
      <c r="F540" s="6"/>
      <c r="G540" s="6"/>
      <c r="H540" s="6"/>
    </row>
    <row r="541" spans="2:8" x14ac:dyDescent="0.3">
      <c r="B541" s="6">
        <v>543</v>
      </c>
      <c r="C541" s="6"/>
      <c r="D541" s="6"/>
      <c r="E541" s="233"/>
      <c r="F541" s="6"/>
      <c r="G541" s="6"/>
      <c r="H541" s="6"/>
    </row>
    <row r="542" spans="2:8" x14ac:dyDescent="0.3">
      <c r="B542" s="6">
        <v>544</v>
      </c>
      <c r="C542" s="6"/>
      <c r="D542" s="6"/>
      <c r="E542" s="233"/>
      <c r="F542" s="6"/>
      <c r="G542" s="6"/>
      <c r="H542" s="6"/>
    </row>
    <row r="543" spans="2:8" x14ac:dyDescent="0.3">
      <c r="B543" s="6">
        <v>545</v>
      </c>
      <c r="C543" s="6"/>
      <c r="D543" s="6"/>
      <c r="E543" s="233"/>
      <c r="F543" s="6"/>
      <c r="G543" s="6"/>
      <c r="H543" s="6"/>
    </row>
    <row r="544" spans="2:8" x14ac:dyDescent="0.3">
      <c r="B544" s="6">
        <v>546</v>
      </c>
      <c r="C544" s="6"/>
      <c r="D544" s="6"/>
      <c r="E544" s="233"/>
      <c r="F544" s="6"/>
      <c r="G544" s="6"/>
      <c r="H544" s="6"/>
    </row>
    <row r="545" spans="2:8" x14ac:dyDescent="0.3">
      <c r="B545" s="6">
        <v>547</v>
      </c>
      <c r="C545" s="6"/>
      <c r="D545" s="6"/>
      <c r="E545" s="233"/>
      <c r="F545" s="6"/>
      <c r="G545" s="6"/>
      <c r="H545" s="6"/>
    </row>
    <row r="546" spans="2:8" x14ac:dyDescent="0.3">
      <c r="B546" s="6">
        <v>548</v>
      </c>
      <c r="C546" s="6"/>
      <c r="D546" s="6"/>
      <c r="E546" s="233"/>
      <c r="F546" s="6"/>
      <c r="G546" s="6"/>
      <c r="H546" s="6"/>
    </row>
    <row r="547" spans="2:8" x14ac:dyDescent="0.3">
      <c r="B547" s="6">
        <v>549</v>
      </c>
      <c r="C547" s="6"/>
      <c r="D547" s="6"/>
      <c r="E547" s="233"/>
      <c r="F547" s="6"/>
      <c r="G547" s="6"/>
      <c r="H547" s="6"/>
    </row>
    <row r="548" spans="2:8" x14ac:dyDescent="0.3">
      <c r="B548" s="6">
        <v>550</v>
      </c>
      <c r="C548" s="6"/>
      <c r="D548" s="6"/>
      <c r="E548" s="233"/>
      <c r="F548" s="6"/>
      <c r="G548" s="6"/>
      <c r="H548" s="6"/>
    </row>
    <row r="549" spans="2:8" x14ac:dyDescent="0.3">
      <c r="B549" s="6">
        <v>551</v>
      </c>
      <c r="C549" s="6"/>
      <c r="D549" s="6"/>
      <c r="E549" s="233"/>
      <c r="F549" s="6"/>
      <c r="G549" s="6"/>
      <c r="H549" s="6"/>
    </row>
    <row r="550" spans="2:8" x14ac:dyDescent="0.3">
      <c r="B550" s="6">
        <v>552</v>
      </c>
      <c r="C550" s="6"/>
      <c r="D550" s="6"/>
      <c r="E550" s="233"/>
      <c r="F550" s="6"/>
      <c r="G550" s="6"/>
      <c r="H550" s="6"/>
    </row>
    <row r="551" spans="2:8" x14ac:dyDescent="0.3">
      <c r="B551" s="6">
        <v>553</v>
      </c>
      <c r="C551" s="6"/>
      <c r="D551" s="6"/>
      <c r="E551" s="233"/>
      <c r="F551" s="6"/>
      <c r="G551" s="6"/>
      <c r="H551" s="6"/>
    </row>
    <row r="552" spans="2:8" x14ac:dyDescent="0.3">
      <c r="B552" s="6">
        <v>554</v>
      </c>
      <c r="C552" s="6"/>
      <c r="D552" s="6"/>
      <c r="E552" s="233"/>
      <c r="F552" s="6"/>
      <c r="G552" s="6"/>
      <c r="H552" s="6"/>
    </row>
    <row r="553" spans="2:8" x14ac:dyDescent="0.3">
      <c r="B553" s="6">
        <v>555</v>
      </c>
      <c r="C553" s="6"/>
      <c r="D553" s="6"/>
      <c r="E553" s="233"/>
      <c r="F553" s="6"/>
      <c r="G553" s="6"/>
      <c r="H553" s="6"/>
    </row>
    <row r="554" spans="2:8" x14ac:dyDescent="0.3">
      <c r="B554" s="6">
        <v>556</v>
      </c>
      <c r="C554" s="6"/>
      <c r="D554" s="6"/>
      <c r="E554" s="233"/>
      <c r="F554" s="6"/>
      <c r="G554" s="6"/>
      <c r="H554" s="6"/>
    </row>
    <row r="555" spans="2:8" x14ac:dyDescent="0.3">
      <c r="B555" s="6">
        <v>557</v>
      </c>
      <c r="C555" s="6"/>
      <c r="D555" s="6"/>
      <c r="E555" s="233"/>
      <c r="F555" s="6"/>
      <c r="G555" s="6"/>
      <c r="H555" s="6"/>
    </row>
    <row r="556" spans="2:8" x14ac:dyDescent="0.3">
      <c r="B556" s="6">
        <v>558</v>
      </c>
      <c r="C556" s="6"/>
      <c r="D556" s="6"/>
      <c r="E556" s="233"/>
      <c r="F556" s="6"/>
      <c r="G556" s="6"/>
      <c r="H556" s="6"/>
    </row>
    <row r="557" spans="2:8" x14ac:dyDescent="0.3">
      <c r="B557" s="6">
        <v>559</v>
      </c>
      <c r="C557" s="6"/>
      <c r="D557" s="6"/>
      <c r="E557" s="233"/>
      <c r="F557" s="6"/>
      <c r="G557" s="6"/>
      <c r="H557" s="6"/>
    </row>
    <row r="558" spans="2:8" x14ac:dyDescent="0.3">
      <c r="B558" s="6">
        <v>560</v>
      </c>
      <c r="C558" s="6"/>
      <c r="D558" s="6"/>
      <c r="E558" s="233"/>
      <c r="F558" s="6"/>
      <c r="G558" s="6"/>
      <c r="H558" s="6"/>
    </row>
    <row r="559" spans="2:8" x14ac:dyDescent="0.3">
      <c r="B559" s="6">
        <v>561</v>
      </c>
      <c r="C559" s="6"/>
      <c r="D559" s="6"/>
      <c r="E559" s="233"/>
      <c r="F559" s="6"/>
      <c r="G559" s="6"/>
      <c r="H559" s="6"/>
    </row>
    <row r="560" spans="2:8" x14ac:dyDescent="0.3">
      <c r="B560" s="6">
        <v>562</v>
      </c>
      <c r="C560" s="6"/>
      <c r="D560" s="6"/>
      <c r="E560" s="233"/>
      <c r="F560" s="6"/>
      <c r="G560" s="6"/>
      <c r="H560" s="6"/>
    </row>
    <row r="561" spans="2:8" x14ac:dyDescent="0.3">
      <c r="B561" s="6">
        <v>563</v>
      </c>
      <c r="C561" s="6"/>
      <c r="D561" s="6"/>
      <c r="E561" s="233"/>
      <c r="F561" s="6"/>
      <c r="G561" s="6"/>
      <c r="H561" s="6"/>
    </row>
    <row r="562" spans="2:8" x14ac:dyDescent="0.3">
      <c r="B562" s="6">
        <v>564</v>
      </c>
      <c r="C562" s="6"/>
      <c r="D562" s="6"/>
      <c r="E562" s="233"/>
      <c r="F562" s="6"/>
      <c r="G562" s="6"/>
      <c r="H562" s="6"/>
    </row>
    <row r="563" spans="2:8" x14ac:dyDescent="0.3">
      <c r="B563" s="6">
        <v>565</v>
      </c>
      <c r="C563" s="6"/>
      <c r="D563" s="6"/>
      <c r="E563" s="233"/>
      <c r="F563" s="6"/>
      <c r="G563" s="6"/>
      <c r="H563" s="6"/>
    </row>
    <row r="564" spans="2:8" x14ac:dyDescent="0.3">
      <c r="B564" s="6">
        <v>566</v>
      </c>
      <c r="C564" s="6"/>
      <c r="D564" s="6"/>
      <c r="E564" s="233"/>
      <c r="F564" s="6"/>
      <c r="G564" s="6"/>
      <c r="H564" s="6"/>
    </row>
    <row r="565" spans="2:8" x14ac:dyDescent="0.3">
      <c r="B565" s="6">
        <v>567</v>
      </c>
      <c r="C565" s="6"/>
      <c r="D565" s="6"/>
      <c r="E565" s="233"/>
      <c r="F565" s="6"/>
      <c r="G565" s="6"/>
      <c r="H565" s="6"/>
    </row>
    <row r="566" spans="2:8" x14ac:dyDescent="0.3">
      <c r="B566" s="6">
        <v>568</v>
      </c>
      <c r="C566" s="6"/>
      <c r="D566" s="6"/>
      <c r="E566" s="233"/>
      <c r="F566" s="6"/>
      <c r="G566" s="6"/>
      <c r="H566" s="6"/>
    </row>
    <row r="567" spans="2:8" x14ac:dyDescent="0.3">
      <c r="B567" s="6">
        <v>569</v>
      </c>
      <c r="C567" s="6"/>
      <c r="D567" s="6"/>
      <c r="E567" s="233"/>
      <c r="F567" s="6"/>
      <c r="G567" s="6"/>
      <c r="H567" s="6"/>
    </row>
    <row r="568" spans="2:8" x14ac:dyDescent="0.3">
      <c r="B568" s="6">
        <v>570</v>
      </c>
      <c r="C568" s="6"/>
      <c r="D568" s="6"/>
      <c r="E568" s="233"/>
      <c r="F568" s="6"/>
      <c r="G568" s="6"/>
      <c r="H568" s="6"/>
    </row>
    <row r="569" spans="2:8" x14ac:dyDescent="0.3">
      <c r="B569" s="6">
        <v>571</v>
      </c>
      <c r="C569" s="6"/>
      <c r="D569" s="6"/>
      <c r="E569" s="233"/>
      <c r="F569" s="6"/>
      <c r="G569" s="6"/>
      <c r="H569" s="6"/>
    </row>
    <row r="570" spans="2:8" x14ac:dyDescent="0.3">
      <c r="B570" s="6">
        <v>572</v>
      </c>
      <c r="C570" s="6"/>
      <c r="D570" s="6"/>
      <c r="E570" s="233"/>
      <c r="F570" s="6"/>
      <c r="G570" s="6"/>
      <c r="H570" s="6"/>
    </row>
    <row r="571" spans="2:8" x14ac:dyDescent="0.3">
      <c r="B571" s="6">
        <v>573</v>
      </c>
      <c r="C571" s="6"/>
      <c r="D571" s="6"/>
      <c r="E571" s="233"/>
      <c r="F571" s="6"/>
      <c r="G571" s="6"/>
      <c r="H571" s="6"/>
    </row>
    <row r="572" spans="2:8" x14ac:dyDescent="0.3">
      <c r="B572" s="6">
        <v>574</v>
      </c>
      <c r="C572" s="6"/>
      <c r="D572" s="6"/>
      <c r="E572" s="233"/>
      <c r="F572" s="6"/>
      <c r="G572" s="6"/>
      <c r="H572" s="6"/>
    </row>
    <row r="573" spans="2:8" x14ac:dyDescent="0.3">
      <c r="B573" s="6">
        <v>575</v>
      </c>
      <c r="C573" s="6"/>
      <c r="D573" s="6"/>
      <c r="E573" s="233"/>
      <c r="F573" s="6"/>
      <c r="G573" s="6"/>
      <c r="H573" s="6"/>
    </row>
    <row r="574" spans="2:8" x14ac:dyDescent="0.3">
      <c r="B574" s="6">
        <v>576</v>
      </c>
      <c r="C574" s="6"/>
      <c r="D574" s="6"/>
      <c r="E574" s="233"/>
      <c r="F574" s="6"/>
      <c r="G574" s="6"/>
      <c r="H574" s="6"/>
    </row>
    <row r="575" spans="2:8" x14ac:dyDescent="0.3">
      <c r="B575" s="6">
        <v>577</v>
      </c>
      <c r="C575" s="6"/>
      <c r="D575" s="6"/>
      <c r="E575" s="233"/>
      <c r="F575" s="6"/>
      <c r="G575" s="6"/>
      <c r="H575" s="6"/>
    </row>
    <row r="576" spans="2:8" x14ac:dyDescent="0.3">
      <c r="B576" s="6">
        <v>578</v>
      </c>
      <c r="C576" s="6"/>
      <c r="D576" s="6"/>
      <c r="E576" s="233"/>
      <c r="F576" s="6"/>
      <c r="G576" s="6"/>
      <c r="H576" s="6"/>
    </row>
    <row r="577" spans="2:8" x14ac:dyDescent="0.3">
      <c r="B577" s="6">
        <v>579</v>
      </c>
      <c r="C577" s="6"/>
      <c r="D577" s="6"/>
      <c r="E577" s="233"/>
      <c r="F577" s="6"/>
      <c r="G577" s="6"/>
      <c r="H577" s="6"/>
    </row>
    <row r="578" spans="2:8" x14ac:dyDescent="0.3">
      <c r="B578" s="6">
        <v>580</v>
      </c>
      <c r="C578" s="6"/>
      <c r="D578" s="6"/>
      <c r="E578" s="233"/>
      <c r="F578" s="6"/>
      <c r="G578" s="6"/>
      <c r="H578" s="6"/>
    </row>
    <row r="579" spans="2:8" x14ac:dyDescent="0.3">
      <c r="B579" s="6">
        <v>581</v>
      </c>
      <c r="C579" s="6"/>
      <c r="D579" s="6"/>
      <c r="E579" s="233"/>
      <c r="F579" s="6"/>
      <c r="G579" s="6"/>
      <c r="H579" s="6"/>
    </row>
    <row r="580" spans="2:8" x14ac:dyDescent="0.3">
      <c r="B580" s="6">
        <v>582</v>
      </c>
      <c r="C580" s="6"/>
      <c r="D580" s="6"/>
      <c r="E580" s="233"/>
      <c r="F580" s="6"/>
      <c r="G580" s="6"/>
      <c r="H580" s="6"/>
    </row>
    <row r="581" spans="2:8" x14ac:dyDescent="0.3">
      <c r="B581" s="6">
        <v>583</v>
      </c>
      <c r="C581" s="6"/>
      <c r="D581" s="6"/>
      <c r="E581" s="233"/>
      <c r="F581" s="6"/>
      <c r="G581" s="6"/>
      <c r="H581" s="6"/>
    </row>
    <row r="582" spans="2:8" x14ac:dyDescent="0.3">
      <c r="B582" s="6">
        <v>584</v>
      </c>
      <c r="C582" s="6"/>
      <c r="D582" s="6"/>
      <c r="E582" s="233"/>
      <c r="F582" s="6"/>
      <c r="G582" s="6"/>
      <c r="H582" s="6"/>
    </row>
    <row r="583" spans="2:8" x14ac:dyDescent="0.3">
      <c r="B583" s="6">
        <v>585</v>
      </c>
      <c r="C583" s="6"/>
      <c r="D583" s="6"/>
      <c r="E583" s="233"/>
      <c r="F583" s="6"/>
      <c r="G583" s="6"/>
      <c r="H583" s="6"/>
    </row>
    <row r="584" spans="2:8" x14ac:dyDescent="0.3">
      <c r="B584" s="6">
        <v>586</v>
      </c>
      <c r="C584" s="6"/>
      <c r="D584" s="6"/>
      <c r="E584" s="233"/>
      <c r="F584" s="6"/>
      <c r="G584" s="6"/>
      <c r="H584" s="6"/>
    </row>
    <row r="585" spans="2:8" x14ac:dyDescent="0.3">
      <c r="B585" s="6">
        <v>587</v>
      </c>
      <c r="C585" s="6"/>
      <c r="D585" s="6"/>
      <c r="E585" s="233"/>
      <c r="F585" s="6"/>
      <c r="G585" s="6"/>
      <c r="H585" s="6"/>
    </row>
    <row r="586" spans="2:8" x14ac:dyDescent="0.3">
      <c r="B586" s="6">
        <v>588</v>
      </c>
      <c r="C586" s="6"/>
      <c r="D586" s="6"/>
      <c r="E586" s="233"/>
      <c r="F586" s="6"/>
      <c r="G586" s="6"/>
      <c r="H586" s="6"/>
    </row>
    <row r="587" spans="2:8" x14ac:dyDescent="0.3">
      <c r="B587" s="6">
        <v>589</v>
      </c>
      <c r="C587" s="6"/>
      <c r="D587" s="6"/>
      <c r="E587" s="233"/>
      <c r="F587" s="6"/>
      <c r="G587" s="6"/>
      <c r="H587" s="6"/>
    </row>
    <row r="588" spans="2:8" x14ac:dyDescent="0.3">
      <c r="B588" s="6">
        <v>590</v>
      </c>
      <c r="C588" s="6"/>
      <c r="D588" s="6"/>
      <c r="E588" s="233"/>
      <c r="F588" s="6"/>
      <c r="G588" s="6"/>
      <c r="H588" s="6"/>
    </row>
    <row r="589" spans="2:8" x14ac:dyDescent="0.3">
      <c r="B589" s="6">
        <v>591</v>
      </c>
      <c r="C589" s="6"/>
      <c r="D589" s="6"/>
      <c r="E589" s="233"/>
      <c r="F589" s="6"/>
      <c r="G589" s="6"/>
      <c r="H589" s="6"/>
    </row>
    <row r="590" spans="2:8" x14ac:dyDescent="0.3">
      <c r="B590" s="6">
        <v>592</v>
      </c>
      <c r="C590" s="6"/>
      <c r="D590" s="6"/>
      <c r="E590" s="233"/>
      <c r="F590" s="6"/>
      <c r="G590" s="6"/>
      <c r="H590" s="6"/>
    </row>
    <row r="591" spans="2:8" x14ac:dyDescent="0.3">
      <c r="B591" s="6">
        <v>593</v>
      </c>
      <c r="C591" s="6"/>
      <c r="D591" s="6"/>
      <c r="E591" s="233"/>
      <c r="F591" s="6"/>
      <c r="G591" s="6"/>
      <c r="H591" s="6"/>
    </row>
    <row r="592" spans="2:8" x14ac:dyDescent="0.3">
      <c r="B592" s="6">
        <v>594</v>
      </c>
      <c r="C592" s="6"/>
      <c r="D592" s="6"/>
      <c r="E592" s="233"/>
      <c r="F592" s="6"/>
      <c r="G592" s="6"/>
      <c r="H592" s="6"/>
    </row>
    <row r="593" spans="2:8" x14ac:dyDescent="0.3">
      <c r="B593" s="6">
        <v>595</v>
      </c>
      <c r="C593" s="6"/>
      <c r="D593" s="6"/>
      <c r="E593" s="233"/>
      <c r="F593" s="6"/>
      <c r="G593" s="6"/>
      <c r="H593" s="6"/>
    </row>
    <row r="594" spans="2:8" x14ac:dyDescent="0.3">
      <c r="B594" s="6">
        <v>596</v>
      </c>
      <c r="C594" s="6"/>
      <c r="D594" s="6"/>
      <c r="E594" s="233"/>
      <c r="F594" s="6"/>
      <c r="G594" s="6"/>
      <c r="H594" s="6"/>
    </row>
    <row r="595" spans="2:8" x14ac:dyDescent="0.3">
      <c r="B595" s="6">
        <v>597</v>
      </c>
      <c r="C595" s="6"/>
      <c r="D595" s="6"/>
      <c r="E595" s="233"/>
      <c r="F595" s="6"/>
      <c r="G595" s="6"/>
      <c r="H595" s="6"/>
    </row>
    <row r="596" spans="2:8" x14ac:dyDescent="0.3">
      <c r="B596" s="6">
        <v>598</v>
      </c>
      <c r="C596" s="6"/>
      <c r="D596" s="6"/>
      <c r="E596" s="233"/>
      <c r="F596" s="6"/>
      <c r="G596" s="6"/>
      <c r="H596" s="6"/>
    </row>
    <row r="597" spans="2:8" x14ac:dyDescent="0.3">
      <c r="B597" s="6">
        <v>599</v>
      </c>
      <c r="C597" s="6"/>
      <c r="D597" s="6"/>
      <c r="E597" s="233"/>
      <c r="F597" s="6"/>
      <c r="G597" s="6"/>
      <c r="H597" s="6"/>
    </row>
    <row r="598" spans="2:8" x14ac:dyDescent="0.3">
      <c r="B598" s="6">
        <v>600</v>
      </c>
      <c r="C598" s="6"/>
      <c r="D598" s="6"/>
      <c r="E598" s="233"/>
      <c r="F598" s="6"/>
      <c r="G598" s="6"/>
      <c r="H598" s="6"/>
    </row>
    <row r="599" spans="2:8" x14ac:dyDescent="0.3">
      <c r="B599" s="6">
        <v>601</v>
      </c>
      <c r="C599" s="6"/>
      <c r="D599" s="6"/>
      <c r="E599" s="233"/>
      <c r="F599" s="6"/>
      <c r="G599" s="6"/>
      <c r="H599" s="6"/>
    </row>
    <row r="600" spans="2:8" x14ac:dyDescent="0.3">
      <c r="B600" s="6">
        <v>602</v>
      </c>
      <c r="C600" s="6"/>
      <c r="D600" s="6"/>
      <c r="E600" s="233"/>
      <c r="F600" s="6"/>
      <c r="G600" s="6"/>
      <c r="H600" s="6"/>
    </row>
    <row r="601" spans="2:8" x14ac:dyDescent="0.3">
      <c r="B601" s="6">
        <v>603</v>
      </c>
      <c r="C601" s="6"/>
      <c r="D601" s="6"/>
      <c r="E601" s="233"/>
      <c r="F601" s="6"/>
      <c r="G601" s="6"/>
      <c r="H601" s="6"/>
    </row>
    <row r="602" spans="2:8" x14ac:dyDescent="0.3">
      <c r="B602" s="6">
        <v>604</v>
      </c>
      <c r="C602" s="6"/>
      <c r="D602" s="6"/>
      <c r="E602" s="233"/>
      <c r="F602" s="6"/>
      <c r="G602" s="6"/>
      <c r="H602" s="6"/>
    </row>
    <row r="603" spans="2:8" x14ac:dyDescent="0.3">
      <c r="B603" s="6">
        <v>605</v>
      </c>
      <c r="C603" s="6"/>
      <c r="D603" s="6"/>
      <c r="E603" s="233"/>
      <c r="F603" s="6"/>
      <c r="G603" s="6"/>
      <c r="H603" s="6"/>
    </row>
    <row r="604" spans="2:8" x14ac:dyDescent="0.3">
      <c r="B604" s="6">
        <v>606</v>
      </c>
      <c r="C604" s="6"/>
      <c r="D604" s="6"/>
      <c r="E604" s="233"/>
      <c r="F604" s="6"/>
      <c r="G604" s="6"/>
      <c r="H604" s="6"/>
    </row>
    <row r="605" spans="2:8" x14ac:dyDescent="0.3">
      <c r="B605" s="6">
        <v>607</v>
      </c>
      <c r="C605" s="6"/>
      <c r="D605" s="6"/>
      <c r="E605" s="233"/>
      <c r="F605" s="6"/>
      <c r="G605" s="6"/>
      <c r="H605" s="6"/>
    </row>
    <row r="606" spans="2:8" x14ac:dyDescent="0.3">
      <c r="B606" s="6">
        <v>608</v>
      </c>
      <c r="C606" s="6"/>
      <c r="D606" s="6"/>
      <c r="E606" s="233"/>
      <c r="F606" s="6"/>
      <c r="G606" s="6"/>
      <c r="H606" s="6"/>
    </row>
    <row r="607" spans="2:8" x14ac:dyDescent="0.3">
      <c r="B607" s="6">
        <v>609</v>
      </c>
      <c r="C607" s="6"/>
      <c r="D607" s="6"/>
      <c r="E607" s="233"/>
      <c r="F607" s="6"/>
      <c r="G607" s="6"/>
      <c r="H607" s="6"/>
    </row>
    <row r="608" spans="2:8" x14ac:dyDescent="0.3">
      <c r="B608" s="6">
        <v>610</v>
      </c>
      <c r="C608" s="6"/>
      <c r="D608" s="6"/>
      <c r="E608" s="233"/>
      <c r="F608" s="6"/>
      <c r="G608" s="6"/>
      <c r="H608" s="6"/>
    </row>
    <row r="609" spans="2:8" x14ac:dyDescent="0.3">
      <c r="B609" s="6">
        <v>611</v>
      </c>
      <c r="C609" s="6"/>
      <c r="D609" s="6"/>
      <c r="E609" s="233"/>
      <c r="F609" s="6"/>
      <c r="G609" s="6"/>
      <c r="H609" s="6"/>
    </row>
    <row r="610" spans="2:8" x14ac:dyDescent="0.3">
      <c r="B610" s="6">
        <v>612</v>
      </c>
      <c r="C610" s="6"/>
      <c r="D610" s="6"/>
      <c r="E610" s="233"/>
      <c r="F610" s="6"/>
      <c r="G610" s="6"/>
      <c r="H610" s="6"/>
    </row>
    <row r="611" spans="2:8" x14ac:dyDescent="0.3">
      <c r="B611" s="6">
        <v>613</v>
      </c>
      <c r="C611" s="6"/>
      <c r="D611" s="6"/>
      <c r="E611" s="233"/>
      <c r="F611" s="6"/>
      <c r="G611" s="6"/>
      <c r="H611" s="6"/>
    </row>
    <row r="612" spans="2:8" x14ac:dyDescent="0.3">
      <c r="B612" s="6">
        <v>614</v>
      </c>
      <c r="C612" s="6"/>
      <c r="D612" s="6"/>
      <c r="E612" s="233"/>
      <c r="F612" s="6"/>
      <c r="G612" s="6"/>
      <c r="H612" s="6"/>
    </row>
    <row r="613" spans="2:8" x14ac:dyDescent="0.3">
      <c r="B613" s="6">
        <v>615</v>
      </c>
      <c r="C613" s="6"/>
      <c r="D613" s="6"/>
      <c r="E613" s="233"/>
      <c r="F613" s="6"/>
      <c r="G613" s="6"/>
      <c r="H613" s="6"/>
    </row>
    <row r="614" spans="2:8" x14ac:dyDescent="0.3">
      <c r="B614" s="6">
        <v>616</v>
      </c>
      <c r="C614" s="6"/>
      <c r="D614" s="6"/>
      <c r="E614" s="233"/>
      <c r="F614" s="6"/>
      <c r="G614" s="6"/>
      <c r="H614" s="6"/>
    </row>
    <row r="615" spans="2:8" x14ac:dyDescent="0.3">
      <c r="B615" s="6">
        <v>617</v>
      </c>
      <c r="C615" s="6"/>
      <c r="D615" s="6"/>
      <c r="E615" s="233"/>
      <c r="F615" s="6"/>
      <c r="G615" s="6"/>
      <c r="H615" s="6"/>
    </row>
    <row r="616" spans="2:8" x14ac:dyDescent="0.3">
      <c r="B616" s="6">
        <v>618</v>
      </c>
      <c r="C616" s="6"/>
      <c r="D616" s="6"/>
      <c r="E616" s="233"/>
      <c r="F616" s="6"/>
      <c r="G616" s="6"/>
      <c r="H616" s="6"/>
    </row>
    <row r="617" spans="2:8" x14ac:dyDescent="0.3">
      <c r="B617" s="6">
        <v>619</v>
      </c>
      <c r="C617" s="6"/>
      <c r="D617" s="6"/>
      <c r="E617" s="233"/>
      <c r="F617" s="6"/>
      <c r="G617" s="6"/>
      <c r="H617" s="6"/>
    </row>
    <row r="618" spans="2:8" x14ac:dyDescent="0.3">
      <c r="B618" s="6">
        <v>620</v>
      </c>
      <c r="C618" s="6"/>
      <c r="D618" s="6"/>
      <c r="E618" s="233"/>
      <c r="F618" s="6"/>
      <c r="G618" s="6"/>
      <c r="H618" s="6"/>
    </row>
    <row r="619" spans="2:8" x14ac:dyDescent="0.3">
      <c r="B619" s="6">
        <v>621</v>
      </c>
      <c r="C619" s="6"/>
      <c r="D619" s="6"/>
      <c r="E619" s="233"/>
      <c r="F619" s="6"/>
      <c r="G619" s="6"/>
      <c r="H619" s="6"/>
    </row>
    <row r="620" spans="2:8" x14ac:dyDescent="0.3">
      <c r="B620" s="6">
        <v>622</v>
      </c>
      <c r="C620" s="6"/>
      <c r="D620" s="6"/>
      <c r="E620" s="233"/>
      <c r="F620" s="6"/>
      <c r="G620" s="6"/>
      <c r="H620" s="6"/>
    </row>
    <row r="621" spans="2:8" x14ac:dyDescent="0.3">
      <c r="B621" s="6">
        <v>623</v>
      </c>
      <c r="C621" s="6"/>
      <c r="D621" s="6"/>
      <c r="E621" s="233"/>
      <c r="F621" s="6"/>
      <c r="G621" s="6"/>
      <c r="H621" s="6"/>
    </row>
    <row r="622" spans="2:8" x14ac:dyDescent="0.3">
      <c r="B622" s="6">
        <v>624</v>
      </c>
      <c r="C622" s="6"/>
      <c r="D622" s="6"/>
      <c r="E622" s="233"/>
      <c r="F622" s="6"/>
      <c r="G622" s="6"/>
      <c r="H622" s="6"/>
    </row>
    <row r="623" spans="2:8" x14ac:dyDescent="0.3">
      <c r="B623" s="6">
        <v>625</v>
      </c>
      <c r="C623" s="6"/>
      <c r="D623" s="6"/>
      <c r="E623" s="233"/>
      <c r="F623" s="6"/>
      <c r="G623" s="6"/>
      <c r="H623" s="6"/>
    </row>
    <row r="624" spans="2:8" x14ac:dyDescent="0.3">
      <c r="B624" s="6">
        <v>626</v>
      </c>
      <c r="C624" s="6"/>
      <c r="D624" s="6"/>
      <c r="E624" s="233"/>
      <c r="F624" s="6"/>
      <c r="G624" s="6"/>
      <c r="H624" s="6"/>
    </row>
    <row r="625" spans="2:8" x14ac:dyDescent="0.3">
      <c r="B625" s="6">
        <v>627</v>
      </c>
      <c r="C625" s="6"/>
      <c r="D625" s="6"/>
      <c r="E625" s="233"/>
      <c r="F625" s="6"/>
      <c r="G625" s="6"/>
      <c r="H625" s="6"/>
    </row>
    <row r="626" spans="2:8" x14ac:dyDescent="0.3">
      <c r="B626" s="6">
        <v>628</v>
      </c>
      <c r="C626" s="6"/>
      <c r="D626" s="6"/>
      <c r="E626" s="233"/>
      <c r="F626" s="6"/>
      <c r="G626" s="6"/>
      <c r="H626" s="6"/>
    </row>
    <row r="627" spans="2:8" x14ac:dyDescent="0.3">
      <c r="B627" s="6">
        <v>629</v>
      </c>
      <c r="C627" s="6"/>
      <c r="D627" s="6"/>
      <c r="E627" s="233"/>
      <c r="F627" s="6"/>
      <c r="G627" s="6"/>
      <c r="H627" s="6"/>
    </row>
    <row r="628" spans="2:8" x14ac:dyDescent="0.3">
      <c r="B628" s="6">
        <v>630</v>
      </c>
      <c r="C628" s="6"/>
      <c r="D628" s="6"/>
      <c r="E628" s="233"/>
      <c r="F628" s="6"/>
      <c r="G628" s="6"/>
      <c r="H628" s="6"/>
    </row>
    <row r="629" spans="2:8" x14ac:dyDescent="0.3">
      <c r="B629" s="6">
        <v>631</v>
      </c>
      <c r="C629" s="6"/>
      <c r="D629" s="6"/>
      <c r="E629" s="233"/>
      <c r="F629" s="6"/>
      <c r="G629" s="6"/>
      <c r="H629" s="6"/>
    </row>
    <row r="630" spans="2:8" x14ac:dyDescent="0.3">
      <c r="B630" s="6">
        <v>632</v>
      </c>
      <c r="C630" s="6"/>
      <c r="D630" s="6"/>
      <c r="E630" s="233"/>
      <c r="F630" s="6"/>
      <c r="G630" s="6"/>
      <c r="H630" s="6"/>
    </row>
    <row r="631" spans="2:8" x14ac:dyDescent="0.3">
      <c r="B631" s="6">
        <v>633</v>
      </c>
      <c r="C631" s="6"/>
      <c r="D631" s="6"/>
      <c r="E631" s="233"/>
      <c r="F631" s="6"/>
      <c r="G631" s="6"/>
      <c r="H631" s="6"/>
    </row>
    <row r="632" spans="2:8" x14ac:dyDescent="0.3">
      <c r="B632" s="6">
        <v>634</v>
      </c>
      <c r="C632" s="6"/>
      <c r="D632" s="6"/>
      <c r="E632" s="233"/>
      <c r="F632" s="6"/>
      <c r="G632" s="6"/>
      <c r="H632" s="6"/>
    </row>
    <row r="633" spans="2:8" x14ac:dyDescent="0.3">
      <c r="B633" s="6">
        <v>635</v>
      </c>
      <c r="C633" s="6"/>
      <c r="D633" s="6"/>
      <c r="E633" s="233"/>
      <c r="F633" s="6"/>
      <c r="G633" s="6"/>
      <c r="H633" s="6"/>
    </row>
    <row r="634" spans="2:8" x14ac:dyDescent="0.3">
      <c r="B634" s="6">
        <v>636</v>
      </c>
      <c r="C634" s="6"/>
      <c r="D634" s="6"/>
      <c r="E634" s="233"/>
      <c r="F634" s="6"/>
      <c r="G634" s="6"/>
      <c r="H634" s="6"/>
    </row>
    <row r="635" spans="2:8" x14ac:dyDescent="0.3">
      <c r="B635" s="6">
        <v>637</v>
      </c>
      <c r="C635" s="6"/>
      <c r="D635" s="6"/>
      <c r="E635" s="233"/>
      <c r="F635" s="6"/>
      <c r="G635" s="6"/>
      <c r="H635" s="6"/>
    </row>
    <row r="636" spans="2:8" x14ac:dyDescent="0.3">
      <c r="B636" s="6">
        <v>638</v>
      </c>
      <c r="C636" s="6"/>
      <c r="D636" s="6"/>
      <c r="E636" s="233"/>
      <c r="F636" s="6"/>
      <c r="G636" s="6"/>
      <c r="H636" s="6"/>
    </row>
    <row r="637" spans="2:8" x14ac:dyDescent="0.3">
      <c r="B637" s="6">
        <v>639</v>
      </c>
      <c r="C637" s="6"/>
      <c r="D637" s="6"/>
      <c r="E637" s="233"/>
      <c r="F637" s="6"/>
      <c r="G637" s="6"/>
      <c r="H637" s="6"/>
    </row>
    <row r="638" spans="2:8" x14ac:dyDescent="0.3">
      <c r="B638" s="6">
        <v>640</v>
      </c>
      <c r="C638" s="6"/>
      <c r="D638" s="6"/>
      <c r="E638" s="233"/>
      <c r="F638" s="6"/>
      <c r="G638" s="6"/>
      <c r="H638" s="6"/>
    </row>
    <row r="639" spans="2:8" x14ac:dyDescent="0.3">
      <c r="B639" s="6">
        <v>641</v>
      </c>
      <c r="C639" s="6"/>
      <c r="D639" s="6"/>
      <c r="E639" s="233"/>
      <c r="F639" s="6"/>
      <c r="G639" s="6"/>
      <c r="H639" s="6"/>
    </row>
    <row r="640" spans="2:8" x14ac:dyDescent="0.3">
      <c r="B640" s="6">
        <v>642</v>
      </c>
      <c r="C640" s="6"/>
      <c r="D640" s="6"/>
      <c r="E640" s="233"/>
      <c r="F640" s="6"/>
      <c r="G640" s="6"/>
      <c r="H640" s="6"/>
    </row>
    <row r="641" spans="2:8" x14ac:dyDescent="0.3">
      <c r="B641" s="6">
        <v>643</v>
      </c>
      <c r="C641" s="6"/>
      <c r="D641" s="6"/>
      <c r="E641" s="233"/>
      <c r="F641" s="6"/>
      <c r="G641" s="6"/>
      <c r="H641" s="6"/>
    </row>
    <row r="642" spans="2:8" x14ac:dyDescent="0.3">
      <c r="B642" s="6">
        <v>644</v>
      </c>
      <c r="C642" s="6"/>
      <c r="D642" s="6"/>
      <c r="E642" s="233"/>
      <c r="F642" s="6"/>
      <c r="G642" s="6"/>
      <c r="H642" s="6"/>
    </row>
    <row r="643" spans="2:8" x14ac:dyDescent="0.3">
      <c r="B643" s="6">
        <v>645</v>
      </c>
      <c r="C643" s="6"/>
      <c r="D643" s="6"/>
      <c r="E643" s="233"/>
      <c r="F643" s="6"/>
      <c r="G643" s="6"/>
      <c r="H643" s="6"/>
    </row>
    <row r="644" spans="2:8" x14ac:dyDescent="0.3">
      <c r="B644" s="6">
        <v>646</v>
      </c>
      <c r="C644" s="6"/>
      <c r="D644" s="6"/>
      <c r="E644" s="233"/>
      <c r="F644" s="6"/>
      <c r="G644" s="6"/>
      <c r="H644" s="6"/>
    </row>
    <row r="645" spans="2:8" x14ac:dyDescent="0.3">
      <c r="B645" s="6">
        <v>647</v>
      </c>
      <c r="C645" s="6"/>
      <c r="D645" s="6"/>
      <c r="E645" s="233"/>
      <c r="F645" s="6"/>
      <c r="G645" s="6"/>
      <c r="H645" s="6"/>
    </row>
    <row r="646" spans="2:8" x14ac:dyDescent="0.3">
      <c r="B646" s="6">
        <v>648</v>
      </c>
      <c r="C646" s="6"/>
      <c r="D646" s="6"/>
      <c r="E646" s="233"/>
      <c r="F646" s="6"/>
      <c r="G646" s="6"/>
      <c r="H646" s="6"/>
    </row>
    <row r="647" spans="2:8" x14ac:dyDescent="0.3">
      <c r="B647" s="6">
        <v>649</v>
      </c>
      <c r="C647" s="6"/>
      <c r="D647" s="6"/>
      <c r="E647" s="233"/>
      <c r="F647" s="6"/>
      <c r="G647" s="6"/>
      <c r="H647" s="6"/>
    </row>
    <row r="648" spans="2:8" x14ac:dyDescent="0.3">
      <c r="B648" s="6">
        <v>650</v>
      </c>
      <c r="C648" s="6"/>
      <c r="D648" s="6"/>
      <c r="E648" s="233"/>
      <c r="F648" s="6"/>
      <c r="G648" s="6"/>
      <c r="H648" s="6"/>
    </row>
    <row r="649" spans="2:8" x14ac:dyDescent="0.3">
      <c r="B649" s="6">
        <v>651</v>
      </c>
      <c r="C649" s="6"/>
      <c r="D649" s="6"/>
      <c r="E649" s="233"/>
      <c r="F649" s="6"/>
      <c r="G649" s="6"/>
      <c r="H649" s="6"/>
    </row>
    <row r="650" spans="2:8" x14ac:dyDescent="0.3">
      <c r="B650" s="6">
        <v>652</v>
      </c>
      <c r="C650" s="6"/>
      <c r="D650" s="6"/>
      <c r="E650" s="233"/>
      <c r="F650" s="6"/>
      <c r="G650" s="6"/>
      <c r="H650" s="6"/>
    </row>
    <row r="651" spans="2:8" x14ac:dyDescent="0.3">
      <c r="B651" s="6">
        <v>653</v>
      </c>
      <c r="C651" s="6"/>
      <c r="D651" s="6"/>
      <c r="E651" s="233"/>
      <c r="F651" s="6"/>
      <c r="G651" s="6"/>
      <c r="H651" s="6"/>
    </row>
    <row r="652" spans="2:8" x14ac:dyDescent="0.3">
      <c r="B652" s="6">
        <v>654</v>
      </c>
      <c r="C652" s="6"/>
      <c r="D652" s="6"/>
      <c r="E652" s="233"/>
      <c r="F652" s="6"/>
      <c r="G652" s="6"/>
      <c r="H652" s="6"/>
    </row>
    <row r="653" spans="2:8" x14ac:dyDescent="0.3">
      <c r="B653" s="6">
        <v>655</v>
      </c>
      <c r="C653" s="6"/>
      <c r="D653" s="6"/>
      <c r="E653" s="233"/>
      <c r="F653" s="6"/>
      <c r="G653" s="6"/>
      <c r="H653" s="6"/>
    </row>
    <row r="654" spans="2:8" x14ac:dyDescent="0.3">
      <c r="B654" s="6">
        <v>656</v>
      </c>
      <c r="C654" s="6"/>
      <c r="D654" s="6"/>
      <c r="E654" s="233"/>
      <c r="F654" s="6"/>
      <c r="G654" s="6"/>
      <c r="H654" s="6"/>
    </row>
    <row r="655" spans="2:8" x14ac:dyDescent="0.3">
      <c r="B655" s="6">
        <v>657</v>
      </c>
      <c r="C655" s="6"/>
      <c r="D655" s="6"/>
      <c r="E655" s="233"/>
      <c r="F655" s="6"/>
      <c r="G655" s="6"/>
      <c r="H655" s="6"/>
    </row>
    <row r="656" spans="2:8" x14ac:dyDescent="0.3">
      <c r="B656" s="6">
        <v>658</v>
      </c>
      <c r="C656" s="6"/>
      <c r="D656" s="6"/>
      <c r="E656" s="233"/>
      <c r="F656" s="6"/>
      <c r="G656" s="6"/>
      <c r="H656" s="6"/>
    </row>
    <row r="657" spans="2:8" x14ac:dyDescent="0.3">
      <c r="B657" s="6">
        <v>659</v>
      </c>
      <c r="C657" s="6"/>
      <c r="D657" s="6"/>
      <c r="E657" s="233"/>
      <c r="F657" s="6"/>
      <c r="G657" s="6"/>
      <c r="H657" s="6"/>
    </row>
    <row r="658" spans="2:8" x14ac:dyDescent="0.3">
      <c r="B658" s="6">
        <v>660</v>
      </c>
      <c r="C658" s="6"/>
      <c r="D658" s="6"/>
      <c r="E658" s="233"/>
      <c r="F658" s="6"/>
      <c r="G658" s="6"/>
      <c r="H658" s="6"/>
    </row>
    <row r="659" spans="2:8" x14ac:dyDescent="0.3">
      <c r="B659" s="6">
        <v>661</v>
      </c>
      <c r="C659" s="6"/>
      <c r="D659" s="6"/>
      <c r="E659" s="233"/>
      <c r="F659" s="6"/>
      <c r="G659" s="6"/>
      <c r="H659" s="6"/>
    </row>
    <row r="660" spans="2:8" x14ac:dyDescent="0.3">
      <c r="B660" s="6">
        <v>662</v>
      </c>
      <c r="C660" s="6"/>
      <c r="D660" s="6"/>
      <c r="E660" s="233"/>
      <c r="F660" s="6"/>
      <c r="G660" s="6"/>
      <c r="H660" s="6"/>
    </row>
    <row r="661" spans="2:8" x14ac:dyDescent="0.3">
      <c r="B661" s="6">
        <v>663</v>
      </c>
      <c r="C661" s="6"/>
      <c r="D661" s="6"/>
      <c r="E661" s="233"/>
      <c r="F661" s="6"/>
      <c r="G661" s="6"/>
      <c r="H661" s="6"/>
    </row>
    <row r="662" spans="2:8" x14ac:dyDescent="0.3">
      <c r="B662" s="6">
        <v>664</v>
      </c>
      <c r="C662" s="6"/>
      <c r="D662" s="6"/>
      <c r="E662" s="233"/>
      <c r="F662" s="6"/>
      <c r="G662" s="6"/>
      <c r="H662" s="6"/>
    </row>
    <row r="663" spans="2:8" x14ac:dyDescent="0.3">
      <c r="B663" s="6">
        <v>665</v>
      </c>
      <c r="C663" s="6"/>
      <c r="D663" s="6"/>
      <c r="E663" s="233"/>
      <c r="F663" s="6"/>
      <c r="G663" s="6"/>
      <c r="H663" s="6"/>
    </row>
    <row r="664" spans="2:8" x14ac:dyDescent="0.3">
      <c r="B664" s="6">
        <v>666</v>
      </c>
      <c r="C664" s="6"/>
      <c r="D664" s="6"/>
      <c r="E664" s="233"/>
      <c r="F664" s="6"/>
      <c r="G664" s="6"/>
      <c r="H664" s="6"/>
    </row>
    <row r="665" spans="2:8" x14ac:dyDescent="0.3">
      <c r="B665" s="6">
        <v>667</v>
      </c>
      <c r="C665" s="6"/>
      <c r="D665" s="6"/>
      <c r="E665" s="233"/>
      <c r="F665" s="6"/>
      <c r="G665" s="6"/>
      <c r="H665" s="6"/>
    </row>
    <row r="666" spans="2:8" x14ac:dyDescent="0.3">
      <c r="B666" s="6">
        <v>668</v>
      </c>
      <c r="C666" s="6"/>
      <c r="D666" s="6"/>
      <c r="E666" s="233"/>
      <c r="F666" s="6"/>
      <c r="G666" s="6"/>
      <c r="H666" s="6"/>
    </row>
    <row r="667" spans="2:8" x14ac:dyDescent="0.3">
      <c r="B667" s="6">
        <v>669</v>
      </c>
      <c r="C667" s="6"/>
      <c r="D667" s="6"/>
      <c r="E667" s="233"/>
      <c r="F667" s="6"/>
      <c r="G667" s="6"/>
      <c r="H667" s="6"/>
    </row>
    <row r="668" spans="2:8" x14ac:dyDescent="0.3">
      <c r="B668" s="6">
        <v>670</v>
      </c>
      <c r="C668" s="6"/>
      <c r="D668" s="6"/>
      <c r="E668" s="233"/>
      <c r="F668" s="6"/>
      <c r="G668" s="6"/>
      <c r="H668" s="6"/>
    </row>
    <row r="669" spans="2:8" x14ac:dyDescent="0.3">
      <c r="B669" s="6">
        <v>671</v>
      </c>
      <c r="C669" s="6"/>
      <c r="D669" s="6"/>
      <c r="E669" s="233"/>
      <c r="F669" s="6"/>
      <c r="G669" s="6"/>
      <c r="H669" s="6"/>
    </row>
    <row r="670" spans="2:8" x14ac:dyDescent="0.3">
      <c r="B670" s="6">
        <v>672</v>
      </c>
      <c r="C670" s="6"/>
      <c r="D670" s="6"/>
      <c r="E670" s="233"/>
      <c r="F670" s="6"/>
      <c r="G670" s="6"/>
      <c r="H670" s="6"/>
    </row>
    <row r="671" spans="2:8" x14ac:dyDescent="0.3">
      <c r="B671" s="6">
        <v>673</v>
      </c>
      <c r="C671" s="6"/>
      <c r="D671" s="6"/>
      <c r="E671" s="233"/>
      <c r="F671" s="6"/>
      <c r="G671" s="6"/>
      <c r="H671" s="6"/>
    </row>
    <row r="672" spans="2:8" x14ac:dyDescent="0.3">
      <c r="B672" s="6">
        <v>674</v>
      </c>
      <c r="C672" s="6"/>
      <c r="D672" s="6"/>
      <c r="E672" s="233"/>
      <c r="F672" s="6"/>
      <c r="G672" s="6"/>
      <c r="H672" s="6"/>
    </row>
    <row r="673" spans="2:8" x14ac:dyDescent="0.3">
      <c r="B673" s="6">
        <v>675</v>
      </c>
      <c r="C673" s="6"/>
      <c r="D673" s="6"/>
      <c r="E673" s="233"/>
      <c r="F673" s="6"/>
      <c r="G673" s="6"/>
      <c r="H673" s="6"/>
    </row>
    <row r="674" spans="2:8" x14ac:dyDescent="0.3">
      <c r="B674" s="6">
        <v>676</v>
      </c>
      <c r="C674" s="6"/>
      <c r="D674" s="6"/>
      <c r="E674" s="233"/>
      <c r="F674" s="6"/>
      <c r="G674" s="6"/>
      <c r="H674" s="6"/>
    </row>
    <row r="675" spans="2:8" x14ac:dyDescent="0.3">
      <c r="B675" s="6">
        <v>677</v>
      </c>
      <c r="C675" s="6"/>
      <c r="D675" s="6"/>
      <c r="E675" s="233"/>
      <c r="F675" s="6"/>
      <c r="G675" s="6"/>
      <c r="H675" s="6"/>
    </row>
    <row r="676" spans="2:8" x14ac:dyDescent="0.3">
      <c r="B676" s="6">
        <v>678</v>
      </c>
      <c r="C676" s="6"/>
      <c r="D676" s="6"/>
      <c r="E676" s="233"/>
      <c r="F676" s="6"/>
      <c r="G676" s="6"/>
      <c r="H676" s="6"/>
    </row>
    <row r="677" spans="2:8" x14ac:dyDescent="0.3">
      <c r="B677" s="6">
        <v>679</v>
      </c>
      <c r="C677" s="6"/>
      <c r="D677" s="6"/>
      <c r="E677" s="233"/>
      <c r="F677" s="6"/>
      <c r="G677" s="6"/>
      <c r="H677" s="6"/>
    </row>
    <row r="678" spans="2:8" x14ac:dyDescent="0.3">
      <c r="B678" s="6">
        <v>680</v>
      </c>
      <c r="C678" s="6"/>
      <c r="D678" s="6"/>
      <c r="E678" s="233"/>
      <c r="F678" s="6"/>
      <c r="G678" s="6"/>
      <c r="H678" s="6"/>
    </row>
    <row r="679" spans="2:8" x14ac:dyDescent="0.3">
      <c r="B679" s="6">
        <v>681</v>
      </c>
      <c r="C679" s="6"/>
      <c r="D679" s="6"/>
      <c r="E679" s="233"/>
      <c r="F679" s="6"/>
      <c r="G679" s="6"/>
      <c r="H679" s="6"/>
    </row>
    <row r="680" spans="2:8" x14ac:dyDescent="0.3">
      <c r="B680" s="6">
        <v>682</v>
      </c>
      <c r="C680" s="6"/>
      <c r="D680" s="6"/>
      <c r="E680" s="233"/>
      <c r="F680" s="6"/>
      <c r="G680" s="6"/>
      <c r="H680" s="6"/>
    </row>
    <row r="681" spans="2:8" x14ac:dyDescent="0.3">
      <c r="B681" s="6">
        <v>683</v>
      </c>
      <c r="C681" s="6"/>
      <c r="D681" s="6"/>
      <c r="E681" s="233"/>
      <c r="F681" s="6"/>
      <c r="G681" s="6"/>
      <c r="H681" s="6"/>
    </row>
    <row r="682" spans="2:8" x14ac:dyDescent="0.3">
      <c r="B682" s="6">
        <v>684</v>
      </c>
      <c r="C682" s="6"/>
      <c r="D682" s="6"/>
      <c r="E682" s="233"/>
      <c r="F682" s="6"/>
      <c r="G682" s="6"/>
      <c r="H682" s="6"/>
    </row>
    <row r="683" spans="2:8" x14ac:dyDescent="0.3">
      <c r="B683" s="6">
        <v>685</v>
      </c>
      <c r="C683" s="6"/>
      <c r="D683" s="6"/>
      <c r="E683" s="233"/>
      <c r="F683" s="6"/>
      <c r="G683" s="6"/>
      <c r="H683" s="6"/>
    </row>
    <row r="684" spans="2:8" x14ac:dyDescent="0.3">
      <c r="B684" s="6">
        <v>686</v>
      </c>
      <c r="C684" s="6"/>
      <c r="D684" s="6"/>
      <c r="E684" s="233"/>
      <c r="F684" s="6"/>
      <c r="G684" s="6"/>
      <c r="H684" s="6"/>
    </row>
    <row r="685" spans="2:8" x14ac:dyDescent="0.3">
      <c r="B685" s="6">
        <v>687</v>
      </c>
      <c r="C685" s="6"/>
      <c r="D685" s="6"/>
      <c r="E685" s="233"/>
      <c r="F685" s="6"/>
      <c r="G685" s="6"/>
      <c r="H685" s="6"/>
    </row>
    <row r="686" spans="2:8" x14ac:dyDescent="0.3">
      <c r="B686" s="6">
        <v>688</v>
      </c>
      <c r="C686" s="6"/>
      <c r="D686" s="6"/>
      <c r="E686" s="233"/>
      <c r="F686" s="6"/>
      <c r="G686" s="6"/>
      <c r="H686" s="6"/>
    </row>
    <row r="687" spans="2:8" x14ac:dyDescent="0.3">
      <c r="B687" s="6">
        <v>689</v>
      </c>
      <c r="C687" s="6"/>
      <c r="D687" s="6"/>
      <c r="E687" s="233"/>
      <c r="F687" s="6"/>
      <c r="G687" s="6"/>
      <c r="H687" s="6"/>
    </row>
    <row r="688" spans="2:8" x14ac:dyDescent="0.3">
      <c r="B688" s="6">
        <v>690</v>
      </c>
      <c r="C688" s="6"/>
      <c r="D688" s="6"/>
      <c r="E688" s="233"/>
      <c r="F688" s="6"/>
      <c r="G688" s="6"/>
      <c r="H688" s="6"/>
    </row>
    <row r="689" spans="2:8" x14ac:dyDescent="0.3">
      <c r="B689" s="6">
        <v>691</v>
      </c>
      <c r="C689" s="6"/>
      <c r="D689" s="6"/>
      <c r="E689" s="233"/>
      <c r="F689" s="6"/>
      <c r="G689" s="6"/>
      <c r="H689" s="6"/>
    </row>
    <row r="690" spans="2:8" x14ac:dyDescent="0.3">
      <c r="B690" s="6">
        <v>692</v>
      </c>
      <c r="C690" s="6"/>
      <c r="D690" s="6"/>
      <c r="E690" s="233"/>
      <c r="F690" s="6"/>
      <c r="G690" s="6"/>
      <c r="H690" s="6"/>
    </row>
    <row r="691" spans="2:8" x14ac:dyDescent="0.3">
      <c r="B691" s="6">
        <v>693</v>
      </c>
      <c r="C691" s="6"/>
      <c r="D691" s="6"/>
      <c r="E691" s="233"/>
      <c r="F691" s="6"/>
      <c r="G691" s="6"/>
      <c r="H691" s="6"/>
    </row>
    <row r="692" spans="2:8" x14ac:dyDescent="0.3">
      <c r="B692" s="6">
        <v>694</v>
      </c>
      <c r="C692" s="6"/>
      <c r="D692" s="6"/>
      <c r="E692" s="233"/>
      <c r="F692" s="6"/>
      <c r="G692" s="6"/>
      <c r="H692" s="6"/>
    </row>
    <row r="693" spans="2:8" x14ac:dyDescent="0.3">
      <c r="B693" s="6">
        <v>695</v>
      </c>
      <c r="C693" s="6"/>
      <c r="D693" s="6"/>
      <c r="E693" s="233"/>
      <c r="F693" s="6"/>
      <c r="G693" s="6"/>
      <c r="H693" s="6"/>
    </row>
    <row r="694" spans="2:8" x14ac:dyDescent="0.3">
      <c r="B694" s="6">
        <v>696</v>
      </c>
      <c r="C694" s="6"/>
      <c r="D694" s="6"/>
      <c r="E694" s="233"/>
      <c r="F694" s="6"/>
      <c r="G694" s="6"/>
      <c r="H694" s="6"/>
    </row>
    <row r="695" spans="2:8" x14ac:dyDescent="0.3">
      <c r="B695" s="6">
        <v>697</v>
      </c>
      <c r="C695" s="6"/>
      <c r="D695" s="6"/>
      <c r="E695" s="233"/>
      <c r="F695" s="6"/>
      <c r="G695" s="6"/>
      <c r="H695" s="6"/>
    </row>
    <row r="696" spans="2:8" x14ac:dyDescent="0.3">
      <c r="B696" s="6">
        <v>698</v>
      </c>
      <c r="C696" s="6"/>
      <c r="D696" s="6"/>
      <c r="E696" s="233"/>
      <c r="F696" s="6"/>
      <c r="G696" s="6"/>
      <c r="H696" s="6"/>
    </row>
    <row r="697" spans="2:8" x14ac:dyDescent="0.3">
      <c r="B697" s="6">
        <v>699</v>
      </c>
      <c r="C697" s="6"/>
      <c r="D697" s="6"/>
      <c r="E697" s="233"/>
      <c r="F697" s="6"/>
      <c r="G697" s="6"/>
      <c r="H697" s="6"/>
    </row>
    <row r="698" spans="2:8" x14ac:dyDescent="0.3">
      <c r="B698" s="6">
        <v>700</v>
      </c>
      <c r="C698" s="6"/>
      <c r="D698" s="6"/>
      <c r="E698" s="233"/>
      <c r="F698" s="6"/>
      <c r="G698" s="6"/>
      <c r="H698" s="6"/>
    </row>
    <row r="699" spans="2:8" x14ac:dyDescent="0.3">
      <c r="B699" s="6">
        <v>701</v>
      </c>
      <c r="C699" s="6"/>
      <c r="D699" s="6"/>
      <c r="E699" s="233"/>
      <c r="F699" s="6"/>
      <c r="G699" s="6"/>
      <c r="H699" s="6"/>
    </row>
    <row r="700" spans="2:8" x14ac:dyDescent="0.3">
      <c r="B700" s="6">
        <v>702</v>
      </c>
      <c r="C700" s="6"/>
      <c r="D700" s="6"/>
      <c r="E700" s="233"/>
      <c r="F700" s="6"/>
      <c r="G700" s="6"/>
      <c r="H700" s="6"/>
    </row>
    <row r="701" spans="2:8" x14ac:dyDescent="0.3">
      <c r="B701" s="6">
        <v>703</v>
      </c>
      <c r="C701" s="6"/>
      <c r="D701" s="6"/>
      <c r="E701" s="233"/>
      <c r="F701" s="6"/>
      <c r="G701" s="6"/>
      <c r="H701" s="6"/>
    </row>
    <row r="702" spans="2:8" x14ac:dyDescent="0.3">
      <c r="B702" s="6">
        <v>704</v>
      </c>
      <c r="C702" s="6"/>
      <c r="D702" s="6"/>
      <c r="E702" s="233"/>
      <c r="F702" s="6"/>
      <c r="G702" s="6"/>
      <c r="H702" s="6"/>
    </row>
    <row r="703" spans="2:8" x14ac:dyDescent="0.3">
      <c r="B703" s="6">
        <v>705</v>
      </c>
      <c r="C703" s="6"/>
      <c r="D703" s="6"/>
      <c r="E703" s="233"/>
      <c r="F703" s="6"/>
      <c r="G703" s="6"/>
      <c r="H703" s="6"/>
    </row>
    <row r="704" spans="2:8" x14ac:dyDescent="0.3">
      <c r="B704" s="6">
        <v>706</v>
      </c>
      <c r="C704" s="6"/>
      <c r="D704" s="6"/>
      <c r="E704" s="233"/>
      <c r="F704" s="6"/>
      <c r="G704" s="6"/>
      <c r="H704" s="6"/>
    </row>
    <row r="705" spans="2:8" x14ac:dyDescent="0.3">
      <c r="B705" s="6">
        <v>707</v>
      </c>
      <c r="C705" s="6"/>
      <c r="D705" s="6"/>
      <c r="E705" s="233"/>
      <c r="F705" s="6"/>
      <c r="G705" s="6"/>
      <c r="H705" s="6"/>
    </row>
    <row r="706" spans="2:8" x14ac:dyDescent="0.3">
      <c r="B706" s="6">
        <v>708</v>
      </c>
      <c r="C706" s="6"/>
      <c r="D706" s="6"/>
      <c r="E706" s="233"/>
      <c r="F706" s="6"/>
      <c r="G706" s="6"/>
      <c r="H706" s="6"/>
    </row>
    <row r="707" spans="2:8" x14ac:dyDescent="0.3">
      <c r="B707" s="6">
        <v>709</v>
      </c>
      <c r="C707" s="6"/>
      <c r="D707" s="6"/>
      <c r="E707" s="233"/>
      <c r="F707" s="6"/>
      <c r="G707" s="6"/>
      <c r="H707" s="6"/>
    </row>
    <row r="708" spans="2:8" x14ac:dyDescent="0.3">
      <c r="B708" s="6">
        <v>710</v>
      </c>
      <c r="C708" s="6"/>
      <c r="D708" s="6"/>
      <c r="E708" s="233"/>
      <c r="F708" s="6"/>
      <c r="G708" s="6"/>
      <c r="H708" s="6"/>
    </row>
    <row r="709" spans="2:8" x14ac:dyDescent="0.3">
      <c r="B709" s="6">
        <v>711</v>
      </c>
      <c r="C709" s="6"/>
      <c r="D709" s="6"/>
      <c r="E709" s="233"/>
      <c r="F709" s="6"/>
      <c r="G709" s="6"/>
      <c r="H709" s="6"/>
    </row>
    <row r="710" spans="2:8" x14ac:dyDescent="0.3">
      <c r="B710" s="6">
        <v>712</v>
      </c>
      <c r="C710" s="6"/>
      <c r="D710" s="6"/>
      <c r="E710" s="233"/>
      <c r="F710" s="6"/>
      <c r="G710" s="6"/>
      <c r="H710" s="6"/>
    </row>
    <row r="711" spans="2:8" x14ac:dyDescent="0.3">
      <c r="B711" s="6">
        <v>713</v>
      </c>
      <c r="C711" s="6"/>
      <c r="D711" s="6"/>
      <c r="E711" s="233"/>
      <c r="F711" s="6"/>
      <c r="G711" s="6"/>
      <c r="H711" s="6"/>
    </row>
    <row r="712" spans="2:8" x14ac:dyDescent="0.3">
      <c r="B712" s="6">
        <v>714</v>
      </c>
      <c r="C712" s="6"/>
      <c r="D712" s="6"/>
      <c r="E712" s="233"/>
      <c r="F712" s="6"/>
      <c r="G712" s="6"/>
      <c r="H712" s="6"/>
    </row>
    <row r="713" spans="2:8" x14ac:dyDescent="0.3">
      <c r="B713" s="6">
        <v>715</v>
      </c>
      <c r="C713" s="6"/>
      <c r="D713" s="6"/>
      <c r="E713" s="233"/>
      <c r="F713" s="6"/>
      <c r="G713" s="6"/>
      <c r="H713" s="6"/>
    </row>
    <row r="714" spans="2:8" x14ac:dyDescent="0.3">
      <c r="B714" s="6">
        <v>716</v>
      </c>
      <c r="C714" s="6"/>
      <c r="D714" s="6"/>
      <c r="E714" s="233"/>
      <c r="F714" s="6"/>
      <c r="G714" s="6"/>
      <c r="H714" s="6"/>
    </row>
    <row r="715" spans="2:8" x14ac:dyDescent="0.3">
      <c r="B715" s="6">
        <v>717</v>
      </c>
      <c r="C715" s="6"/>
      <c r="D715" s="6"/>
      <c r="E715" s="233"/>
      <c r="F715" s="6"/>
      <c r="G715" s="6"/>
      <c r="H715" s="6"/>
    </row>
    <row r="716" spans="2:8" x14ac:dyDescent="0.3">
      <c r="B716" s="6">
        <v>718</v>
      </c>
      <c r="C716" s="6"/>
      <c r="D716" s="6"/>
      <c r="E716" s="233"/>
      <c r="F716" s="6"/>
      <c r="G716" s="6"/>
      <c r="H716" s="6"/>
    </row>
    <row r="717" spans="2:8" x14ac:dyDescent="0.3">
      <c r="B717" s="6">
        <v>719</v>
      </c>
      <c r="C717" s="6"/>
      <c r="D717" s="6"/>
      <c r="E717" s="233"/>
      <c r="F717" s="6"/>
      <c r="G717" s="6"/>
      <c r="H717" s="6"/>
    </row>
    <row r="718" spans="2:8" x14ac:dyDescent="0.3">
      <c r="B718" s="6">
        <v>720</v>
      </c>
      <c r="C718" s="6"/>
      <c r="D718" s="6"/>
      <c r="E718" s="233"/>
      <c r="F718" s="6"/>
      <c r="G718" s="6"/>
      <c r="H718" s="6"/>
    </row>
    <row r="719" spans="2:8" x14ac:dyDescent="0.3">
      <c r="B719" s="6">
        <v>721</v>
      </c>
      <c r="C719" s="6"/>
      <c r="D719" s="6"/>
      <c r="E719" s="233"/>
      <c r="F719" s="6"/>
      <c r="G719" s="6"/>
      <c r="H719" s="6"/>
    </row>
    <row r="720" spans="2:8" x14ac:dyDescent="0.3">
      <c r="B720" s="6">
        <v>722</v>
      </c>
      <c r="C720" s="6"/>
      <c r="D720" s="6"/>
      <c r="E720" s="233"/>
      <c r="F720" s="6"/>
      <c r="G720" s="6"/>
      <c r="H720" s="6"/>
    </row>
    <row r="721" spans="2:8" x14ac:dyDescent="0.3">
      <c r="B721" s="6">
        <v>723</v>
      </c>
      <c r="C721" s="6"/>
      <c r="D721" s="6"/>
      <c r="E721" s="233"/>
      <c r="F721" s="6"/>
      <c r="G721" s="6"/>
      <c r="H721" s="6"/>
    </row>
    <row r="722" spans="2:8" x14ac:dyDescent="0.3">
      <c r="B722" s="6">
        <v>724</v>
      </c>
      <c r="C722" s="6"/>
      <c r="D722" s="6"/>
      <c r="E722" s="233"/>
      <c r="F722" s="6"/>
      <c r="G722" s="6"/>
      <c r="H722" s="6"/>
    </row>
    <row r="723" spans="2:8" x14ac:dyDescent="0.3">
      <c r="B723" s="6">
        <v>725</v>
      </c>
      <c r="C723" s="6"/>
      <c r="D723" s="6"/>
      <c r="E723" s="233"/>
      <c r="F723" s="6"/>
      <c r="G723" s="6"/>
      <c r="H723" s="6"/>
    </row>
    <row r="724" spans="2:8" x14ac:dyDescent="0.3">
      <c r="B724" s="6">
        <v>726</v>
      </c>
      <c r="C724" s="6"/>
      <c r="D724" s="6"/>
      <c r="E724" s="233"/>
      <c r="F724" s="6"/>
      <c r="G724" s="6"/>
      <c r="H724" s="6"/>
    </row>
    <row r="725" spans="2:8" x14ac:dyDescent="0.3">
      <c r="B725" s="6">
        <v>727</v>
      </c>
      <c r="C725" s="6"/>
      <c r="D725" s="6"/>
      <c r="E725" s="233"/>
      <c r="F725" s="6"/>
      <c r="G725" s="6"/>
      <c r="H725" s="6"/>
    </row>
    <row r="726" spans="2:8" x14ac:dyDescent="0.3">
      <c r="B726" s="6">
        <v>728</v>
      </c>
      <c r="C726" s="6"/>
      <c r="D726" s="6"/>
      <c r="E726" s="233"/>
      <c r="F726" s="6"/>
      <c r="G726" s="6"/>
      <c r="H726" s="6"/>
    </row>
    <row r="727" spans="2:8" x14ac:dyDescent="0.3">
      <c r="B727" s="6">
        <v>729</v>
      </c>
      <c r="C727" s="6"/>
      <c r="D727" s="6"/>
      <c r="E727" s="233"/>
      <c r="F727" s="6"/>
      <c r="G727" s="6"/>
      <c r="H727" s="6"/>
    </row>
    <row r="728" spans="2:8" x14ac:dyDescent="0.3">
      <c r="B728" s="6">
        <v>730</v>
      </c>
      <c r="C728" s="6"/>
      <c r="D728" s="6"/>
      <c r="E728" s="233"/>
      <c r="F728" s="6"/>
      <c r="G728" s="6"/>
      <c r="H728" s="6"/>
    </row>
    <row r="729" spans="2:8" x14ac:dyDescent="0.3">
      <c r="B729" s="6">
        <v>731</v>
      </c>
      <c r="C729" s="6"/>
      <c r="D729" s="6"/>
      <c r="E729" s="233"/>
      <c r="F729" s="6"/>
      <c r="G729" s="6"/>
      <c r="H729" s="6"/>
    </row>
    <row r="730" spans="2:8" x14ac:dyDescent="0.3">
      <c r="B730" s="6">
        <v>732</v>
      </c>
      <c r="C730" s="6"/>
      <c r="D730" s="6"/>
      <c r="E730" s="233"/>
      <c r="F730" s="6"/>
      <c r="G730" s="6"/>
      <c r="H730" s="6"/>
    </row>
    <row r="731" spans="2:8" x14ac:dyDescent="0.3">
      <c r="B731" s="6">
        <v>733</v>
      </c>
      <c r="C731" s="6"/>
      <c r="D731" s="6"/>
      <c r="E731" s="233"/>
      <c r="F731" s="6"/>
      <c r="G731" s="6"/>
      <c r="H731" s="6"/>
    </row>
    <row r="732" spans="2:8" x14ac:dyDescent="0.3">
      <c r="B732" s="6">
        <v>734</v>
      </c>
      <c r="C732" s="6"/>
      <c r="D732" s="6"/>
      <c r="E732" s="233"/>
      <c r="F732" s="6"/>
      <c r="G732" s="6"/>
      <c r="H732" s="6"/>
    </row>
    <row r="733" spans="2:8" x14ac:dyDescent="0.3">
      <c r="B733" s="6">
        <v>735</v>
      </c>
      <c r="C733" s="6"/>
      <c r="D733" s="6"/>
      <c r="E733" s="233"/>
      <c r="F733" s="6"/>
      <c r="G733" s="6"/>
      <c r="H733" s="6"/>
    </row>
    <row r="734" spans="2:8" x14ac:dyDescent="0.3">
      <c r="B734" s="6">
        <v>736</v>
      </c>
      <c r="C734" s="6"/>
      <c r="D734" s="6"/>
      <c r="E734" s="233"/>
      <c r="F734" s="6"/>
      <c r="G734" s="6"/>
      <c r="H734" s="6"/>
    </row>
    <row r="735" spans="2:8" x14ac:dyDescent="0.3">
      <c r="B735" s="6">
        <v>737</v>
      </c>
      <c r="C735" s="6"/>
      <c r="D735" s="6"/>
      <c r="E735" s="233"/>
      <c r="F735" s="6"/>
      <c r="G735" s="6"/>
      <c r="H735" s="6"/>
    </row>
    <row r="736" spans="2:8" x14ac:dyDescent="0.3">
      <c r="B736" s="6">
        <v>738</v>
      </c>
      <c r="C736" s="6"/>
      <c r="D736" s="6"/>
      <c r="E736" s="233"/>
      <c r="F736" s="6"/>
      <c r="G736" s="6"/>
      <c r="H736" s="6"/>
    </row>
    <row r="737" spans="2:8" x14ac:dyDescent="0.3">
      <c r="B737" s="6">
        <v>739</v>
      </c>
      <c r="C737" s="6"/>
      <c r="D737" s="6"/>
      <c r="E737" s="233"/>
      <c r="F737" s="6"/>
      <c r="G737" s="6"/>
      <c r="H737" s="6"/>
    </row>
    <row r="738" spans="2:8" x14ac:dyDescent="0.3">
      <c r="B738" s="6">
        <v>740</v>
      </c>
      <c r="C738" s="6"/>
      <c r="D738" s="6"/>
      <c r="E738" s="233"/>
      <c r="F738" s="6"/>
      <c r="G738" s="6"/>
      <c r="H738" s="6"/>
    </row>
    <row r="739" spans="2:8" x14ac:dyDescent="0.3">
      <c r="B739" s="6">
        <v>741</v>
      </c>
      <c r="C739" s="6"/>
      <c r="D739" s="6"/>
      <c r="E739" s="233"/>
      <c r="F739" s="6"/>
      <c r="G739" s="6"/>
      <c r="H739" s="6"/>
    </row>
    <row r="740" spans="2:8" x14ac:dyDescent="0.3">
      <c r="B740" s="6">
        <v>742</v>
      </c>
      <c r="C740" s="6"/>
      <c r="D740" s="6"/>
      <c r="E740" s="233"/>
      <c r="F740" s="6"/>
      <c r="G740" s="6"/>
      <c r="H740" s="6"/>
    </row>
    <row r="741" spans="2:8" x14ac:dyDescent="0.3">
      <c r="B741" s="6">
        <v>743</v>
      </c>
      <c r="C741" s="6"/>
      <c r="D741" s="6"/>
      <c r="E741" s="233"/>
      <c r="F741" s="6"/>
      <c r="G741" s="6"/>
      <c r="H741" s="6"/>
    </row>
    <row r="742" spans="2:8" x14ac:dyDescent="0.3">
      <c r="B742" s="6">
        <v>744</v>
      </c>
      <c r="C742" s="6"/>
      <c r="D742" s="6"/>
      <c r="E742" s="233"/>
      <c r="F742" s="6"/>
      <c r="G742" s="6"/>
      <c r="H742" s="6"/>
    </row>
    <row r="743" spans="2:8" x14ac:dyDescent="0.3">
      <c r="B743" s="6">
        <v>745</v>
      </c>
      <c r="C743" s="6"/>
      <c r="D743" s="6"/>
      <c r="E743" s="233"/>
      <c r="F743" s="6"/>
      <c r="G743" s="6"/>
      <c r="H743" s="6"/>
    </row>
    <row r="744" spans="2:8" x14ac:dyDescent="0.3">
      <c r="B744" s="6">
        <v>746</v>
      </c>
      <c r="C744" s="6"/>
      <c r="D744" s="6"/>
      <c r="E744" s="233"/>
      <c r="F744" s="6"/>
      <c r="G744" s="6"/>
      <c r="H744" s="6"/>
    </row>
    <row r="745" spans="2:8" x14ac:dyDescent="0.3">
      <c r="B745" s="6">
        <v>747</v>
      </c>
      <c r="C745" s="6"/>
      <c r="D745" s="6"/>
      <c r="E745" s="233"/>
      <c r="F745" s="6"/>
      <c r="G745" s="6"/>
      <c r="H745" s="6"/>
    </row>
    <row r="746" spans="2:8" x14ac:dyDescent="0.3">
      <c r="B746" s="6">
        <v>748</v>
      </c>
      <c r="C746" s="6"/>
      <c r="D746" s="6"/>
      <c r="E746" s="233"/>
      <c r="F746" s="6"/>
      <c r="G746" s="6"/>
      <c r="H746" s="6"/>
    </row>
    <row r="747" spans="2:8" x14ac:dyDescent="0.3">
      <c r="B747" s="6">
        <v>749</v>
      </c>
      <c r="C747" s="6"/>
      <c r="D747" s="6"/>
      <c r="E747" s="233"/>
      <c r="F747" s="6"/>
      <c r="G747" s="6"/>
      <c r="H747" s="6"/>
    </row>
    <row r="748" spans="2:8" x14ac:dyDescent="0.3">
      <c r="B748" s="6">
        <v>750</v>
      </c>
      <c r="C748" s="6"/>
      <c r="D748" s="6"/>
      <c r="E748" s="233"/>
      <c r="F748" s="6"/>
      <c r="G748" s="6"/>
      <c r="H748" s="6"/>
    </row>
    <row r="749" spans="2:8" x14ac:dyDescent="0.3">
      <c r="B749" s="6">
        <v>751</v>
      </c>
      <c r="C749" s="6"/>
      <c r="D749" s="6"/>
      <c r="E749" s="233"/>
      <c r="F749" s="6"/>
      <c r="G749" s="6"/>
      <c r="H749" s="6"/>
    </row>
    <row r="750" spans="2:8" x14ac:dyDescent="0.3">
      <c r="B750" s="6">
        <v>752</v>
      </c>
      <c r="C750" s="6"/>
      <c r="D750" s="6"/>
      <c r="E750" s="233"/>
      <c r="F750" s="6"/>
      <c r="G750" s="6"/>
      <c r="H750" s="6"/>
    </row>
    <row r="751" spans="2:8" x14ac:dyDescent="0.3">
      <c r="B751" s="6">
        <v>753</v>
      </c>
      <c r="C751" s="6"/>
      <c r="D751" s="6"/>
      <c r="E751" s="233"/>
      <c r="F751" s="6"/>
      <c r="G751" s="6"/>
      <c r="H751" s="6"/>
    </row>
    <row r="752" spans="2:8" x14ac:dyDescent="0.3">
      <c r="B752" s="6">
        <v>754</v>
      </c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36">
    <mergeCell ref="S152:X152"/>
    <mergeCell ref="B2:H2"/>
    <mergeCell ref="C172:C180"/>
    <mergeCell ref="K153:P153"/>
    <mergeCell ref="S153:X153"/>
    <mergeCell ref="C100:C120"/>
    <mergeCell ref="C163:C171"/>
    <mergeCell ref="C148:C162"/>
    <mergeCell ref="C130:C147"/>
    <mergeCell ref="K152:P152"/>
    <mergeCell ref="C4:C15"/>
    <mergeCell ref="C16:C24"/>
    <mergeCell ref="C121:C129"/>
    <mergeCell ref="T2:V2"/>
    <mergeCell ref="C52:C60"/>
    <mergeCell ref="C37:C48"/>
    <mergeCell ref="C67:C75"/>
    <mergeCell ref="C25:C36"/>
    <mergeCell ref="C61:C66"/>
    <mergeCell ref="L249:P249"/>
    <mergeCell ref="C299:C308"/>
    <mergeCell ref="C249:C275"/>
    <mergeCell ref="C181:C192"/>
    <mergeCell ref="C88:C99"/>
    <mergeCell ref="C76:C87"/>
    <mergeCell ref="C231:C248"/>
    <mergeCell ref="C202:C210"/>
    <mergeCell ref="C211:C230"/>
    <mergeCell ref="C193:C201"/>
    <mergeCell ref="C320:C325"/>
    <mergeCell ref="C309:C317"/>
    <mergeCell ref="D305:H305"/>
    <mergeCell ref="C285:C298"/>
    <mergeCell ref="C276:C284"/>
    <mergeCell ref="C319:H319"/>
    <mergeCell ref="C318:H318"/>
  </mergeCells>
  <phoneticPr fontId="118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1"/>
  <sheetViews>
    <sheetView topLeftCell="G1" zoomScale="85" zoomScaleNormal="85" workbookViewId="0">
      <pane ySplit="4" topLeftCell="A107" activePane="bottomLeft" state="frozen"/>
      <selection pane="bottomLeft" activeCell="L121" sqref="L121:L122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671" t="s">
        <v>63</v>
      </c>
      <c r="B3" s="1672"/>
      <c r="C3" s="1672"/>
      <c r="D3" s="1672"/>
      <c r="E3" s="1672"/>
      <c r="F3" s="1672"/>
      <c r="G3" s="1672"/>
      <c r="H3" s="1672"/>
      <c r="I3" s="1672"/>
      <c r="J3" s="1672"/>
      <c r="K3" s="1672"/>
      <c r="L3" s="1672"/>
    </row>
    <row r="4" spans="1:36" ht="28.8" x14ac:dyDescent="0.3">
      <c r="A4" s="1675" t="s">
        <v>0</v>
      </c>
      <c r="B4" s="1675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673">
        <v>46265</v>
      </c>
      <c r="B5" s="1674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586">
        <v>1</v>
      </c>
      <c r="J5" s="900">
        <f>(720-G5)/60</f>
        <v>10.433333333333334</v>
      </c>
      <c r="K5" s="901">
        <f>J5/12</f>
        <v>0.86944444444444446</v>
      </c>
      <c r="L5" s="1651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669">
        <v>46265</v>
      </c>
      <c r="B6" s="1670"/>
      <c r="C6" s="769" t="s">
        <v>13</v>
      </c>
      <c r="D6" s="592"/>
      <c r="E6" s="586"/>
      <c r="F6" s="501"/>
      <c r="G6" s="502">
        <f>(F6-E6)*1440</f>
        <v>0</v>
      </c>
      <c r="H6" s="587"/>
      <c r="I6" s="1586"/>
      <c r="J6" s="809">
        <f>(720-G6)/60</f>
        <v>12</v>
      </c>
      <c r="K6" s="812">
        <f t="shared" ref="K6:K8" si="1">J6/12</f>
        <v>1</v>
      </c>
      <c r="L6" s="1651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669">
        <v>46266</v>
      </c>
      <c r="B7" s="1670"/>
      <c r="C7" s="769" t="s">
        <v>12</v>
      </c>
      <c r="D7" s="592"/>
      <c r="E7" s="586"/>
      <c r="F7" s="501"/>
      <c r="G7" s="502">
        <f>(F7-E7)*1440</f>
        <v>0</v>
      </c>
      <c r="H7" s="587"/>
      <c r="I7" s="1586"/>
      <c r="J7" s="809">
        <f>(720-G7)/60</f>
        <v>12</v>
      </c>
      <c r="K7" s="812">
        <f t="shared" si="1"/>
        <v>1</v>
      </c>
      <c r="L7" s="1651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669">
        <v>46266</v>
      </c>
      <c r="B8" s="1670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587"/>
      <c r="J8" s="809">
        <f t="shared" ref="J8:J14" si="5">(720-G8)/60</f>
        <v>10.9</v>
      </c>
      <c r="K8" s="812">
        <f t="shared" si="1"/>
        <v>0.90833333333333333</v>
      </c>
      <c r="L8" s="1651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667">
        <v>46267</v>
      </c>
      <c r="B9" s="1668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582">
        <v>2</v>
      </c>
      <c r="J9" s="810">
        <f t="shared" si="5"/>
        <v>10</v>
      </c>
      <c r="K9" s="813">
        <f>J9/12</f>
        <v>0.83333333333333337</v>
      </c>
      <c r="L9" s="1650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667">
        <v>46267</v>
      </c>
      <c r="B10" s="1668"/>
      <c r="C10" s="826" t="s">
        <v>13</v>
      </c>
      <c r="D10" s="594"/>
      <c r="E10" s="498"/>
      <c r="F10" s="498"/>
      <c r="G10" s="499">
        <f t="shared" si="4"/>
        <v>0</v>
      </c>
      <c r="H10" s="589"/>
      <c r="I10" s="1583"/>
      <c r="J10" s="810">
        <f t="shared" si="5"/>
        <v>12</v>
      </c>
      <c r="K10" s="813">
        <f t="shared" ref="K10:K14" si="6">J10/12</f>
        <v>1</v>
      </c>
      <c r="L10" s="1650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667">
        <v>46268</v>
      </c>
      <c r="B11" s="1668"/>
      <c r="C11" s="826" t="s">
        <v>12</v>
      </c>
      <c r="D11" s="594"/>
      <c r="E11" s="498"/>
      <c r="F11" s="498"/>
      <c r="G11" s="499">
        <f t="shared" si="4"/>
        <v>0</v>
      </c>
      <c r="H11" s="589"/>
      <c r="I11" s="1583"/>
      <c r="J11" s="810">
        <f t="shared" si="5"/>
        <v>12</v>
      </c>
      <c r="K11" s="813">
        <f t="shared" si="6"/>
        <v>1</v>
      </c>
      <c r="L11" s="1650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667">
        <v>46268</v>
      </c>
      <c r="B12" s="1668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583"/>
      <c r="J12" s="810">
        <f t="shared" si="5"/>
        <v>11</v>
      </c>
      <c r="K12" s="813">
        <f t="shared" si="6"/>
        <v>0.91666666666666663</v>
      </c>
      <c r="L12" s="1650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667">
        <v>46269</v>
      </c>
      <c r="B13" s="1668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583"/>
      <c r="J13" s="810">
        <f t="shared" si="5"/>
        <v>0</v>
      </c>
      <c r="K13" s="813">
        <f t="shared" si="6"/>
        <v>0</v>
      </c>
      <c r="L13" s="1650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667">
        <v>46269</v>
      </c>
      <c r="B14" s="1668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584"/>
      <c r="J14" s="810">
        <f t="shared" si="5"/>
        <v>0</v>
      </c>
      <c r="K14" s="813">
        <f t="shared" si="6"/>
        <v>0</v>
      </c>
      <c r="L14" s="1650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669">
        <v>46270</v>
      </c>
      <c r="B15" s="1670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585">
        <v>3</v>
      </c>
      <c r="J15" s="809">
        <f>(720-G15)/60</f>
        <v>0</v>
      </c>
      <c r="K15" s="812">
        <f>J15/12</f>
        <v>0</v>
      </c>
      <c r="L15" s="1651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669">
        <v>46270</v>
      </c>
      <c r="B16" s="1670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586"/>
      <c r="J16" s="809">
        <f t="shared" ref="J16:J19" si="8">(720-G16)/60</f>
        <v>11</v>
      </c>
      <c r="K16" s="812">
        <f t="shared" ref="K16:K19" si="9">J16/12</f>
        <v>0.91666666666666663</v>
      </c>
      <c r="L16" s="1651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669">
        <v>46271</v>
      </c>
      <c r="B17" s="1670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586"/>
      <c r="J17" s="809">
        <f t="shared" si="8"/>
        <v>9.8333333333333339</v>
      </c>
      <c r="K17" s="812">
        <f t="shared" si="9"/>
        <v>0.81944444444444453</v>
      </c>
      <c r="L17" s="1651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669">
        <v>46271</v>
      </c>
      <c r="B18" s="1670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586"/>
      <c r="J18" s="809">
        <f t="shared" si="8"/>
        <v>12</v>
      </c>
      <c r="K18" s="812">
        <f t="shared" si="9"/>
        <v>1</v>
      </c>
      <c r="L18" s="1651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669">
        <v>46272</v>
      </c>
      <c r="B19" s="1670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587"/>
      <c r="J19" s="809">
        <f t="shared" si="8"/>
        <v>11.683333333333334</v>
      </c>
      <c r="K19" s="812">
        <f t="shared" si="9"/>
        <v>0.97361111111111109</v>
      </c>
      <c r="L19" s="1660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667">
        <v>46272</v>
      </c>
      <c r="B20" s="1668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661">
        <v>4</v>
      </c>
      <c r="J20" s="810">
        <f>(720-G20)/60</f>
        <v>10.766666666666667</v>
      </c>
      <c r="K20" s="813">
        <f>J20/12</f>
        <v>0.89722222222222225</v>
      </c>
      <c r="L20" s="1660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667">
        <v>46273</v>
      </c>
      <c r="B21" s="1668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662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650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667">
        <v>46273</v>
      </c>
      <c r="B22" s="1668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662"/>
      <c r="J22" s="810">
        <f t="shared" si="10"/>
        <v>9.4499999999999993</v>
      </c>
      <c r="K22" s="813">
        <f t="shared" si="11"/>
        <v>0.78749999999999998</v>
      </c>
      <c r="L22" s="1650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667">
        <v>46274</v>
      </c>
      <c r="B23" s="1668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663"/>
      <c r="J23" s="810">
        <f t="shared" si="10"/>
        <v>3</v>
      </c>
      <c r="K23" s="813">
        <f t="shared" si="11"/>
        <v>0.25</v>
      </c>
      <c r="L23" s="1650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628">
        <v>46274</v>
      </c>
      <c r="B24" s="1629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650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669">
        <v>46275</v>
      </c>
      <c r="B25" s="1670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664">
        <v>5</v>
      </c>
      <c r="J25" s="809">
        <f>(720-G25)/60</f>
        <v>10.566666666666666</v>
      </c>
      <c r="K25" s="812">
        <f>J25/12</f>
        <v>0.88055555555555554</v>
      </c>
      <c r="L25" s="1651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669">
        <v>46275</v>
      </c>
      <c r="B26" s="1670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665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651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669">
        <v>46276</v>
      </c>
      <c r="B27" s="1670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666"/>
      <c r="J27" s="809">
        <f t="shared" si="13"/>
        <v>10.983333333333333</v>
      </c>
      <c r="K27" s="812">
        <f t="shared" si="14"/>
        <v>0.91527777777777775</v>
      </c>
      <c r="L27" s="1660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680">
        <v>46276</v>
      </c>
      <c r="B28" s="1681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686">
        <v>6</v>
      </c>
      <c r="J28" s="810">
        <f>(720-G28)/60</f>
        <v>2</v>
      </c>
      <c r="K28" s="813">
        <f>J28/12</f>
        <v>0.16666666666666666</v>
      </c>
      <c r="L28" s="1660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676">
        <v>46277</v>
      </c>
      <c r="B29" s="1677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687"/>
      <c r="J29" s="810">
        <f t="shared" ref="J29:J33" si="15">(720-G29)/60</f>
        <v>0</v>
      </c>
      <c r="K29" s="813">
        <f t="shared" ref="K29:K33" si="16">J29/12</f>
        <v>0</v>
      </c>
      <c r="L29" s="1650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678">
        <v>46277</v>
      </c>
      <c r="B30" s="1679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687"/>
      <c r="J30" s="810">
        <f t="shared" si="15"/>
        <v>0</v>
      </c>
      <c r="K30" s="813">
        <f t="shared" si="16"/>
        <v>0</v>
      </c>
      <c r="L30" s="1650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680">
        <v>46278</v>
      </c>
      <c r="B31" s="1681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687"/>
      <c r="J31" s="810">
        <f t="shared" si="15"/>
        <v>0</v>
      </c>
      <c r="K31" s="813">
        <f t="shared" si="16"/>
        <v>0</v>
      </c>
      <c r="L31" s="1650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682">
        <v>46278</v>
      </c>
      <c r="B32" s="1683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687"/>
      <c r="J32" s="810">
        <f t="shared" si="15"/>
        <v>0</v>
      </c>
      <c r="K32" s="813">
        <f t="shared" si="16"/>
        <v>0</v>
      </c>
      <c r="L32" s="1650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684">
        <v>46279</v>
      </c>
      <c r="B33" s="1685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688"/>
      <c r="J33" s="810">
        <f t="shared" si="15"/>
        <v>0</v>
      </c>
      <c r="K33" s="813">
        <f t="shared" si="16"/>
        <v>0</v>
      </c>
      <c r="L33" s="1660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673">
        <v>46279</v>
      </c>
      <c r="B34" s="1674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645">
        <v>7</v>
      </c>
      <c r="J34" s="809">
        <f>(720-G34)/60</f>
        <v>10</v>
      </c>
      <c r="K34" s="812">
        <f>J34/12</f>
        <v>0.83333333333333337</v>
      </c>
      <c r="L34" s="1660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669">
        <v>46280</v>
      </c>
      <c r="B35" s="1670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586"/>
      <c r="J35" s="809">
        <f t="shared" ref="J35:J36" si="20">(720-G35)/60</f>
        <v>12</v>
      </c>
      <c r="K35" s="812">
        <f t="shared" ref="K35:K36" si="21">J35/12</f>
        <v>1</v>
      </c>
      <c r="L35" s="1651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669">
        <v>46280</v>
      </c>
      <c r="B36" s="1670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587"/>
      <c r="J36" s="809">
        <f t="shared" si="20"/>
        <v>12</v>
      </c>
      <c r="K36" s="812">
        <f t="shared" si="21"/>
        <v>1</v>
      </c>
      <c r="L36" s="1651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667">
        <v>46281</v>
      </c>
      <c r="B37" s="1668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647">
        <v>8</v>
      </c>
      <c r="J37" s="810">
        <f>(720-G37)/60</f>
        <v>12</v>
      </c>
      <c r="K37" s="813">
        <f>J37/12</f>
        <v>1</v>
      </c>
      <c r="L37" s="1650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667">
        <v>46281</v>
      </c>
      <c r="B38" s="1668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648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650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667">
        <v>46282</v>
      </c>
      <c r="B39" s="1668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648"/>
      <c r="J39" s="810">
        <f t="shared" si="22"/>
        <v>12</v>
      </c>
      <c r="K39" s="813">
        <f t="shared" si="23"/>
        <v>1</v>
      </c>
      <c r="L39" s="1650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614">
        <v>46282</v>
      </c>
      <c r="B40" s="1615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649"/>
      <c r="J40" s="939">
        <f t="shared" si="22"/>
        <v>12</v>
      </c>
      <c r="K40" s="940">
        <f t="shared" si="23"/>
        <v>1</v>
      </c>
      <c r="L40" s="1650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641">
        <v>46283</v>
      </c>
      <c r="B41" s="1642"/>
      <c r="C41" s="966" t="s">
        <v>12</v>
      </c>
      <c r="D41" s="990" t="s">
        <v>540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646</v>
      </c>
      <c r="I41" s="1638">
        <v>9</v>
      </c>
      <c r="J41" s="994">
        <f t="shared" si="22"/>
        <v>9.0833333333333339</v>
      </c>
      <c r="K41" s="995">
        <f t="shared" si="23"/>
        <v>0.75694444444444453</v>
      </c>
      <c r="L41" s="1646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641">
        <v>46283</v>
      </c>
      <c r="B42" s="1642"/>
      <c r="C42" s="966" t="s">
        <v>13</v>
      </c>
      <c r="D42" s="996" t="s">
        <v>647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648</v>
      </c>
      <c r="I42" s="1639"/>
      <c r="J42" s="994">
        <f t="shared" si="22"/>
        <v>12</v>
      </c>
      <c r="K42" s="995">
        <f t="shared" si="23"/>
        <v>1</v>
      </c>
      <c r="L42" s="1646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641">
        <v>46284</v>
      </c>
      <c r="B43" s="1642"/>
      <c r="C43" s="966" t="s">
        <v>12</v>
      </c>
      <c r="D43" s="1022" t="s">
        <v>507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648</v>
      </c>
      <c r="I43" s="1639"/>
      <c r="J43" s="994">
        <f t="shared" si="22"/>
        <v>12</v>
      </c>
      <c r="K43" s="995">
        <f t="shared" si="23"/>
        <v>1</v>
      </c>
      <c r="L43" s="1646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641">
        <v>46284</v>
      </c>
      <c r="B44" s="1642"/>
      <c r="C44" s="966" t="s">
        <v>13</v>
      </c>
      <c r="D44" s="1022" t="s">
        <v>650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649</v>
      </c>
      <c r="I44" s="1640"/>
      <c r="J44" s="994">
        <f t="shared" si="22"/>
        <v>6</v>
      </c>
      <c r="K44" s="995">
        <f t="shared" si="23"/>
        <v>0.5</v>
      </c>
      <c r="L44" s="1646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614">
        <v>46285</v>
      </c>
      <c r="B45" s="1615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652</v>
      </c>
      <c r="I45" s="1635">
        <v>10</v>
      </c>
      <c r="J45" s="939">
        <f t="shared" si="22"/>
        <v>0</v>
      </c>
      <c r="K45" s="940">
        <f t="shared" si="23"/>
        <v>0</v>
      </c>
      <c r="L45" s="1659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614">
        <v>46285</v>
      </c>
      <c r="B46" s="1615"/>
      <c r="C46" s="907" t="s">
        <v>13</v>
      </c>
      <c r="D46" s="1055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655</v>
      </c>
      <c r="I46" s="1636"/>
      <c r="J46" s="939">
        <f t="shared" si="22"/>
        <v>0</v>
      </c>
      <c r="K46" s="940">
        <f t="shared" si="23"/>
        <v>0</v>
      </c>
      <c r="L46" s="1659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614">
        <v>46286</v>
      </c>
      <c r="B47" s="1615"/>
      <c r="C47" s="907" t="s">
        <v>12</v>
      </c>
      <c r="D47" s="1068" t="s">
        <v>506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664</v>
      </c>
      <c r="I47" s="1636"/>
      <c r="J47" s="939">
        <f>(720-G47)/60</f>
        <v>2.4166666666666665</v>
      </c>
      <c r="K47" s="940">
        <f t="shared" si="23"/>
        <v>0.20138888888888887</v>
      </c>
      <c r="L47" s="1659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614">
        <v>46286</v>
      </c>
      <c r="B48" s="1615"/>
      <c r="C48" s="907" t="s">
        <v>13</v>
      </c>
      <c r="D48" s="1074" t="s">
        <v>540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666</v>
      </c>
      <c r="I48" s="1636"/>
      <c r="J48" s="939">
        <f t="shared" si="22"/>
        <v>11.5</v>
      </c>
      <c r="K48" s="940">
        <f t="shared" si="23"/>
        <v>0.95833333333333337</v>
      </c>
      <c r="L48" s="1659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614">
        <v>46287</v>
      </c>
      <c r="B49" s="1615"/>
      <c r="C49" s="907" t="s">
        <v>12</v>
      </c>
      <c r="D49" s="1080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689</v>
      </c>
      <c r="I49" s="1636"/>
      <c r="J49" s="939">
        <f t="shared" si="22"/>
        <v>12</v>
      </c>
      <c r="K49" s="940">
        <f t="shared" si="23"/>
        <v>1</v>
      </c>
      <c r="L49" s="1659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614">
        <v>46287</v>
      </c>
      <c r="B50" s="1615"/>
      <c r="C50" s="907" t="s">
        <v>13</v>
      </c>
      <c r="D50" s="1083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693</v>
      </c>
      <c r="I50" s="1636"/>
      <c r="J50" s="939">
        <f t="shared" si="22"/>
        <v>9.25</v>
      </c>
      <c r="K50" s="940">
        <f t="shared" si="23"/>
        <v>0.77083333333333337</v>
      </c>
      <c r="L50" s="1659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614">
        <v>46288</v>
      </c>
      <c r="B51" s="1615"/>
      <c r="C51" s="907" t="s">
        <v>12</v>
      </c>
      <c r="D51" s="1098" t="s">
        <v>506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698</v>
      </c>
      <c r="I51" s="1636"/>
      <c r="J51" s="939">
        <f t="shared" si="22"/>
        <v>7.5</v>
      </c>
      <c r="K51" s="940">
        <f t="shared" si="23"/>
        <v>0.625</v>
      </c>
      <c r="L51" s="1659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614">
        <v>46288</v>
      </c>
      <c r="B52" s="1615"/>
      <c r="C52" s="907" t="s">
        <v>13</v>
      </c>
      <c r="D52" s="1098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699</v>
      </c>
      <c r="I52" s="1636"/>
      <c r="J52" s="939">
        <f t="shared" si="22"/>
        <v>12</v>
      </c>
      <c r="K52" s="940">
        <f t="shared" si="23"/>
        <v>1</v>
      </c>
      <c r="L52" s="1659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614">
        <v>46289</v>
      </c>
      <c r="B53" s="1615"/>
      <c r="C53" s="907" t="s">
        <v>12</v>
      </c>
      <c r="D53" s="1098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702</v>
      </c>
      <c r="I53" s="1637"/>
      <c r="J53" s="939">
        <f t="shared" si="22"/>
        <v>12</v>
      </c>
      <c r="K53" s="940">
        <f t="shared" si="23"/>
        <v>1</v>
      </c>
      <c r="L53" s="1659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641">
        <v>46289</v>
      </c>
      <c r="B54" s="1642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703</v>
      </c>
      <c r="I54" s="1638">
        <v>11</v>
      </c>
      <c r="J54" s="994">
        <f t="shared" si="22"/>
        <v>12</v>
      </c>
      <c r="K54" s="995">
        <f t="shared" si="23"/>
        <v>1</v>
      </c>
      <c r="L54" s="1659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641">
        <v>46290</v>
      </c>
      <c r="B55" s="1642"/>
      <c r="C55" s="966" t="s">
        <v>12</v>
      </c>
      <c r="D55" s="1121" t="s">
        <v>506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707</v>
      </c>
      <c r="I55" s="1639"/>
      <c r="J55" s="994">
        <f t="shared" si="22"/>
        <v>9.3166666666666664</v>
      </c>
      <c r="K55" s="995">
        <f t="shared" si="23"/>
        <v>0.77638888888888891</v>
      </c>
      <c r="L55" s="1634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641">
        <v>46290</v>
      </c>
      <c r="B56" s="1642"/>
      <c r="C56" s="966" t="s">
        <v>13</v>
      </c>
      <c r="D56" s="1129" t="s">
        <v>739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740</v>
      </c>
      <c r="I56" s="1639"/>
      <c r="J56" s="994">
        <f t="shared" si="22"/>
        <v>0</v>
      </c>
      <c r="K56" s="995">
        <f t="shared" si="23"/>
        <v>0</v>
      </c>
      <c r="L56" s="1634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641">
        <v>46291</v>
      </c>
      <c r="B57" s="1642"/>
      <c r="C57" s="966" t="s">
        <v>12</v>
      </c>
      <c r="D57" s="1157" t="s">
        <v>540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748</v>
      </c>
      <c r="I57" s="1639"/>
      <c r="J57" s="994">
        <f t="shared" si="22"/>
        <v>0</v>
      </c>
      <c r="K57" s="995">
        <f t="shared" si="23"/>
        <v>0</v>
      </c>
      <c r="L57" s="1634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641">
        <v>46291</v>
      </c>
      <c r="B58" s="1642"/>
      <c r="C58" s="966" t="s">
        <v>13</v>
      </c>
      <c r="D58" s="1157" t="s">
        <v>506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749</v>
      </c>
      <c r="I58" s="1640"/>
      <c r="J58" s="994">
        <f t="shared" si="22"/>
        <v>0</v>
      </c>
      <c r="K58" s="995">
        <f t="shared" si="23"/>
        <v>0</v>
      </c>
      <c r="L58" s="1634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614">
        <v>46292</v>
      </c>
      <c r="B59" s="1615"/>
      <c r="C59" s="907" t="s">
        <v>12</v>
      </c>
      <c r="D59" s="1160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748</v>
      </c>
      <c r="I59" s="1635">
        <v>12</v>
      </c>
      <c r="J59" s="939">
        <f t="shared" si="22"/>
        <v>8</v>
      </c>
      <c r="K59" s="940">
        <f t="shared" si="23"/>
        <v>0.66666666666666663</v>
      </c>
      <c r="L59" s="1658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614">
        <v>46292</v>
      </c>
      <c r="B60" s="1615"/>
      <c r="C60" s="907" t="s">
        <v>13</v>
      </c>
      <c r="D60" s="1160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750</v>
      </c>
      <c r="I60" s="1636"/>
      <c r="J60" s="939">
        <f t="shared" si="22"/>
        <v>11</v>
      </c>
      <c r="K60" s="940">
        <f t="shared" si="23"/>
        <v>0.91666666666666663</v>
      </c>
      <c r="L60" s="1658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614">
        <v>46293</v>
      </c>
      <c r="B61" s="1615"/>
      <c r="C61" s="907" t="s">
        <v>12</v>
      </c>
      <c r="D61" s="1165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756</v>
      </c>
      <c r="I61" s="1636"/>
      <c r="J61" s="939">
        <f t="shared" si="22"/>
        <v>12</v>
      </c>
      <c r="K61" s="940">
        <f t="shared" si="23"/>
        <v>1</v>
      </c>
      <c r="L61" s="1658">
        <f>SUM(J61:J62)/24</f>
        <v>1</v>
      </c>
      <c r="M61" s="43"/>
      <c r="Q61" s="10"/>
    </row>
    <row r="62" spans="1:20" ht="28.8" x14ac:dyDescent="0.3">
      <c r="A62" s="1614">
        <v>46293</v>
      </c>
      <c r="B62" s="1615"/>
      <c r="C62" s="907" t="s">
        <v>13</v>
      </c>
      <c r="D62" s="1165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755</v>
      </c>
      <c r="I62" s="1636"/>
      <c r="J62" s="939">
        <f t="shared" si="22"/>
        <v>12</v>
      </c>
      <c r="K62" s="940">
        <f t="shared" si="23"/>
        <v>1</v>
      </c>
      <c r="L62" s="1658"/>
      <c r="N62" s="10"/>
      <c r="P62" s="10"/>
    </row>
    <row r="63" spans="1:20" x14ac:dyDescent="0.3">
      <c r="A63" s="1614">
        <v>46294</v>
      </c>
      <c r="B63" s="1615"/>
      <c r="C63" s="907" t="s">
        <v>12</v>
      </c>
      <c r="D63" s="1168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757</v>
      </c>
      <c r="I63" s="1637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628">
        <v>46294</v>
      </c>
      <c r="B64" s="1629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628">
        <v>46295</v>
      </c>
      <c r="B65" s="1629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628">
        <v>46295</v>
      </c>
      <c r="B66" s="1629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614">
        <v>46296</v>
      </c>
      <c r="B67" s="1615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807</v>
      </c>
      <c r="I67" s="106"/>
      <c r="J67" s="939">
        <f t="shared" si="22"/>
        <v>0</v>
      </c>
      <c r="K67" s="940">
        <f t="shared" si="23"/>
        <v>0</v>
      </c>
      <c r="L67" s="1630">
        <f>SUM(J67:J68)/24</f>
        <v>0</v>
      </c>
      <c r="M67" s="29"/>
    </row>
    <row r="68" spans="1:19" x14ac:dyDescent="0.3">
      <c r="A68" s="1614">
        <v>46296</v>
      </c>
      <c r="B68" s="1615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807</v>
      </c>
      <c r="I68" s="106"/>
      <c r="J68" s="939">
        <f t="shared" si="22"/>
        <v>0</v>
      </c>
      <c r="K68" s="940">
        <f t="shared" si="23"/>
        <v>0</v>
      </c>
      <c r="L68" s="1631"/>
      <c r="S68" s="1057" t="s">
        <v>657</v>
      </c>
    </row>
    <row r="69" spans="1:19" x14ac:dyDescent="0.3">
      <c r="A69" s="1614">
        <v>46297</v>
      </c>
      <c r="B69" s="1615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808</v>
      </c>
      <c r="I69" s="106"/>
      <c r="J69" s="939">
        <f t="shared" si="22"/>
        <v>0</v>
      </c>
      <c r="K69" s="940">
        <f t="shared" si="23"/>
        <v>0</v>
      </c>
      <c r="L69" s="1630">
        <f t="shared" ref="L69" si="33">SUM(J69:J70)/24</f>
        <v>0</v>
      </c>
    </row>
    <row r="70" spans="1:19" x14ac:dyDescent="0.3">
      <c r="A70" s="1614">
        <v>46297</v>
      </c>
      <c r="B70" s="1615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809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631"/>
    </row>
    <row r="71" spans="1:19" x14ac:dyDescent="0.3">
      <c r="A71" s="1614">
        <v>46298</v>
      </c>
      <c r="B71" s="1615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809</v>
      </c>
      <c r="I71" s="106"/>
      <c r="J71" s="939">
        <f t="shared" si="35"/>
        <v>0</v>
      </c>
      <c r="K71" s="940">
        <f t="shared" si="36"/>
        <v>0</v>
      </c>
      <c r="L71" s="1630">
        <f t="shared" ref="L71:L73" si="37">SUM(J71:J72)/24</f>
        <v>0</v>
      </c>
    </row>
    <row r="72" spans="1:19" x14ac:dyDescent="0.3">
      <c r="A72" s="1614">
        <v>46298</v>
      </c>
      <c r="B72" s="1615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809</v>
      </c>
      <c r="I72" s="106"/>
      <c r="J72" s="939">
        <f t="shared" si="35"/>
        <v>0</v>
      </c>
      <c r="K72" s="940">
        <f t="shared" si="36"/>
        <v>0</v>
      </c>
      <c r="L72" s="1631"/>
    </row>
    <row r="73" spans="1:19" x14ac:dyDescent="0.3">
      <c r="A73" s="1641">
        <v>46299</v>
      </c>
      <c r="B73" s="1642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811</v>
      </c>
      <c r="I73" s="122"/>
      <c r="J73" s="994">
        <f t="shared" si="35"/>
        <v>12</v>
      </c>
      <c r="K73" s="995">
        <f t="shared" si="36"/>
        <v>1</v>
      </c>
      <c r="L73" s="1643">
        <f t="shared" si="37"/>
        <v>0.99305555555555569</v>
      </c>
    </row>
    <row r="74" spans="1:19" x14ac:dyDescent="0.3">
      <c r="A74" s="1641">
        <v>46299</v>
      </c>
      <c r="B74" s="1642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768</v>
      </c>
      <c r="I74" s="1638">
        <v>13</v>
      </c>
      <c r="J74" s="994">
        <f t="shared" si="35"/>
        <v>11.833333333333334</v>
      </c>
      <c r="K74" s="995">
        <f t="shared" si="36"/>
        <v>0.98611111111111116</v>
      </c>
      <c r="L74" s="1644"/>
    </row>
    <row r="75" spans="1:19" x14ac:dyDescent="0.3">
      <c r="A75" s="1641">
        <v>46300</v>
      </c>
      <c r="B75" s="1642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810</v>
      </c>
      <c r="I75" s="1639"/>
      <c r="J75" s="994">
        <f t="shared" si="35"/>
        <v>12</v>
      </c>
      <c r="K75" s="995">
        <f t="shared" si="36"/>
        <v>1</v>
      </c>
      <c r="L75" s="1643">
        <f>SUM(J75:J76)/24</f>
        <v>0.5</v>
      </c>
    </row>
    <row r="76" spans="1:19" x14ac:dyDescent="0.3">
      <c r="A76" s="1641">
        <v>46300</v>
      </c>
      <c r="B76" s="1642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776</v>
      </c>
      <c r="I76" s="1639"/>
      <c r="J76" s="994">
        <f t="shared" si="35"/>
        <v>0</v>
      </c>
      <c r="K76" s="995">
        <f t="shared" si="36"/>
        <v>0</v>
      </c>
      <c r="L76" s="1644"/>
    </row>
    <row r="77" spans="1:19" x14ac:dyDescent="0.3">
      <c r="A77" s="1641">
        <v>46301</v>
      </c>
      <c r="B77" s="1642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2" si="38">(F77-E77)*1440</f>
        <v>720</v>
      </c>
      <c r="H77" s="1198" t="s">
        <v>778</v>
      </c>
      <c r="I77" s="1640"/>
      <c r="J77" s="994">
        <f t="shared" ref="J77:J142" si="39">(720-G77)/60</f>
        <v>0</v>
      </c>
      <c r="K77" s="995">
        <f t="shared" ref="K77:K142" si="40">J77/12</f>
        <v>0</v>
      </c>
      <c r="L77" s="1643">
        <f>SUM(J77:J78)/24</f>
        <v>0.16666666666666666</v>
      </c>
    </row>
    <row r="78" spans="1:19" x14ac:dyDescent="0.3">
      <c r="A78" s="1614">
        <v>46301</v>
      </c>
      <c r="B78" s="1615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777</v>
      </c>
      <c r="I78" s="1635">
        <v>14</v>
      </c>
      <c r="J78" s="939">
        <f t="shared" si="39"/>
        <v>4</v>
      </c>
      <c r="K78" s="940">
        <f t="shared" si="40"/>
        <v>0.33333333333333331</v>
      </c>
      <c r="L78" s="1644"/>
    </row>
    <row r="79" spans="1:19" ht="28.8" x14ac:dyDescent="0.3">
      <c r="A79" s="1614">
        <v>46302</v>
      </c>
      <c r="B79" s="1615"/>
      <c r="C79" s="907" t="s">
        <v>12</v>
      </c>
      <c r="D79" s="1210" t="s">
        <v>783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781</v>
      </c>
      <c r="I79" s="1636"/>
      <c r="J79" s="939">
        <f t="shared" si="39"/>
        <v>12</v>
      </c>
      <c r="K79" s="940">
        <f t="shared" si="40"/>
        <v>1</v>
      </c>
      <c r="L79" s="1630">
        <f>SUM(J79:J80)/24</f>
        <v>0.98611111111111105</v>
      </c>
    </row>
    <row r="80" spans="1:19" x14ac:dyDescent="0.3">
      <c r="A80" s="1614">
        <v>46302</v>
      </c>
      <c r="B80" s="1615"/>
      <c r="C80" s="907" t="s">
        <v>13</v>
      </c>
      <c r="D80" s="1210" t="s">
        <v>784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782</v>
      </c>
      <c r="I80" s="1637"/>
      <c r="J80" s="939">
        <f t="shared" si="39"/>
        <v>11.666666666666666</v>
      </c>
      <c r="K80" s="940">
        <f t="shared" si="40"/>
        <v>0.97222222222222221</v>
      </c>
      <c r="L80" s="1631"/>
    </row>
    <row r="81" spans="1:12" x14ac:dyDescent="0.3">
      <c r="A81" s="1626">
        <v>46303</v>
      </c>
      <c r="B81" s="1627"/>
      <c r="C81" s="1215" t="s">
        <v>12</v>
      </c>
      <c r="D81" s="1221" t="s">
        <v>783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788</v>
      </c>
      <c r="I81" s="1655">
        <v>15</v>
      </c>
      <c r="J81" s="1219">
        <f t="shared" si="39"/>
        <v>12</v>
      </c>
      <c r="K81" s="1220">
        <f t="shared" si="40"/>
        <v>1</v>
      </c>
      <c r="L81" s="1630">
        <f>SUM(J81:J82)/24</f>
        <v>0.97916666666666663</v>
      </c>
    </row>
    <row r="82" spans="1:12" x14ac:dyDescent="0.3">
      <c r="A82" s="1626">
        <v>46303</v>
      </c>
      <c r="B82" s="1627"/>
      <c r="C82" s="1215" t="s">
        <v>13</v>
      </c>
      <c r="D82" s="1221" t="s">
        <v>789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790</v>
      </c>
      <c r="I82" s="1656"/>
      <c r="J82" s="1219">
        <f t="shared" si="39"/>
        <v>11.5</v>
      </c>
      <c r="K82" s="1220">
        <f t="shared" si="40"/>
        <v>0.95833333333333337</v>
      </c>
      <c r="L82" s="1631"/>
    </row>
    <row r="83" spans="1:12" x14ac:dyDescent="0.3">
      <c r="A83" s="1626">
        <v>46304</v>
      </c>
      <c r="B83" s="1627"/>
      <c r="C83" s="1215" t="s">
        <v>12</v>
      </c>
      <c r="D83" s="1221" t="s">
        <v>791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657"/>
      <c r="J83" s="1219">
        <f t="shared" si="39"/>
        <v>10</v>
      </c>
      <c r="K83" s="1220">
        <f t="shared" si="40"/>
        <v>0.83333333333333337</v>
      </c>
      <c r="L83" s="1630">
        <f>SUM(J83:J84)/24</f>
        <v>0.91666666666666663</v>
      </c>
    </row>
    <row r="84" spans="1:12" x14ac:dyDescent="0.3">
      <c r="A84" s="1628">
        <v>46304</v>
      </c>
      <c r="B84" s="1629"/>
      <c r="C84" s="36" t="s">
        <v>13</v>
      </c>
      <c r="D84" s="65"/>
      <c r="E84" s="67"/>
      <c r="F84" s="67"/>
      <c r="G84" s="496">
        <f t="shared" si="38"/>
        <v>0</v>
      </c>
      <c r="H84" s="1262" t="s">
        <v>803</v>
      </c>
      <c r="I84" s="417"/>
      <c r="J84" s="418">
        <f t="shared" si="39"/>
        <v>12</v>
      </c>
      <c r="K84" s="811">
        <f t="shared" si="40"/>
        <v>1</v>
      </c>
      <c r="L84" s="1631"/>
    </row>
    <row r="85" spans="1:12" ht="28.8" x14ac:dyDescent="0.3">
      <c r="A85" s="1628">
        <v>46305</v>
      </c>
      <c r="B85" s="1629"/>
      <c r="C85" s="36" t="s">
        <v>12</v>
      </c>
      <c r="D85" s="65"/>
      <c r="E85" s="67"/>
      <c r="F85" s="67"/>
      <c r="G85" s="496">
        <f t="shared" si="38"/>
        <v>0</v>
      </c>
      <c r="H85" s="1263" t="s">
        <v>804</v>
      </c>
      <c r="I85" s="417"/>
      <c r="J85" s="418">
        <f t="shared" si="39"/>
        <v>12</v>
      </c>
      <c r="K85" s="811">
        <f t="shared" si="40"/>
        <v>1</v>
      </c>
      <c r="L85" s="1630">
        <f>SUM(J85:J86)/24</f>
        <v>0.8965277777777777</v>
      </c>
    </row>
    <row r="86" spans="1:12" ht="28.8" x14ac:dyDescent="0.3">
      <c r="A86" s="1614">
        <v>46305</v>
      </c>
      <c r="B86" s="1615"/>
      <c r="C86" s="907" t="s">
        <v>13</v>
      </c>
      <c r="D86" s="1264" t="s">
        <v>789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814</v>
      </c>
      <c r="I86" s="1635">
        <v>16</v>
      </c>
      <c r="J86" s="939">
        <f t="shared" si="39"/>
        <v>9.5166666666666675</v>
      </c>
      <c r="K86" s="940">
        <f t="shared" si="40"/>
        <v>0.79305555555555562</v>
      </c>
      <c r="L86" s="1631"/>
    </row>
    <row r="87" spans="1:12" ht="28.8" x14ac:dyDescent="0.3">
      <c r="A87" s="1614">
        <v>46306</v>
      </c>
      <c r="B87" s="1615"/>
      <c r="C87" s="907" t="s">
        <v>12</v>
      </c>
      <c r="D87" s="1264" t="s">
        <v>783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795</v>
      </c>
      <c r="I87" s="1636"/>
      <c r="J87" s="939">
        <f t="shared" si="39"/>
        <v>5.0166666666666675</v>
      </c>
      <c r="K87" s="940">
        <f t="shared" si="40"/>
        <v>0.41805555555555562</v>
      </c>
      <c r="L87" s="1630">
        <f>SUM(J87:J88)/24</f>
        <v>0.7090277777777777</v>
      </c>
    </row>
    <row r="88" spans="1:12" x14ac:dyDescent="0.3">
      <c r="A88" s="1614">
        <v>46306</v>
      </c>
      <c r="B88" s="1615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805</v>
      </c>
      <c r="I88" s="1637"/>
      <c r="J88" s="939">
        <f t="shared" si="39"/>
        <v>12</v>
      </c>
      <c r="K88" s="940">
        <f t="shared" si="40"/>
        <v>1</v>
      </c>
      <c r="L88" s="1631"/>
    </row>
    <row r="89" spans="1:12" x14ac:dyDescent="0.3">
      <c r="A89" s="1616">
        <v>46307</v>
      </c>
      <c r="B89" s="1617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796</v>
      </c>
      <c r="I89" s="1652">
        <v>17</v>
      </c>
      <c r="J89" s="1252">
        <f t="shared" si="39"/>
        <v>12</v>
      </c>
      <c r="K89" s="1271">
        <f t="shared" si="40"/>
        <v>1</v>
      </c>
      <c r="L89" s="1632">
        <f>SUM(J89:J90)/24</f>
        <v>1</v>
      </c>
    </row>
    <row r="90" spans="1:12" x14ac:dyDescent="0.3">
      <c r="A90" s="1616">
        <v>46307</v>
      </c>
      <c r="B90" s="1617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796</v>
      </c>
      <c r="I90" s="1653"/>
      <c r="J90" s="1252">
        <f t="shared" si="39"/>
        <v>12</v>
      </c>
      <c r="K90" s="1271">
        <f t="shared" si="40"/>
        <v>1</v>
      </c>
      <c r="L90" s="1633"/>
    </row>
    <row r="91" spans="1:12" ht="28.2" customHeight="1" x14ac:dyDescent="0.3">
      <c r="A91" s="1616">
        <v>46308</v>
      </c>
      <c r="B91" s="1617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806</v>
      </c>
      <c r="I91" s="1654"/>
      <c r="J91" s="1252">
        <f t="shared" si="39"/>
        <v>5.666666666666667</v>
      </c>
      <c r="K91" s="1271">
        <f t="shared" si="40"/>
        <v>0.47222222222222227</v>
      </c>
      <c r="L91" s="1624">
        <f>SUM(J91:J92)/24</f>
        <v>0.73611111111111116</v>
      </c>
    </row>
    <row r="92" spans="1:12" x14ac:dyDescent="0.3">
      <c r="A92" s="1614">
        <v>46308</v>
      </c>
      <c r="B92" s="1615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815</v>
      </c>
      <c r="I92" s="1635">
        <v>18</v>
      </c>
      <c r="J92" s="939">
        <f t="shared" si="39"/>
        <v>12</v>
      </c>
      <c r="K92" s="940">
        <f t="shared" si="40"/>
        <v>1</v>
      </c>
      <c r="L92" s="1625"/>
    </row>
    <row r="93" spans="1:12" s="951" customFormat="1" x14ac:dyDescent="0.3">
      <c r="A93" s="1614">
        <v>46309</v>
      </c>
      <c r="B93" s="1615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805</v>
      </c>
      <c r="I93" s="1636"/>
      <c r="J93" s="939">
        <f t="shared" si="39"/>
        <v>12</v>
      </c>
      <c r="K93" s="940">
        <f t="shared" si="40"/>
        <v>1</v>
      </c>
      <c r="L93" s="1624">
        <f>SUM(J93:J94)/24</f>
        <v>1</v>
      </c>
    </row>
    <row r="94" spans="1:12" s="951" customFormat="1" ht="28.8" x14ac:dyDescent="0.3">
      <c r="A94" s="1614">
        <v>46309</v>
      </c>
      <c r="B94" s="1615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817</v>
      </c>
      <c r="I94" s="1637"/>
      <c r="J94" s="939">
        <f t="shared" si="39"/>
        <v>12</v>
      </c>
      <c r="K94" s="940">
        <f t="shared" si="40"/>
        <v>1</v>
      </c>
      <c r="L94" s="1625"/>
    </row>
    <row r="95" spans="1:12" x14ac:dyDescent="0.3">
      <c r="A95" s="1616">
        <v>46310</v>
      </c>
      <c r="B95" s="1617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821</v>
      </c>
      <c r="I95" s="1652">
        <v>19</v>
      </c>
      <c r="J95" s="1252">
        <f t="shared" si="39"/>
        <v>12</v>
      </c>
      <c r="K95" s="1271">
        <f t="shared" si="40"/>
        <v>1</v>
      </c>
      <c r="L95" s="1618">
        <f>SUM(J95:J96)/24</f>
        <v>1</v>
      </c>
    </row>
    <row r="96" spans="1:12" ht="28.8" x14ac:dyDescent="0.3">
      <c r="A96" s="1616">
        <v>46310</v>
      </c>
      <c r="B96" s="1617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823</v>
      </c>
      <c r="I96" s="1653"/>
      <c r="J96" s="1252">
        <f t="shared" si="39"/>
        <v>12</v>
      </c>
      <c r="K96" s="1271">
        <f t="shared" si="40"/>
        <v>1</v>
      </c>
      <c r="L96" s="1619"/>
    </row>
    <row r="97" spans="1:12" x14ac:dyDescent="0.3">
      <c r="A97" s="1616">
        <v>46311</v>
      </c>
      <c r="B97" s="1617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811</v>
      </c>
      <c r="I97" s="1654"/>
      <c r="J97" s="1252">
        <f t="shared" si="39"/>
        <v>12</v>
      </c>
      <c r="K97" s="1271">
        <f t="shared" si="40"/>
        <v>1</v>
      </c>
      <c r="L97" s="1618">
        <f>SUM(J97:J98)/24</f>
        <v>1</v>
      </c>
    </row>
    <row r="98" spans="1:12" s="951" customFormat="1" x14ac:dyDescent="0.3">
      <c r="A98" s="1614">
        <v>46311</v>
      </c>
      <c r="B98" s="1615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845</v>
      </c>
      <c r="I98" s="1635">
        <v>20</v>
      </c>
      <c r="J98" s="939">
        <f t="shared" si="39"/>
        <v>12</v>
      </c>
      <c r="K98" s="940">
        <f t="shared" si="40"/>
        <v>1</v>
      </c>
      <c r="L98" s="1619"/>
    </row>
    <row r="99" spans="1:12" x14ac:dyDescent="0.3">
      <c r="A99" s="1614">
        <v>46312</v>
      </c>
      <c r="B99" s="1615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847</v>
      </c>
      <c r="I99" s="1636"/>
      <c r="J99" s="939">
        <f t="shared" si="39"/>
        <v>12</v>
      </c>
      <c r="K99" s="940">
        <f t="shared" si="40"/>
        <v>1</v>
      </c>
      <c r="L99" s="1624">
        <f>SUM(J99:J100)/24</f>
        <v>1</v>
      </c>
    </row>
    <row r="100" spans="1:12" x14ac:dyDescent="0.3">
      <c r="A100" s="1614">
        <v>46312</v>
      </c>
      <c r="B100" s="1615"/>
      <c r="C100" s="907" t="s">
        <v>13</v>
      </c>
      <c r="D100" s="1199"/>
      <c r="E100" s="937">
        <v>6.9444444444444447E-4</v>
      </c>
      <c r="F100" s="937">
        <v>6.9444444444444447E-4</v>
      </c>
      <c r="G100" s="938">
        <f t="shared" si="38"/>
        <v>0</v>
      </c>
      <c r="H100" s="1339" t="s">
        <v>893</v>
      </c>
      <c r="I100" s="1637"/>
      <c r="J100" s="939">
        <f t="shared" si="39"/>
        <v>12</v>
      </c>
      <c r="K100" s="940">
        <f t="shared" si="40"/>
        <v>1</v>
      </c>
      <c r="L100" s="1625"/>
    </row>
    <row r="101" spans="1:12" s="1340" customFormat="1" x14ac:dyDescent="0.3">
      <c r="A101" s="1616">
        <v>46313</v>
      </c>
      <c r="B101" s="1617"/>
      <c r="C101" s="1266" t="s">
        <v>12</v>
      </c>
      <c r="D101" s="1267"/>
      <c r="E101" s="1268">
        <v>6.9444444444444447E-4</v>
      </c>
      <c r="F101" s="1268">
        <v>4.583333333333333E-2</v>
      </c>
      <c r="G101" s="1269">
        <f t="shared" si="38"/>
        <v>65</v>
      </c>
      <c r="H101" s="1341" t="s">
        <v>894</v>
      </c>
      <c r="I101" s="1689">
        <v>21</v>
      </c>
      <c r="J101" s="1252">
        <f t="shared" si="39"/>
        <v>10.916666666666666</v>
      </c>
      <c r="K101" s="1271">
        <f t="shared" si="40"/>
        <v>0.90972222222222221</v>
      </c>
      <c r="L101" s="1618">
        <f>SUM(J101:J102)/24</f>
        <v>0.67013888888888884</v>
      </c>
    </row>
    <row r="102" spans="1:12" s="1340" customFormat="1" ht="28.8" x14ac:dyDescent="0.3">
      <c r="A102" s="1616">
        <v>46313</v>
      </c>
      <c r="B102" s="1617"/>
      <c r="C102" s="1266" t="s">
        <v>13</v>
      </c>
      <c r="D102" s="1267"/>
      <c r="E102" s="1268">
        <v>6.9444444444444447E-4</v>
      </c>
      <c r="F102" s="1268">
        <v>0.28541666666666665</v>
      </c>
      <c r="G102" s="1269">
        <f t="shared" si="38"/>
        <v>410</v>
      </c>
      <c r="H102" s="1344" t="s">
        <v>908</v>
      </c>
      <c r="I102" s="1622"/>
      <c r="J102" s="1252">
        <f t="shared" si="39"/>
        <v>5.166666666666667</v>
      </c>
      <c r="K102" s="1271">
        <f t="shared" si="40"/>
        <v>0.43055555555555558</v>
      </c>
      <c r="L102" s="1619"/>
    </row>
    <row r="103" spans="1:12" x14ac:dyDescent="0.3">
      <c r="A103" s="1616">
        <v>46314</v>
      </c>
      <c r="B103" s="1617"/>
      <c r="C103" s="1266" t="s">
        <v>12</v>
      </c>
      <c r="D103" s="1267"/>
      <c r="E103" s="1268">
        <v>6.9444444444444447E-4</v>
      </c>
      <c r="F103" s="1268">
        <v>6.25E-2</v>
      </c>
      <c r="G103" s="1269">
        <f t="shared" si="38"/>
        <v>89</v>
      </c>
      <c r="H103" s="1347" t="s">
        <v>910</v>
      </c>
      <c r="I103" s="1622"/>
      <c r="J103" s="1252">
        <f t="shared" si="39"/>
        <v>10.516666666666667</v>
      </c>
      <c r="K103" s="1271">
        <f t="shared" si="40"/>
        <v>0.87638888888888899</v>
      </c>
      <c r="L103" s="1618">
        <f>SUM(J103:J104)/24</f>
        <v>0.93819444444444444</v>
      </c>
    </row>
    <row r="104" spans="1:12" s="1340" customFormat="1" x14ac:dyDescent="0.3">
      <c r="A104" s="1616">
        <v>46314</v>
      </c>
      <c r="B104" s="1617"/>
      <c r="C104" s="1266" t="s">
        <v>13</v>
      </c>
      <c r="D104" s="1267"/>
      <c r="E104" s="1268">
        <v>4.2361111111111113E-2</v>
      </c>
      <c r="F104" s="1268">
        <v>4.2361111111111113E-2</v>
      </c>
      <c r="G104" s="1269">
        <f t="shared" si="38"/>
        <v>0</v>
      </c>
      <c r="H104" s="1348" t="s">
        <v>932</v>
      </c>
      <c r="I104" s="1623"/>
      <c r="J104" s="1252">
        <f t="shared" si="39"/>
        <v>12</v>
      </c>
      <c r="K104" s="1271">
        <f t="shared" si="40"/>
        <v>1</v>
      </c>
      <c r="L104" s="1619"/>
    </row>
    <row r="105" spans="1:12" s="951" customFormat="1" ht="31.2" customHeight="1" x14ac:dyDescent="0.3">
      <c r="A105" s="1690">
        <v>46314</v>
      </c>
      <c r="B105" s="1691"/>
      <c r="C105" s="907" t="s">
        <v>13</v>
      </c>
      <c r="D105" s="1199"/>
      <c r="E105" s="937">
        <v>4.2361111111111113E-2</v>
      </c>
      <c r="F105" s="937">
        <v>4.2361111111111113E-2</v>
      </c>
      <c r="G105" s="938">
        <f t="shared" si="38"/>
        <v>0</v>
      </c>
      <c r="H105" s="1349" t="s">
        <v>933</v>
      </c>
      <c r="I105" s="1372">
        <v>22</v>
      </c>
      <c r="J105" s="939">
        <f t="shared" si="39"/>
        <v>12</v>
      </c>
      <c r="K105" s="940">
        <f t="shared" si="40"/>
        <v>1</v>
      </c>
      <c r="L105" s="1624">
        <f>SUM(J105:J106)/24</f>
        <v>1</v>
      </c>
    </row>
    <row r="106" spans="1:12" s="951" customFormat="1" ht="14.4" customHeight="1" x14ac:dyDescent="0.3">
      <c r="A106" s="1614">
        <v>46315</v>
      </c>
      <c r="B106" s="1615"/>
      <c r="C106" s="907" t="s">
        <v>12</v>
      </c>
      <c r="D106" s="1199"/>
      <c r="E106" s="937">
        <v>4.2361111111111113E-2</v>
      </c>
      <c r="F106" s="937">
        <v>4.2361111111111113E-2</v>
      </c>
      <c r="G106" s="938">
        <f t="shared" si="38"/>
        <v>0</v>
      </c>
      <c r="H106" s="1364"/>
      <c r="I106" s="1373"/>
      <c r="J106" s="939">
        <f t="shared" si="39"/>
        <v>12</v>
      </c>
      <c r="K106" s="940">
        <f t="shared" si="40"/>
        <v>1</v>
      </c>
      <c r="L106" s="1625"/>
    </row>
    <row r="107" spans="1:12" s="951" customFormat="1" ht="14.4" customHeight="1" x14ac:dyDescent="0.3">
      <c r="A107" s="1614">
        <v>46315</v>
      </c>
      <c r="B107" s="1615"/>
      <c r="C107" s="907" t="s">
        <v>13</v>
      </c>
      <c r="D107" s="1199"/>
      <c r="E107" s="937">
        <v>0.1111111111111111</v>
      </c>
      <c r="F107" s="937">
        <v>0.29166666666666669</v>
      </c>
      <c r="G107" s="938">
        <f>(F107-E107)*1440</f>
        <v>260.00000000000006</v>
      </c>
      <c r="H107" s="1363" t="s">
        <v>939</v>
      </c>
      <c r="I107" s="1373"/>
      <c r="J107" s="939">
        <f t="shared" si="39"/>
        <v>7.6666666666666661</v>
      </c>
      <c r="K107" s="940">
        <f t="shared" si="40"/>
        <v>0.63888888888888884</v>
      </c>
      <c r="L107" s="1624">
        <f>SUM(J107:J108)/24</f>
        <v>0.81944444444444431</v>
      </c>
    </row>
    <row r="108" spans="1:12" ht="14.4" customHeight="1" x14ac:dyDescent="0.3">
      <c r="A108" s="1616">
        <v>46316</v>
      </c>
      <c r="B108" s="1617"/>
      <c r="C108" s="1266" t="s">
        <v>12</v>
      </c>
      <c r="D108" s="1267"/>
      <c r="E108" s="1268">
        <v>6.9444444444444447E-4</v>
      </c>
      <c r="F108" s="1268">
        <v>6.9444444444444447E-4</v>
      </c>
      <c r="G108" s="1269">
        <f t="shared" si="38"/>
        <v>0</v>
      </c>
      <c r="H108" s="1377"/>
      <c r="I108" s="1622">
        <v>23</v>
      </c>
      <c r="J108" s="1252">
        <f t="shared" si="39"/>
        <v>12</v>
      </c>
      <c r="K108" s="1271">
        <f t="shared" si="40"/>
        <v>1</v>
      </c>
      <c r="L108" s="1625"/>
    </row>
    <row r="109" spans="1:12" ht="14.4" customHeight="1" x14ac:dyDescent="0.3">
      <c r="A109" s="1616">
        <v>46316</v>
      </c>
      <c r="B109" s="1617"/>
      <c r="C109" s="1266" t="s">
        <v>13</v>
      </c>
      <c r="D109" s="1267"/>
      <c r="E109" s="1268">
        <v>6.25E-2</v>
      </c>
      <c r="F109" s="1268">
        <v>0.27083333333333331</v>
      </c>
      <c r="G109" s="1269">
        <f t="shared" si="38"/>
        <v>300</v>
      </c>
      <c r="H109" s="1378" t="s">
        <v>942</v>
      </c>
      <c r="I109" s="1622"/>
      <c r="J109" s="1252">
        <f t="shared" si="39"/>
        <v>7</v>
      </c>
      <c r="K109" s="1271">
        <f t="shared" si="40"/>
        <v>0.58333333333333337</v>
      </c>
      <c r="L109" s="1618">
        <f>SUM(J109:J110)/24</f>
        <v>0.76388888888888895</v>
      </c>
    </row>
    <row r="110" spans="1:12" ht="14.4" customHeight="1" x14ac:dyDescent="0.3">
      <c r="A110" s="1616">
        <v>46317</v>
      </c>
      <c r="B110" s="1617"/>
      <c r="C110" s="1266" t="s">
        <v>12</v>
      </c>
      <c r="D110" s="1267"/>
      <c r="E110" s="1268">
        <v>0.72222222222222221</v>
      </c>
      <c r="F110" s="1268">
        <v>0.75</v>
      </c>
      <c r="G110" s="1269">
        <f t="shared" si="38"/>
        <v>40.000000000000014</v>
      </c>
      <c r="H110" s="1378" t="s">
        <v>946</v>
      </c>
      <c r="I110" s="1623"/>
      <c r="J110" s="1252">
        <f t="shared" si="39"/>
        <v>11.333333333333334</v>
      </c>
      <c r="K110" s="1271">
        <f t="shared" si="40"/>
        <v>0.94444444444444453</v>
      </c>
      <c r="L110" s="1619"/>
    </row>
    <row r="111" spans="1:12" ht="14.4" customHeight="1" x14ac:dyDescent="0.3">
      <c r="A111" s="1614">
        <v>46317</v>
      </c>
      <c r="B111" s="1615"/>
      <c r="C111" s="907" t="s">
        <v>12</v>
      </c>
      <c r="D111" s="1199"/>
      <c r="E111" s="937">
        <v>0.72222222222222221</v>
      </c>
      <c r="F111" s="937">
        <v>0.75</v>
      </c>
      <c r="G111" s="938">
        <f t="shared" ref="G111" si="41">(F111-E111)*1440</f>
        <v>40.000000000000014</v>
      </c>
      <c r="H111" s="1374" t="s">
        <v>945</v>
      </c>
      <c r="I111" s="1620">
        <v>24</v>
      </c>
      <c r="J111" s="939">
        <f t="shared" si="39"/>
        <v>11.333333333333334</v>
      </c>
      <c r="K111" s="940">
        <f t="shared" si="40"/>
        <v>0.94444444444444453</v>
      </c>
      <c r="L111" s="1624">
        <f>SUM(J111:J112)/24</f>
        <v>0.97222222222222232</v>
      </c>
    </row>
    <row r="112" spans="1:12" ht="14.4" customHeight="1" x14ac:dyDescent="0.3">
      <c r="A112" s="1614">
        <v>46317</v>
      </c>
      <c r="B112" s="1615"/>
      <c r="C112" s="907" t="s">
        <v>13</v>
      </c>
      <c r="D112" s="1199"/>
      <c r="E112" s="937">
        <v>4.2361111111111113E-2</v>
      </c>
      <c r="F112" s="937">
        <v>4.2361111111111113E-2</v>
      </c>
      <c r="G112" s="938">
        <f t="shared" si="38"/>
        <v>0</v>
      </c>
      <c r="H112" s="1374" t="s">
        <v>947</v>
      </c>
      <c r="I112" s="1621"/>
      <c r="J112" s="939">
        <f t="shared" si="39"/>
        <v>12</v>
      </c>
      <c r="K112" s="940">
        <f t="shared" si="40"/>
        <v>1</v>
      </c>
      <c r="L112" s="1625"/>
    </row>
    <row r="113" spans="1:12" ht="14.4" customHeight="1" x14ac:dyDescent="0.3">
      <c r="A113" s="1614">
        <v>46318</v>
      </c>
      <c r="B113" s="1615"/>
      <c r="C113" s="907" t="s">
        <v>12</v>
      </c>
      <c r="D113" s="1199"/>
      <c r="E113" s="937">
        <v>0.47916666666666669</v>
      </c>
      <c r="F113" s="1388">
        <v>0.8125</v>
      </c>
      <c r="G113" s="938">
        <f>(F113-E113)*1440</f>
        <v>480</v>
      </c>
      <c r="H113" s="1389" t="s">
        <v>956</v>
      </c>
      <c r="I113" s="1621"/>
      <c r="J113" s="939">
        <f t="shared" si="39"/>
        <v>4</v>
      </c>
      <c r="K113" s="940">
        <f t="shared" si="40"/>
        <v>0.33333333333333331</v>
      </c>
      <c r="L113" s="1624">
        <f>SUM(J113:J114)/24</f>
        <v>0.56319444444444444</v>
      </c>
    </row>
    <row r="114" spans="1:12" ht="14.4" customHeight="1" x14ac:dyDescent="0.3">
      <c r="A114" s="1614">
        <v>46318</v>
      </c>
      <c r="B114" s="1615"/>
      <c r="C114" s="907" t="s">
        <v>13</v>
      </c>
      <c r="D114" s="1199"/>
      <c r="E114" s="937">
        <v>0.1673611111111111</v>
      </c>
      <c r="F114" s="937">
        <v>0.27083333333333331</v>
      </c>
      <c r="G114" s="938">
        <f t="shared" si="38"/>
        <v>149</v>
      </c>
      <c r="H114" s="1384" t="s">
        <v>955</v>
      </c>
      <c r="I114" s="1621"/>
      <c r="J114" s="939">
        <f t="shared" si="39"/>
        <v>9.5166666666666675</v>
      </c>
      <c r="K114" s="940">
        <f t="shared" si="40"/>
        <v>0.79305555555555562</v>
      </c>
      <c r="L114" s="1625"/>
    </row>
    <row r="115" spans="1:12" ht="14.4" customHeight="1" x14ac:dyDescent="0.3">
      <c r="A115" s="1616">
        <v>46319</v>
      </c>
      <c r="B115" s="1617"/>
      <c r="C115" s="1266" t="s">
        <v>12</v>
      </c>
      <c r="D115" s="1267"/>
      <c r="E115" s="1268">
        <v>4.2361111111111113E-2</v>
      </c>
      <c r="F115" s="1268">
        <v>4.2361111111111113E-2</v>
      </c>
      <c r="G115" s="1269">
        <f t="shared" si="38"/>
        <v>0</v>
      </c>
      <c r="H115" s="1395" t="s">
        <v>947</v>
      </c>
      <c r="I115" s="1622">
        <v>25</v>
      </c>
      <c r="J115" s="1252">
        <f t="shared" si="39"/>
        <v>12</v>
      </c>
      <c r="K115" s="1271">
        <f t="shared" si="40"/>
        <v>1</v>
      </c>
      <c r="L115" s="1618">
        <f>SUM(J115:J116)/24</f>
        <v>1</v>
      </c>
    </row>
    <row r="116" spans="1:12" ht="14.4" customHeight="1" x14ac:dyDescent="0.3">
      <c r="A116" s="1616">
        <v>46319</v>
      </c>
      <c r="B116" s="1617"/>
      <c r="C116" s="1266" t="s">
        <v>13</v>
      </c>
      <c r="D116" s="1267"/>
      <c r="E116" s="1268">
        <v>4.2361111111111113E-2</v>
      </c>
      <c r="F116" s="1268">
        <v>4.2361111111111113E-2</v>
      </c>
      <c r="G116" s="1269">
        <f t="shared" si="38"/>
        <v>0</v>
      </c>
      <c r="H116" s="1396" t="s">
        <v>965</v>
      </c>
      <c r="I116" s="1622"/>
      <c r="J116" s="1252">
        <f t="shared" si="39"/>
        <v>12</v>
      </c>
      <c r="K116" s="1271">
        <f t="shared" si="40"/>
        <v>1</v>
      </c>
      <c r="L116" s="1619"/>
    </row>
    <row r="117" spans="1:12" x14ac:dyDescent="0.3">
      <c r="A117" s="1616">
        <v>46320</v>
      </c>
      <c r="B117" s="1617"/>
      <c r="C117" s="1266" t="s">
        <v>12</v>
      </c>
      <c r="D117" s="1267"/>
      <c r="E117" s="1268">
        <v>4.2361111111111113E-2</v>
      </c>
      <c r="F117" s="1268">
        <v>4.2361111111111113E-2</v>
      </c>
      <c r="G117" s="1269">
        <f t="shared" si="38"/>
        <v>0</v>
      </c>
      <c r="H117" s="1396" t="s">
        <v>966</v>
      </c>
      <c r="I117" s="1623"/>
      <c r="J117" s="1252">
        <f t="shared" si="39"/>
        <v>12</v>
      </c>
      <c r="K117" s="1271">
        <f t="shared" si="40"/>
        <v>1</v>
      </c>
      <c r="L117" s="1624">
        <f>SUM(J117:J118)/24</f>
        <v>0.8125</v>
      </c>
    </row>
    <row r="118" spans="1:12" ht="28.8" x14ac:dyDescent="0.3">
      <c r="A118" s="1614">
        <v>46320</v>
      </c>
      <c r="B118" s="1615"/>
      <c r="C118" s="907" t="s">
        <v>13</v>
      </c>
      <c r="D118" s="1199"/>
      <c r="E118" s="937">
        <v>4.2361111111111113E-2</v>
      </c>
      <c r="F118" s="937">
        <v>0.2298611111111111</v>
      </c>
      <c r="G118" s="938">
        <f t="shared" si="38"/>
        <v>270</v>
      </c>
      <c r="H118" s="1397" t="s">
        <v>967</v>
      </c>
      <c r="I118" s="1610">
        <v>26</v>
      </c>
      <c r="J118" s="939">
        <f t="shared" si="39"/>
        <v>7.5</v>
      </c>
      <c r="K118" s="940">
        <f t="shared" si="40"/>
        <v>0.625</v>
      </c>
      <c r="L118" s="1625"/>
    </row>
    <row r="119" spans="1:12" x14ac:dyDescent="0.3">
      <c r="A119" s="1614">
        <v>46321</v>
      </c>
      <c r="B119" s="1615"/>
      <c r="C119" s="907" t="s">
        <v>12</v>
      </c>
      <c r="D119" s="1199"/>
      <c r="E119" s="937">
        <v>0</v>
      </c>
      <c r="F119" s="937">
        <v>0.5</v>
      </c>
      <c r="G119" s="938">
        <f t="shared" si="38"/>
        <v>720</v>
      </c>
      <c r="H119" s="1398" t="s">
        <v>973</v>
      </c>
      <c r="I119" s="1611"/>
      <c r="J119" s="939">
        <f t="shared" si="39"/>
        <v>0</v>
      </c>
      <c r="K119" s="940">
        <f t="shared" si="40"/>
        <v>0</v>
      </c>
      <c r="L119" s="1624">
        <f>SUM(J119:J120)/24</f>
        <v>0.5</v>
      </c>
    </row>
    <row r="120" spans="1:12" x14ac:dyDescent="0.3">
      <c r="A120" s="1614">
        <v>46321</v>
      </c>
      <c r="B120" s="1615"/>
      <c r="C120" s="907" t="s">
        <v>13</v>
      </c>
      <c r="D120" s="1199"/>
      <c r="E120" s="937">
        <v>4.2361111111111113E-2</v>
      </c>
      <c r="F120" s="937">
        <v>4.2361111111111113E-2</v>
      </c>
      <c r="G120" s="938">
        <f t="shared" si="38"/>
        <v>0</v>
      </c>
      <c r="H120" s="1398" t="s">
        <v>974</v>
      </c>
      <c r="I120" s="1612"/>
      <c r="J120" s="939">
        <f t="shared" si="39"/>
        <v>12</v>
      </c>
      <c r="K120" s="940">
        <f t="shared" si="40"/>
        <v>1</v>
      </c>
      <c r="L120" s="1625"/>
    </row>
    <row r="121" spans="1:12" ht="14.4" customHeight="1" x14ac:dyDescent="0.3">
      <c r="A121" s="1616">
        <v>46322</v>
      </c>
      <c r="B121" s="1617"/>
      <c r="C121" s="1266" t="s">
        <v>12</v>
      </c>
      <c r="D121" s="1267"/>
      <c r="E121" s="1268">
        <v>4.2361111111111113E-2</v>
      </c>
      <c r="F121" s="1268">
        <v>4.2361111111111113E-2</v>
      </c>
      <c r="G121" s="1269">
        <f t="shared" si="38"/>
        <v>0</v>
      </c>
      <c r="H121" s="1406" t="s">
        <v>947</v>
      </c>
      <c r="I121" s="1597">
        <v>27</v>
      </c>
      <c r="J121" s="1252">
        <f t="shared" si="39"/>
        <v>12</v>
      </c>
      <c r="K121" s="1271">
        <f t="shared" si="40"/>
        <v>1</v>
      </c>
      <c r="L121" s="1618">
        <f>SUM(J121:J122)/24</f>
        <v>1</v>
      </c>
    </row>
    <row r="122" spans="1:12" ht="14.4" customHeight="1" x14ac:dyDescent="0.3">
      <c r="A122" s="1616">
        <v>46322</v>
      </c>
      <c r="B122" s="1617"/>
      <c r="C122" s="1266" t="s">
        <v>13</v>
      </c>
      <c r="D122" s="1267"/>
      <c r="E122" s="1268">
        <v>4.2361111111111113E-2</v>
      </c>
      <c r="F122" s="1268">
        <v>4.2361111111111113E-2</v>
      </c>
      <c r="G122" s="1269">
        <f t="shared" si="38"/>
        <v>0</v>
      </c>
      <c r="H122" s="1410" t="s">
        <v>988</v>
      </c>
      <c r="I122" s="1598"/>
      <c r="J122" s="1252">
        <f t="shared" si="39"/>
        <v>12</v>
      </c>
      <c r="K122" s="1271">
        <f t="shared" si="40"/>
        <v>1</v>
      </c>
      <c r="L122" s="1619"/>
    </row>
    <row r="123" spans="1:12" x14ac:dyDescent="0.3">
      <c r="A123" s="1616">
        <v>46323</v>
      </c>
      <c r="B123" s="1617"/>
      <c r="C123" s="1266" t="s">
        <v>12</v>
      </c>
      <c r="D123" s="1267"/>
      <c r="E123" s="1268">
        <v>4.2361111111111113E-2</v>
      </c>
      <c r="F123" s="1419">
        <v>0.10486111111111111</v>
      </c>
      <c r="G123" s="1269">
        <f t="shared" si="38"/>
        <v>90</v>
      </c>
      <c r="H123" s="1420" t="s">
        <v>1003</v>
      </c>
      <c r="I123" s="1598"/>
      <c r="J123" s="1252">
        <f t="shared" si="39"/>
        <v>10.5</v>
      </c>
      <c r="K123" s="1271">
        <f t="shared" si="40"/>
        <v>0.875</v>
      </c>
      <c r="L123" s="1618">
        <f>SUM(J123:J124)/24</f>
        <v>0.9375</v>
      </c>
    </row>
    <row r="124" spans="1:12" x14ac:dyDescent="0.3">
      <c r="A124" s="1616">
        <v>46323</v>
      </c>
      <c r="B124" s="1617"/>
      <c r="C124" s="1266" t="s">
        <v>13</v>
      </c>
      <c r="D124" s="1267"/>
      <c r="E124" s="1268">
        <v>4.2361111111111113E-2</v>
      </c>
      <c r="F124" s="1268">
        <v>4.2361111111111113E-2</v>
      </c>
      <c r="G124" s="1269">
        <f t="shared" si="38"/>
        <v>0</v>
      </c>
      <c r="H124" s="1421" t="s">
        <v>1004</v>
      </c>
      <c r="I124" s="1599"/>
      <c r="J124" s="1252">
        <f t="shared" si="39"/>
        <v>12</v>
      </c>
      <c r="K124" s="1271">
        <f t="shared" si="40"/>
        <v>1</v>
      </c>
      <c r="L124" s="1619"/>
    </row>
    <row r="125" spans="1:12" x14ac:dyDescent="0.3">
      <c r="A125" s="1628">
        <v>46324</v>
      </c>
      <c r="B125" s="1629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628">
        <v>46324</v>
      </c>
      <c r="B126" s="1629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628">
        <v>46325</v>
      </c>
      <c r="B127" s="1629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628">
        <v>46325</v>
      </c>
      <c r="B128" s="1629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628">
        <v>46351</v>
      </c>
      <c r="B129" s="1629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628">
        <v>46352</v>
      </c>
      <c r="B130" s="1629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628">
        <v>46353</v>
      </c>
      <c r="B131" s="1629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628">
        <v>46354</v>
      </c>
      <c r="B132" s="1629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628">
        <v>46355</v>
      </c>
      <c r="B133" s="1629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628">
        <v>46356</v>
      </c>
      <c r="B134" s="1629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628">
        <v>46357</v>
      </c>
      <c r="B135" s="1629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628">
        <v>46358</v>
      </c>
      <c r="B136" s="1629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628">
        <v>46359</v>
      </c>
      <c r="B137" s="1629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628">
        <v>46360</v>
      </c>
      <c r="B138" s="1629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628">
        <v>46361</v>
      </c>
      <c r="B139" s="1629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628">
        <v>46362</v>
      </c>
      <c r="B140" s="1629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628">
        <v>46363</v>
      </c>
      <c r="B141" s="1629"/>
      <c r="C141" s="36" t="s">
        <v>12</v>
      </c>
      <c r="D141" s="65"/>
      <c r="E141" s="67"/>
      <c r="F141" s="67"/>
      <c r="G141" s="496">
        <f t="shared" si="38"/>
        <v>0</v>
      </c>
      <c r="H141" s="436"/>
      <c r="I141" s="417"/>
      <c r="J141" s="418">
        <f t="shared" si="39"/>
        <v>12</v>
      </c>
      <c r="K141" s="811">
        <f t="shared" si="40"/>
        <v>1</v>
      </c>
      <c r="L141" s="6"/>
    </row>
    <row r="142" spans="1:12" x14ac:dyDescent="0.3">
      <c r="A142" s="1628">
        <v>46364</v>
      </c>
      <c r="B142" s="1629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">
      <c r="A143" s="1628">
        <v>46365</v>
      </c>
      <c r="B143" s="1629"/>
      <c r="C143" s="36" t="s">
        <v>12</v>
      </c>
      <c r="D143" s="65"/>
      <c r="E143" s="67"/>
      <c r="F143" s="67"/>
      <c r="G143" s="496">
        <f t="shared" ref="G143:G181" si="42">(F143-E143)*1440</f>
        <v>0</v>
      </c>
      <c r="H143" s="436"/>
      <c r="I143" s="417"/>
      <c r="J143" s="418">
        <f t="shared" ref="J143:J181" si="43">(720-G143)/60</f>
        <v>12</v>
      </c>
      <c r="K143" s="811">
        <f t="shared" ref="K143:K181" si="44">J143/12</f>
        <v>1</v>
      </c>
      <c r="L143" s="6"/>
    </row>
    <row r="144" spans="1:12" x14ac:dyDescent="0.3">
      <c r="A144" s="1628">
        <v>46366</v>
      </c>
      <c r="B144" s="1629"/>
      <c r="C144" s="36" t="s">
        <v>13</v>
      </c>
      <c r="D144" s="65"/>
      <c r="E144" s="67"/>
      <c r="F144" s="67"/>
      <c r="G144" s="496">
        <f t="shared" si="42"/>
        <v>0</v>
      </c>
      <c r="H144" s="436"/>
      <c r="I144" s="417"/>
      <c r="J144" s="418">
        <f t="shared" si="43"/>
        <v>12</v>
      </c>
      <c r="K144" s="811">
        <f t="shared" si="44"/>
        <v>1</v>
      </c>
      <c r="L144" s="6"/>
    </row>
    <row r="145" spans="1:12" x14ac:dyDescent="0.3">
      <c r="A145" s="1628">
        <v>46367</v>
      </c>
      <c r="B145" s="1629"/>
      <c r="C145" s="36" t="s">
        <v>12</v>
      </c>
      <c r="D145" s="65"/>
      <c r="E145" s="67"/>
      <c r="F145" s="67"/>
      <c r="G145" s="496">
        <f t="shared" si="42"/>
        <v>0</v>
      </c>
      <c r="H145" s="436"/>
      <c r="I145" s="417"/>
      <c r="J145" s="418">
        <f t="shared" si="43"/>
        <v>12</v>
      </c>
      <c r="K145" s="811">
        <f t="shared" si="44"/>
        <v>1</v>
      </c>
      <c r="L145" s="6"/>
    </row>
    <row r="146" spans="1:12" x14ac:dyDescent="0.3">
      <c r="A146" s="1628">
        <v>46368</v>
      </c>
      <c r="B146" s="1629"/>
      <c r="C146" s="36" t="s">
        <v>13</v>
      </c>
      <c r="D146" s="65"/>
      <c r="E146" s="67"/>
      <c r="F146" s="67"/>
      <c r="G146" s="496">
        <f t="shared" si="42"/>
        <v>0</v>
      </c>
      <c r="H146" s="436"/>
      <c r="I146" s="417"/>
      <c r="J146" s="418">
        <f t="shared" si="43"/>
        <v>12</v>
      </c>
      <c r="K146" s="811">
        <f t="shared" si="44"/>
        <v>1</v>
      </c>
      <c r="L146" s="6"/>
    </row>
    <row r="147" spans="1:12" x14ac:dyDescent="0.3">
      <c r="A147" s="1628">
        <v>46369</v>
      </c>
      <c r="B147" s="1629"/>
      <c r="C147" s="36" t="s">
        <v>12</v>
      </c>
      <c r="D147" s="65"/>
      <c r="E147" s="67"/>
      <c r="F147" s="67"/>
      <c r="G147" s="496">
        <f t="shared" si="42"/>
        <v>0</v>
      </c>
      <c r="H147" s="436"/>
      <c r="I147" s="417"/>
      <c r="J147" s="418">
        <f t="shared" si="43"/>
        <v>12</v>
      </c>
      <c r="K147" s="811">
        <f t="shared" si="44"/>
        <v>1</v>
      </c>
      <c r="L147" s="6"/>
    </row>
    <row r="148" spans="1:12" x14ac:dyDescent="0.3">
      <c r="A148" s="1628">
        <v>46370</v>
      </c>
      <c r="B148" s="1629"/>
      <c r="C148" s="36" t="s">
        <v>13</v>
      </c>
      <c r="D148" s="65"/>
      <c r="E148" s="67"/>
      <c r="F148" s="67"/>
      <c r="G148" s="496">
        <f t="shared" si="42"/>
        <v>0</v>
      </c>
      <c r="H148" s="436"/>
      <c r="I148" s="417"/>
      <c r="J148" s="418">
        <f t="shared" si="43"/>
        <v>12</v>
      </c>
      <c r="K148" s="811">
        <f t="shared" si="44"/>
        <v>1</v>
      </c>
      <c r="L148" s="6"/>
    </row>
    <row r="149" spans="1:12" x14ac:dyDescent="0.3">
      <c r="A149" s="1628">
        <v>46371</v>
      </c>
      <c r="B149" s="1629"/>
      <c r="C149" s="36" t="s">
        <v>12</v>
      </c>
      <c r="D149" s="65"/>
      <c r="E149" s="67"/>
      <c r="F149" s="67"/>
      <c r="G149" s="496">
        <f t="shared" si="42"/>
        <v>0</v>
      </c>
      <c r="H149" s="436"/>
      <c r="I149" s="417"/>
      <c r="J149" s="418">
        <f t="shared" si="43"/>
        <v>12</v>
      </c>
      <c r="K149" s="811">
        <f t="shared" si="44"/>
        <v>1</v>
      </c>
      <c r="L149" s="6"/>
    </row>
    <row r="150" spans="1:12" x14ac:dyDescent="0.3">
      <c r="A150" s="1628">
        <v>46372</v>
      </c>
      <c r="B150" s="1629"/>
      <c r="C150" s="36" t="s">
        <v>13</v>
      </c>
      <c r="D150" s="65"/>
      <c r="E150" s="67"/>
      <c r="F150" s="67"/>
      <c r="G150" s="496">
        <f t="shared" si="42"/>
        <v>0</v>
      </c>
      <c r="H150" s="436"/>
      <c r="I150" s="417"/>
      <c r="J150" s="418">
        <f t="shared" si="43"/>
        <v>12</v>
      </c>
      <c r="K150" s="811">
        <f t="shared" si="44"/>
        <v>1</v>
      </c>
      <c r="L150" s="6"/>
    </row>
    <row r="151" spans="1:12" x14ac:dyDescent="0.3">
      <c r="A151" s="1628">
        <v>46373</v>
      </c>
      <c r="B151" s="1629"/>
      <c r="C151" s="36" t="s">
        <v>12</v>
      </c>
      <c r="D151" s="65"/>
      <c r="E151" s="67"/>
      <c r="F151" s="67"/>
      <c r="G151" s="496">
        <f t="shared" si="42"/>
        <v>0</v>
      </c>
      <c r="H151" s="436"/>
      <c r="I151" s="417"/>
      <c r="J151" s="418">
        <f t="shared" si="43"/>
        <v>12</v>
      </c>
      <c r="K151" s="811">
        <f t="shared" si="44"/>
        <v>1</v>
      </c>
      <c r="L151" s="6"/>
    </row>
    <row r="152" spans="1:12" x14ac:dyDescent="0.3">
      <c r="A152" s="1628">
        <v>46374</v>
      </c>
      <c r="B152" s="1629"/>
      <c r="C152" s="36" t="s">
        <v>13</v>
      </c>
      <c r="D152" s="65"/>
      <c r="E152" s="67"/>
      <c r="F152" s="67"/>
      <c r="G152" s="496">
        <f t="shared" si="42"/>
        <v>0</v>
      </c>
      <c r="H152" s="436"/>
      <c r="I152" s="417"/>
      <c r="J152" s="418">
        <f t="shared" si="43"/>
        <v>12</v>
      </c>
      <c r="K152" s="811">
        <f t="shared" si="44"/>
        <v>1</v>
      </c>
      <c r="L152" s="6"/>
    </row>
    <row r="153" spans="1:12" x14ac:dyDescent="0.3">
      <c r="A153" s="1628">
        <v>46375</v>
      </c>
      <c r="B153" s="1629"/>
      <c r="C153" s="36" t="s">
        <v>12</v>
      </c>
      <c r="D153" s="65"/>
      <c r="E153" s="67"/>
      <c r="F153" s="67"/>
      <c r="G153" s="496">
        <f t="shared" si="42"/>
        <v>0</v>
      </c>
      <c r="H153" s="436"/>
      <c r="I153" s="417"/>
      <c r="J153" s="418">
        <f t="shared" si="43"/>
        <v>12</v>
      </c>
      <c r="K153" s="811">
        <f t="shared" si="44"/>
        <v>1</v>
      </c>
      <c r="L153" s="6"/>
    </row>
    <row r="154" spans="1:12" x14ac:dyDescent="0.3">
      <c r="A154" s="1628">
        <v>46376</v>
      </c>
      <c r="B154" s="1629"/>
      <c r="C154" s="36" t="s">
        <v>13</v>
      </c>
      <c r="D154" s="65"/>
      <c r="E154" s="67"/>
      <c r="F154" s="67"/>
      <c r="G154" s="496">
        <f t="shared" si="42"/>
        <v>0</v>
      </c>
      <c r="H154" s="436"/>
      <c r="I154" s="417"/>
      <c r="J154" s="418">
        <f t="shared" si="43"/>
        <v>12</v>
      </c>
      <c r="K154" s="811">
        <f t="shared" si="44"/>
        <v>1</v>
      </c>
      <c r="L154" s="6"/>
    </row>
    <row r="155" spans="1:12" x14ac:dyDescent="0.3">
      <c r="A155" s="1628">
        <v>46377</v>
      </c>
      <c r="B155" s="1629"/>
      <c r="C155" s="36" t="s">
        <v>12</v>
      </c>
      <c r="D155" s="65"/>
      <c r="E155" s="67"/>
      <c r="F155" s="67"/>
      <c r="G155" s="496">
        <f t="shared" si="42"/>
        <v>0</v>
      </c>
      <c r="H155" s="436"/>
      <c r="I155" s="417"/>
      <c r="J155" s="418">
        <f t="shared" si="43"/>
        <v>12</v>
      </c>
      <c r="K155" s="811">
        <f t="shared" si="44"/>
        <v>1</v>
      </c>
      <c r="L155" s="6"/>
    </row>
    <row r="156" spans="1:12" x14ac:dyDescent="0.3">
      <c r="A156" s="1628">
        <v>46378</v>
      </c>
      <c r="B156" s="1629"/>
      <c r="C156" s="36" t="s">
        <v>13</v>
      </c>
      <c r="D156" s="65"/>
      <c r="E156" s="67"/>
      <c r="F156" s="67"/>
      <c r="G156" s="496">
        <f t="shared" si="42"/>
        <v>0</v>
      </c>
      <c r="H156" s="436"/>
      <c r="I156" s="417"/>
      <c r="J156" s="418">
        <f t="shared" si="43"/>
        <v>12</v>
      </c>
      <c r="K156" s="811">
        <f t="shared" si="44"/>
        <v>1</v>
      </c>
      <c r="L156" s="6"/>
    </row>
    <row r="157" spans="1:12" x14ac:dyDescent="0.3">
      <c r="A157" s="1628">
        <v>46379</v>
      </c>
      <c r="B157" s="1629"/>
      <c r="C157" s="36" t="s">
        <v>12</v>
      </c>
      <c r="D157" s="65"/>
      <c r="E157" s="67"/>
      <c r="F157" s="67"/>
      <c r="G157" s="496">
        <f t="shared" si="42"/>
        <v>0</v>
      </c>
      <c r="H157" s="436"/>
      <c r="I157" s="417"/>
      <c r="J157" s="418">
        <f t="shared" si="43"/>
        <v>12</v>
      </c>
      <c r="K157" s="811">
        <f t="shared" si="44"/>
        <v>1</v>
      </c>
      <c r="L157" s="6"/>
    </row>
    <row r="158" spans="1:12" x14ac:dyDescent="0.3">
      <c r="A158" s="1628">
        <v>46380</v>
      </c>
      <c r="B158" s="1629"/>
      <c r="C158" s="36" t="s">
        <v>13</v>
      </c>
      <c r="D158" s="65"/>
      <c r="E158" s="67"/>
      <c r="F158" s="67"/>
      <c r="G158" s="496">
        <f t="shared" si="42"/>
        <v>0</v>
      </c>
      <c r="H158" s="436"/>
      <c r="I158" s="417"/>
      <c r="J158" s="418">
        <f t="shared" si="43"/>
        <v>12</v>
      </c>
      <c r="K158" s="811">
        <f t="shared" si="44"/>
        <v>1</v>
      </c>
      <c r="L158" s="6"/>
    </row>
    <row r="159" spans="1:12" x14ac:dyDescent="0.3">
      <c r="A159" s="1628">
        <v>46381</v>
      </c>
      <c r="B159" s="1629"/>
      <c r="C159" s="36" t="s">
        <v>12</v>
      </c>
      <c r="D159" s="65"/>
      <c r="E159" s="67"/>
      <c r="F159" s="67"/>
      <c r="G159" s="496">
        <f t="shared" si="42"/>
        <v>0</v>
      </c>
      <c r="H159" s="436"/>
      <c r="I159" s="417"/>
      <c r="J159" s="418">
        <f t="shared" si="43"/>
        <v>12</v>
      </c>
      <c r="K159" s="811">
        <f t="shared" si="44"/>
        <v>1</v>
      </c>
      <c r="L159" s="6"/>
    </row>
    <row r="160" spans="1:12" x14ac:dyDescent="0.3">
      <c r="A160" s="1628">
        <v>46382</v>
      </c>
      <c r="B160" s="1629"/>
      <c r="C160" s="36" t="s">
        <v>13</v>
      </c>
      <c r="D160" s="65"/>
      <c r="E160" s="67"/>
      <c r="F160" s="67"/>
      <c r="G160" s="496">
        <f t="shared" si="42"/>
        <v>0</v>
      </c>
      <c r="H160" s="436"/>
      <c r="I160" s="417"/>
      <c r="J160" s="418">
        <f t="shared" si="43"/>
        <v>12</v>
      </c>
      <c r="K160" s="811">
        <f t="shared" si="44"/>
        <v>1</v>
      </c>
      <c r="L160" s="6"/>
    </row>
    <row r="161" spans="1:12" x14ac:dyDescent="0.3">
      <c r="A161" s="1628">
        <v>46383</v>
      </c>
      <c r="B161" s="1629"/>
      <c r="C161" s="36" t="s">
        <v>12</v>
      </c>
      <c r="D161" s="65"/>
      <c r="E161" s="67"/>
      <c r="F161" s="67"/>
      <c r="G161" s="496">
        <f t="shared" si="42"/>
        <v>0</v>
      </c>
      <c r="H161" s="436"/>
      <c r="I161" s="417"/>
      <c r="J161" s="418">
        <f t="shared" si="43"/>
        <v>12</v>
      </c>
      <c r="K161" s="811">
        <f t="shared" si="44"/>
        <v>1</v>
      </c>
      <c r="L161" s="6"/>
    </row>
    <row r="162" spans="1:12" x14ac:dyDescent="0.3">
      <c r="A162" s="1628">
        <v>46384</v>
      </c>
      <c r="B162" s="1629"/>
      <c r="C162" s="36" t="s">
        <v>13</v>
      </c>
      <c r="D162" s="65"/>
      <c r="E162" s="67"/>
      <c r="F162" s="67"/>
      <c r="G162" s="496">
        <f t="shared" si="42"/>
        <v>0</v>
      </c>
      <c r="H162" s="436"/>
      <c r="I162" s="417"/>
      <c r="J162" s="418">
        <f t="shared" si="43"/>
        <v>12</v>
      </c>
      <c r="K162" s="811">
        <f t="shared" si="44"/>
        <v>1</v>
      </c>
      <c r="L162" s="6"/>
    </row>
    <row r="163" spans="1:12" x14ac:dyDescent="0.3">
      <c r="A163" s="1628">
        <v>46385</v>
      </c>
      <c r="B163" s="1629"/>
      <c r="C163" s="36" t="s">
        <v>12</v>
      </c>
      <c r="D163" s="65"/>
      <c r="E163" s="67"/>
      <c r="F163" s="67"/>
      <c r="G163" s="496">
        <f t="shared" si="42"/>
        <v>0</v>
      </c>
      <c r="H163" s="436"/>
      <c r="I163" s="417"/>
      <c r="J163" s="418">
        <f t="shared" si="43"/>
        <v>12</v>
      </c>
      <c r="K163" s="811">
        <f t="shared" si="44"/>
        <v>1</v>
      </c>
      <c r="L163" s="6"/>
    </row>
    <row r="164" spans="1:12" x14ac:dyDescent="0.3">
      <c r="A164" s="1628">
        <v>46386</v>
      </c>
      <c r="B164" s="1629"/>
      <c r="C164" s="36" t="s">
        <v>13</v>
      </c>
      <c r="D164" s="65"/>
      <c r="E164" s="67"/>
      <c r="F164" s="67"/>
      <c r="G164" s="496">
        <f t="shared" si="42"/>
        <v>0</v>
      </c>
      <c r="H164" s="436"/>
      <c r="I164" s="417"/>
      <c r="J164" s="418">
        <f t="shared" si="43"/>
        <v>12</v>
      </c>
      <c r="K164" s="811">
        <f t="shared" si="44"/>
        <v>1</v>
      </c>
      <c r="L164" s="6"/>
    </row>
    <row r="165" spans="1:12" x14ac:dyDescent="0.3">
      <c r="A165" s="1628">
        <v>46387</v>
      </c>
      <c r="B165" s="1629"/>
      <c r="C165" s="36" t="s">
        <v>12</v>
      </c>
      <c r="D165" s="65"/>
      <c r="E165" s="67"/>
      <c r="F165" s="67"/>
      <c r="G165" s="496">
        <f t="shared" si="42"/>
        <v>0</v>
      </c>
      <c r="H165" s="436"/>
      <c r="I165" s="417"/>
      <c r="J165" s="418">
        <f t="shared" si="43"/>
        <v>12</v>
      </c>
      <c r="K165" s="811">
        <f t="shared" si="44"/>
        <v>1</v>
      </c>
      <c r="L165" s="6"/>
    </row>
    <row r="166" spans="1:12" x14ac:dyDescent="0.3">
      <c r="A166" s="1628">
        <v>46388</v>
      </c>
      <c r="B166" s="1629"/>
      <c r="C166" s="36" t="s">
        <v>13</v>
      </c>
      <c r="D166" s="65"/>
      <c r="E166" s="67"/>
      <c r="F166" s="67"/>
      <c r="G166" s="496">
        <f t="shared" si="42"/>
        <v>0</v>
      </c>
      <c r="H166" s="436"/>
      <c r="I166" s="417"/>
      <c r="J166" s="418">
        <f t="shared" si="43"/>
        <v>12</v>
      </c>
      <c r="K166" s="811">
        <f t="shared" si="44"/>
        <v>1</v>
      </c>
      <c r="L166" s="6"/>
    </row>
    <row r="167" spans="1:12" x14ac:dyDescent="0.3">
      <c r="A167" s="1628">
        <v>46389</v>
      </c>
      <c r="B167" s="1629"/>
      <c r="C167" s="36" t="s">
        <v>12</v>
      </c>
      <c r="D167" s="65"/>
      <c r="E167" s="67"/>
      <c r="F167" s="67"/>
      <c r="G167" s="496">
        <f t="shared" si="42"/>
        <v>0</v>
      </c>
      <c r="H167" s="436"/>
      <c r="I167" s="417"/>
      <c r="J167" s="418">
        <f t="shared" si="43"/>
        <v>12</v>
      </c>
      <c r="K167" s="811">
        <f t="shared" si="44"/>
        <v>1</v>
      </c>
      <c r="L167" s="6"/>
    </row>
    <row r="168" spans="1:12" x14ac:dyDescent="0.3">
      <c r="A168" s="1628">
        <v>46390</v>
      </c>
      <c r="B168" s="1629"/>
      <c r="C168" s="36" t="s">
        <v>13</v>
      </c>
      <c r="D168" s="65"/>
      <c r="E168" s="67"/>
      <c r="F168" s="67"/>
      <c r="G168" s="496">
        <f t="shared" si="42"/>
        <v>0</v>
      </c>
      <c r="H168" s="436"/>
      <c r="I168" s="417"/>
      <c r="J168" s="418">
        <f t="shared" si="43"/>
        <v>12</v>
      </c>
      <c r="K168" s="811">
        <f t="shared" si="44"/>
        <v>1</v>
      </c>
      <c r="L168" s="6"/>
    </row>
    <row r="169" spans="1:12" x14ac:dyDescent="0.3">
      <c r="A169" s="1628">
        <v>46391</v>
      </c>
      <c r="B169" s="1629"/>
      <c r="C169" s="36" t="s">
        <v>12</v>
      </c>
      <c r="D169" s="65"/>
      <c r="E169" s="67"/>
      <c r="F169" s="67"/>
      <c r="G169" s="496">
        <f t="shared" si="42"/>
        <v>0</v>
      </c>
      <c r="H169" s="436"/>
      <c r="I169" s="417"/>
      <c r="J169" s="418">
        <f t="shared" si="43"/>
        <v>12</v>
      </c>
      <c r="K169" s="811">
        <f t="shared" si="44"/>
        <v>1</v>
      </c>
      <c r="L169" s="6"/>
    </row>
    <row r="170" spans="1:12" x14ac:dyDescent="0.3">
      <c r="A170" s="1628">
        <v>46392</v>
      </c>
      <c r="B170" s="1629"/>
      <c r="C170" s="36" t="s">
        <v>13</v>
      </c>
      <c r="D170" s="65"/>
      <c r="E170" s="67"/>
      <c r="F170" s="67"/>
      <c r="G170" s="496">
        <f t="shared" si="42"/>
        <v>0</v>
      </c>
      <c r="H170" s="436"/>
      <c r="I170" s="417"/>
      <c r="J170" s="418">
        <f t="shared" si="43"/>
        <v>12</v>
      </c>
      <c r="K170" s="811">
        <f t="shared" si="44"/>
        <v>1</v>
      </c>
      <c r="L170" s="6"/>
    </row>
    <row r="171" spans="1:12" x14ac:dyDescent="0.3">
      <c r="A171" s="1628">
        <v>46393</v>
      </c>
      <c r="B171" s="1629"/>
      <c r="C171" s="36" t="s">
        <v>12</v>
      </c>
      <c r="D171" s="65"/>
      <c r="E171" s="67"/>
      <c r="F171" s="67"/>
      <c r="G171" s="496">
        <f t="shared" si="42"/>
        <v>0</v>
      </c>
      <c r="H171" s="436"/>
      <c r="I171" s="417"/>
      <c r="J171" s="418">
        <f t="shared" si="43"/>
        <v>12</v>
      </c>
      <c r="K171" s="811">
        <f t="shared" si="44"/>
        <v>1</v>
      </c>
      <c r="L171" s="6"/>
    </row>
    <row r="172" spans="1:12" x14ac:dyDescent="0.3">
      <c r="A172" s="1628">
        <v>46394</v>
      </c>
      <c r="B172" s="1629"/>
      <c r="C172" s="36" t="s">
        <v>13</v>
      </c>
      <c r="D172" s="65"/>
      <c r="E172" s="67"/>
      <c r="F172" s="67"/>
      <c r="G172" s="496">
        <f t="shared" si="42"/>
        <v>0</v>
      </c>
      <c r="H172" s="436"/>
      <c r="I172" s="417"/>
      <c r="J172" s="418">
        <f t="shared" si="43"/>
        <v>12</v>
      </c>
      <c r="K172" s="811">
        <f t="shared" si="44"/>
        <v>1</v>
      </c>
      <c r="L172" s="6"/>
    </row>
    <row r="173" spans="1:12" x14ac:dyDescent="0.3">
      <c r="A173" s="1628">
        <v>46395</v>
      </c>
      <c r="B173" s="1629"/>
      <c r="C173" s="36" t="s">
        <v>12</v>
      </c>
      <c r="D173" s="65"/>
      <c r="E173" s="67"/>
      <c r="F173" s="67"/>
      <c r="G173" s="496">
        <f t="shared" si="42"/>
        <v>0</v>
      </c>
      <c r="H173" s="436"/>
      <c r="I173" s="417"/>
      <c r="J173" s="418">
        <f t="shared" si="43"/>
        <v>12</v>
      </c>
      <c r="K173" s="811">
        <f t="shared" si="44"/>
        <v>1</v>
      </c>
      <c r="L173" s="6"/>
    </row>
    <row r="174" spans="1:12" x14ac:dyDescent="0.3">
      <c r="A174" s="1628">
        <v>46396</v>
      </c>
      <c r="B174" s="1629"/>
      <c r="C174" s="36" t="s">
        <v>13</v>
      </c>
      <c r="D174" s="65"/>
      <c r="E174" s="67"/>
      <c r="F174" s="67"/>
      <c r="G174" s="496">
        <f t="shared" si="42"/>
        <v>0</v>
      </c>
      <c r="H174" s="436"/>
      <c r="I174" s="417"/>
      <c r="J174" s="418">
        <f t="shared" si="43"/>
        <v>12</v>
      </c>
      <c r="K174" s="811">
        <f t="shared" si="44"/>
        <v>1</v>
      </c>
      <c r="L174" s="6"/>
    </row>
    <row r="175" spans="1:12" x14ac:dyDescent="0.3">
      <c r="A175" s="1628">
        <v>46397</v>
      </c>
      <c r="B175" s="1629"/>
      <c r="C175" s="36" t="s">
        <v>12</v>
      </c>
      <c r="D175" s="65"/>
      <c r="E175" s="67"/>
      <c r="F175" s="67"/>
      <c r="G175" s="496">
        <f t="shared" si="42"/>
        <v>0</v>
      </c>
      <c r="H175" s="436"/>
      <c r="I175" s="417"/>
      <c r="J175" s="418">
        <f t="shared" si="43"/>
        <v>12</v>
      </c>
      <c r="K175" s="811">
        <f t="shared" si="44"/>
        <v>1</v>
      </c>
      <c r="L175" s="6"/>
    </row>
    <row r="176" spans="1:12" x14ac:dyDescent="0.3">
      <c r="A176" s="1628">
        <v>46398</v>
      </c>
      <c r="B176" s="1629"/>
      <c r="C176" s="36" t="s">
        <v>13</v>
      </c>
      <c r="D176" s="65"/>
      <c r="E176" s="67"/>
      <c r="F176" s="67"/>
      <c r="G176" s="496">
        <f t="shared" si="42"/>
        <v>0</v>
      </c>
      <c r="H176" s="436"/>
      <c r="I176" s="417"/>
      <c r="J176" s="418">
        <f t="shared" si="43"/>
        <v>12</v>
      </c>
      <c r="K176" s="811">
        <f t="shared" si="44"/>
        <v>1</v>
      </c>
      <c r="L176" s="6"/>
    </row>
    <row r="177" spans="1:12" x14ac:dyDescent="0.3">
      <c r="A177" s="1628">
        <v>46399</v>
      </c>
      <c r="B177" s="1629"/>
      <c r="C177" s="36" t="s">
        <v>12</v>
      </c>
      <c r="D177" s="65"/>
      <c r="E177" s="67"/>
      <c r="F177" s="67"/>
      <c r="G177" s="496">
        <f t="shared" si="42"/>
        <v>0</v>
      </c>
      <c r="H177" s="436"/>
      <c r="I177" s="417"/>
      <c r="J177" s="418">
        <f t="shared" si="43"/>
        <v>12</v>
      </c>
      <c r="K177" s="811">
        <f t="shared" si="44"/>
        <v>1</v>
      </c>
      <c r="L177" s="6"/>
    </row>
    <row r="178" spans="1:12" x14ac:dyDescent="0.3">
      <c r="A178" s="1628">
        <v>46400</v>
      </c>
      <c r="B178" s="1629"/>
      <c r="C178" s="36" t="s">
        <v>13</v>
      </c>
      <c r="D178" s="65"/>
      <c r="E178" s="67"/>
      <c r="F178" s="67"/>
      <c r="G178" s="496">
        <f t="shared" si="42"/>
        <v>0</v>
      </c>
      <c r="H178" s="436"/>
      <c r="I178" s="417"/>
      <c r="J178" s="418">
        <f t="shared" si="43"/>
        <v>12</v>
      </c>
      <c r="K178" s="811">
        <f t="shared" si="44"/>
        <v>1</v>
      </c>
      <c r="L178" s="6"/>
    </row>
    <row r="179" spans="1:12" x14ac:dyDescent="0.3">
      <c r="A179" s="1628">
        <v>46401</v>
      </c>
      <c r="B179" s="1629"/>
      <c r="C179" s="36" t="s">
        <v>12</v>
      </c>
      <c r="D179" s="65"/>
      <c r="E179" s="67"/>
      <c r="F179" s="67"/>
      <c r="G179" s="496">
        <f t="shared" si="42"/>
        <v>0</v>
      </c>
      <c r="H179" s="436"/>
      <c r="I179" s="417"/>
      <c r="J179" s="418">
        <f t="shared" si="43"/>
        <v>12</v>
      </c>
      <c r="K179" s="811">
        <f t="shared" si="44"/>
        <v>1</v>
      </c>
      <c r="L179" s="6"/>
    </row>
    <row r="180" spans="1:12" x14ac:dyDescent="0.3">
      <c r="A180" s="1628">
        <v>46402</v>
      </c>
      <c r="B180" s="1629"/>
      <c r="C180" s="36" t="s">
        <v>13</v>
      </c>
      <c r="D180" s="65"/>
      <c r="E180" s="67"/>
      <c r="F180" s="67"/>
      <c r="G180" s="496">
        <f t="shared" si="42"/>
        <v>0</v>
      </c>
      <c r="H180" s="436"/>
      <c r="I180" s="417"/>
      <c r="J180" s="418">
        <f t="shared" si="43"/>
        <v>12</v>
      </c>
      <c r="K180" s="811">
        <f t="shared" si="44"/>
        <v>1</v>
      </c>
      <c r="L180" s="6"/>
    </row>
    <row r="181" spans="1:12" x14ac:dyDescent="0.3">
      <c r="A181" s="1628">
        <v>46403</v>
      </c>
      <c r="B181" s="1629"/>
      <c r="C181" s="36" t="s">
        <v>12</v>
      </c>
      <c r="D181" s="65"/>
      <c r="E181" s="67"/>
      <c r="F181" s="67"/>
      <c r="G181" s="496">
        <f t="shared" si="42"/>
        <v>0</v>
      </c>
      <c r="H181" s="436"/>
      <c r="I181" s="417"/>
      <c r="J181" s="418">
        <f t="shared" si="43"/>
        <v>12</v>
      </c>
      <c r="K181" s="811">
        <f t="shared" si="44"/>
        <v>1</v>
      </c>
      <c r="L181" s="6"/>
    </row>
  </sheetData>
  <mergeCells count="263">
    <mergeCell ref="I101:I104"/>
    <mergeCell ref="A105:B105"/>
    <mergeCell ref="L103:L104"/>
    <mergeCell ref="L105:L106"/>
    <mergeCell ref="L101:L102"/>
    <mergeCell ref="L99:L100"/>
    <mergeCell ref="A180:B180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53:B153"/>
    <mergeCell ref="A161:B161"/>
    <mergeCell ref="A144:B144"/>
    <mergeCell ref="A145:B145"/>
    <mergeCell ref="A146:B146"/>
    <mergeCell ref="A147:B147"/>
    <mergeCell ref="A143:B143"/>
    <mergeCell ref="A156:B156"/>
    <mergeCell ref="A181:B181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57:B157"/>
    <mergeCell ref="A158:B158"/>
    <mergeCell ref="A159:B159"/>
    <mergeCell ref="A160:B160"/>
    <mergeCell ref="A154:B154"/>
    <mergeCell ref="A155:B155"/>
    <mergeCell ref="A148:B148"/>
    <mergeCell ref="A149:B149"/>
    <mergeCell ref="A150:B150"/>
    <mergeCell ref="A151:B151"/>
    <mergeCell ref="A152:B152"/>
    <mergeCell ref="A107:B107"/>
    <mergeCell ref="A108:B108"/>
    <mergeCell ref="A121:B121"/>
    <mergeCell ref="A140:B140"/>
    <mergeCell ref="A141:B141"/>
    <mergeCell ref="A142:B142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6:B106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45:B45"/>
    <mergeCell ref="A43:B43"/>
    <mergeCell ref="A44:B44"/>
    <mergeCell ref="A48:B48"/>
    <mergeCell ref="L25:L26"/>
    <mergeCell ref="L27:L28"/>
    <mergeCell ref="L29:L30"/>
    <mergeCell ref="L31:L32"/>
    <mergeCell ref="L19:L20"/>
    <mergeCell ref="A33:B33"/>
    <mergeCell ref="I28:I33"/>
    <mergeCell ref="A70:B70"/>
    <mergeCell ref="A71:B71"/>
    <mergeCell ref="A34:B34"/>
    <mergeCell ref="A36:B36"/>
    <mergeCell ref="A14:B14"/>
    <mergeCell ref="A13:B13"/>
    <mergeCell ref="L13:L14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0:B20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L73:L74"/>
    <mergeCell ref="L75:L76"/>
    <mergeCell ref="L43:L44"/>
    <mergeCell ref="L39:L40"/>
    <mergeCell ref="L45:L46"/>
    <mergeCell ref="L47:L48"/>
    <mergeCell ref="L61:L62"/>
    <mergeCell ref="L57:L5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L33:L34"/>
    <mergeCell ref="I15:I19"/>
    <mergeCell ref="I20:I23"/>
    <mergeCell ref="I25:I27"/>
    <mergeCell ref="A37:B37"/>
    <mergeCell ref="A49:B49"/>
    <mergeCell ref="A51:B51"/>
    <mergeCell ref="A38:B38"/>
    <mergeCell ref="A47:B47"/>
    <mergeCell ref="A39:B39"/>
    <mergeCell ref="A40:B40"/>
    <mergeCell ref="A15:B15"/>
    <mergeCell ref="A21:B21"/>
    <mergeCell ref="A16:B16"/>
    <mergeCell ref="A17:B17"/>
    <mergeCell ref="A18:B18"/>
    <mergeCell ref="A25:B25"/>
    <mergeCell ref="A23:B23"/>
    <mergeCell ref="A24:B24"/>
    <mergeCell ref="A22:B22"/>
    <mergeCell ref="A19:B19"/>
    <mergeCell ref="A35:B35"/>
    <mergeCell ref="L15:L16"/>
    <mergeCell ref="L17:L18"/>
    <mergeCell ref="I34:I36"/>
    <mergeCell ref="L41:L42"/>
    <mergeCell ref="I41:I44"/>
    <mergeCell ref="I37:I40"/>
    <mergeCell ref="L37:L38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79:L80"/>
    <mergeCell ref="L55:L56"/>
    <mergeCell ref="A117:B117"/>
    <mergeCell ref="A118:B118"/>
    <mergeCell ref="L107:L108"/>
    <mergeCell ref="I118:I120"/>
    <mergeCell ref="L119:L120"/>
    <mergeCell ref="A119:B119"/>
    <mergeCell ref="A120:B120"/>
    <mergeCell ref="I98:I100"/>
    <mergeCell ref="I74:I77"/>
    <mergeCell ref="I78:I80"/>
    <mergeCell ref="A75:B75"/>
    <mergeCell ref="A76:B76"/>
    <mergeCell ref="A77:B77"/>
    <mergeCell ref="A78:B78"/>
    <mergeCell ref="A79:B79"/>
    <mergeCell ref="A80:B80"/>
    <mergeCell ref="L77:L78"/>
    <mergeCell ref="A81:B81"/>
    <mergeCell ref="A82:B82"/>
    <mergeCell ref="L67:L68"/>
    <mergeCell ref="L69:L70"/>
    <mergeCell ref="L71:L72"/>
    <mergeCell ref="A83:B83"/>
    <mergeCell ref="A84:B84"/>
    <mergeCell ref="A85:B85"/>
    <mergeCell ref="A86:B86"/>
    <mergeCell ref="A87:B87"/>
    <mergeCell ref="A111:B111"/>
    <mergeCell ref="L111:L112"/>
    <mergeCell ref="A109:B109"/>
    <mergeCell ref="A110:B110"/>
    <mergeCell ref="A112:B112"/>
    <mergeCell ref="L109:L110"/>
    <mergeCell ref="I108:I110"/>
    <mergeCell ref="L87:L88"/>
    <mergeCell ref="L89:L90"/>
    <mergeCell ref="L91:L92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113:B113"/>
    <mergeCell ref="A114:B114"/>
    <mergeCell ref="A115:B115"/>
    <mergeCell ref="A116:B116"/>
    <mergeCell ref="L121:L122"/>
    <mergeCell ref="I111:I114"/>
    <mergeCell ref="I115:I117"/>
    <mergeCell ref="L115:L116"/>
    <mergeCell ref="L117:L118"/>
    <mergeCell ref="L113:L114"/>
    <mergeCell ref="I121:I124"/>
    <mergeCell ref="L123:L124"/>
  </mergeCells>
  <phoneticPr fontId="118" type="noConversion"/>
  <dataValidations count="2">
    <dataValidation type="list" allowBlank="1" showInputMessage="1" showErrorMessage="1" sqref="C14:C181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A157" zoomScale="79" zoomScaleNormal="85" workbookViewId="0">
      <selection activeCell="S177" sqref="S177"/>
    </sheetView>
  </sheetViews>
  <sheetFormatPr defaultColWidth="8.88671875"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441" t="s">
        <v>70</v>
      </c>
      <c r="C3" s="1441" t="s">
        <v>287</v>
      </c>
      <c r="D3" s="1441" t="s">
        <v>288</v>
      </c>
      <c r="E3" s="220" t="s">
        <v>291</v>
      </c>
      <c r="F3" s="220" t="s">
        <v>292</v>
      </c>
      <c r="G3" s="1424" t="s">
        <v>251</v>
      </c>
      <c r="H3" s="1425"/>
      <c r="I3" s="1425"/>
      <c r="J3" s="1426"/>
      <c r="K3" s="1433" t="s">
        <v>258</v>
      </c>
    </row>
    <row r="4" spans="2:20" x14ac:dyDescent="0.3">
      <c r="B4" s="1450"/>
      <c r="C4" s="1450"/>
      <c r="D4" s="1450"/>
      <c r="E4" s="221" t="s">
        <v>54</v>
      </c>
      <c r="F4" s="221" t="s">
        <v>293</v>
      </c>
      <c r="G4" s="1424" t="s">
        <v>264</v>
      </c>
      <c r="H4" s="1425"/>
      <c r="I4" s="1426"/>
      <c r="J4" s="131" t="s">
        <v>257</v>
      </c>
      <c r="K4" s="1433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442"/>
      <c r="C5" s="1442"/>
      <c r="D5" s="1442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433"/>
      <c r="O5" s="482" t="s">
        <v>478</v>
      </c>
      <c r="P5" s="1585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586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586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587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582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583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583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584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585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586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586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586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586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587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582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583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533</v>
      </c>
      <c r="P21" s="1583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583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3">
        <f>AVERAGE(R134:R141)</f>
        <v>5.5125000000000007E-2</v>
      </c>
      <c r="H23" s="1343">
        <f t="shared" ref="H23:I23" si="17">AVERAGE(S134:S141)</f>
        <v>0.16124999999999998</v>
      </c>
      <c r="I23" s="1343">
        <f t="shared" si="17"/>
        <v>12.147875000000001</v>
      </c>
      <c r="J23" s="95">
        <v>0.04</v>
      </c>
      <c r="K23" s="95"/>
      <c r="O23" s="487" t="s">
        <v>479</v>
      </c>
      <c r="P23" s="1583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583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7.5166666666666659E-2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583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>
        <v>21</v>
      </c>
      <c r="G26" s="13">
        <f>AVERAGE(R171:R173)</f>
        <v>0.14933333333333335</v>
      </c>
      <c r="H26" s="13">
        <f>AVERAGE(S171:S173)</f>
        <v>0.39666666666666667</v>
      </c>
      <c r="I26" s="13">
        <f t="shared" ref="H26:I26" si="20">AVERAGE(T171:T173)</f>
        <v>14.963333333333333</v>
      </c>
      <c r="J26" s="13"/>
      <c r="K26" s="6"/>
      <c r="O26" s="487" t="s">
        <v>532</v>
      </c>
      <c r="P26" s="1583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>
        <v>22</v>
      </c>
      <c r="G27" s="13">
        <f>AVERAGE(R174:R176)</f>
        <v>0.16366666666666665</v>
      </c>
      <c r="H27" s="13">
        <f t="shared" ref="H27:I27" si="21">AVERAGE(S174:S176)</f>
        <v>0.45333333333333337</v>
      </c>
      <c r="I27" s="13">
        <f t="shared" si="21"/>
        <v>14.996666666666668</v>
      </c>
      <c r="J27" s="13"/>
      <c r="K27" s="6"/>
      <c r="O27" s="487" t="s">
        <v>533</v>
      </c>
      <c r="P27" s="1584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>
        <v>23</v>
      </c>
      <c r="G28" s="13">
        <f>AVERAGE(R177:R186)</f>
        <v>5.1700000000000003E-2</v>
      </c>
      <c r="H28" s="13">
        <f t="shared" ref="H28:I28" si="22">AVERAGE(S177:S186)</f>
        <v>0.35400000000000004</v>
      </c>
      <c r="I28" s="13">
        <f t="shared" si="22"/>
        <v>15.597</v>
      </c>
      <c r="J28" s="13"/>
      <c r="K28" s="6"/>
      <c r="O28" s="579" t="s">
        <v>531</v>
      </c>
      <c r="P28" s="1585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>
        <v>24</v>
      </c>
      <c r="G29" s="13">
        <f>AVERAGE(R187:R192)</f>
        <v>5.5499999999999994E-2</v>
      </c>
      <c r="H29" s="13">
        <f t="shared" ref="H29:I29" si="23">AVERAGE(S187:S192)</f>
        <v>0.42500000000000004</v>
      </c>
      <c r="I29" s="13">
        <f t="shared" si="23"/>
        <v>13.166666666666664</v>
      </c>
      <c r="J29" s="13"/>
      <c r="K29" s="6"/>
      <c r="O29" s="579" t="s">
        <v>532</v>
      </c>
      <c r="P29" s="1586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>
        <v>25</v>
      </c>
      <c r="G30" s="13">
        <f>AVERAGE(R193:R197)</f>
        <v>5.9199999999999996E-2</v>
      </c>
      <c r="H30" s="13">
        <f t="shared" ref="H30:I30" si="24">AVERAGE(S193:S197)</f>
        <v>0.55400000000000005</v>
      </c>
      <c r="I30" s="13">
        <f t="shared" si="24"/>
        <v>17.962</v>
      </c>
      <c r="J30" s="13"/>
      <c r="K30" s="6"/>
      <c r="O30" s="579" t="s">
        <v>533</v>
      </c>
      <c r="P30" s="1586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586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586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587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582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583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583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583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583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583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583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583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584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635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636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636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636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636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637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585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586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586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586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586"/>
      <c r="Q53" s="895">
        <v>46284</v>
      </c>
      <c r="R53" s="1073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586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586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586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587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635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636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636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636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636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636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636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636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636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637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585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586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586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586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586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586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586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586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586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586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586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587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635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636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636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636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636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636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636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636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636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636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636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636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636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636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636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636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636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636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636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636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637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585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586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586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586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586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587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635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636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636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636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636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480</v>
      </c>
      <c r="P112" s="1636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797</v>
      </c>
    </row>
    <row r="113" spans="13:22" ht="14.4" customHeight="1" x14ac:dyDescent="0.3">
      <c r="M113" s="1234"/>
      <c r="N113" s="1235"/>
      <c r="O113" s="1236" t="s">
        <v>478</v>
      </c>
      <c r="P113" s="1707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479</v>
      </c>
      <c r="P114" s="1586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586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586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586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586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636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636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480</v>
      </c>
      <c r="P121" s="1636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478</v>
      </c>
      <c r="P122" s="1639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479</v>
      </c>
      <c r="P123" s="1639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480</v>
      </c>
      <c r="P124" s="1639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531</v>
      </c>
      <c r="P125" s="1639"/>
      <c r="Q125" s="1106" t="s">
        <v>798</v>
      </c>
      <c r="R125" s="1106"/>
      <c r="S125" s="1106"/>
      <c r="T125" s="1106"/>
    </row>
    <row r="126" spans="13:22" x14ac:dyDescent="0.3">
      <c r="O126" s="667" t="s">
        <v>532</v>
      </c>
      <c r="P126" s="1639"/>
      <c r="Q126" s="1106" t="s">
        <v>798</v>
      </c>
      <c r="R126" s="1106"/>
      <c r="S126" s="1106"/>
      <c r="T126" s="1106"/>
    </row>
    <row r="127" spans="13:22" x14ac:dyDescent="0.3">
      <c r="O127" s="667" t="s">
        <v>533</v>
      </c>
      <c r="P127" s="1640"/>
      <c r="Q127" s="1106" t="s">
        <v>798</v>
      </c>
      <c r="R127" s="1106"/>
      <c r="S127" s="1106"/>
      <c r="T127" s="1106"/>
    </row>
    <row r="128" spans="13:22" x14ac:dyDescent="0.3">
      <c r="O128" s="451" t="s">
        <v>531</v>
      </c>
      <c r="P128" s="1600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601"/>
      <c r="Q129" s="452" t="s">
        <v>819</v>
      </c>
      <c r="R129" s="1322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601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601"/>
      <c r="Q131" s="452" t="s">
        <v>819</v>
      </c>
      <c r="R131" s="452"/>
      <c r="S131" s="452"/>
      <c r="T131" s="452"/>
    </row>
    <row r="132" spans="15:20" x14ac:dyDescent="0.3">
      <c r="O132" s="451" t="s">
        <v>479</v>
      </c>
      <c r="P132" s="1601"/>
      <c r="Q132" s="452" t="s">
        <v>819</v>
      </c>
      <c r="R132" s="452"/>
      <c r="S132" s="452"/>
      <c r="T132" s="452"/>
    </row>
    <row r="133" spans="15:20" x14ac:dyDescent="0.3">
      <c r="O133" s="1205" t="s">
        <v>480</v>
      </c>
      <c r="P133" s="1602"/>
      <c r="Q133" s="452" t="s">
        <v>819</v>
      </c>
      <c r="R133" s="452"/>
      <c r="S133" s="452"/>
      <c r="T133" s="452"/>
    </row>
    <row r="134" spans="15:20" ht="14.4" customHeight="1" x14ac:dyDescent="0.3">
      <c r="O134" s="1247" t="s">
        <v>478</v>
      </c>
      <c r="P134" s="1704">
        <v>18</v>
      </c>
      <c r="Q134" s="1313" t="s">
        <v>861</v>
      </c>
      <c r="R134" s="1313">
        <v>6.9000000000000006E-2</v>
      </c>
      <c r="S134" s="1313">
        <v>0.06</v>
      </c>
      <c r="T134" s="1313">
        <v>12.928000000000001</v>
      </c>
    </row>
    <row r="135" spans="15:20" ht="14.4" customHeight="1" x14ac:dyDescent="0.3">
      <c r="O135" s="1247" t="s">
        <v>479</v>
      </c>
      <c r="P135" s="1705"/>
      <c r="Q135" s="1313" t="s">
        <v>861</v>
      </c>
      <c r="R135" s="1313">
        <v>9.4E-2</v>
      </c>
      <c r="S135" s="1313">
        <v>0.14000000000000001</v>
      </c>
      <c r="T135" s="1313">
        <v>11.920999999999999</v>
      </c>
    </row>
    <row r="136" spans="15:20" ht="15" customHeight="1" thickBot="1" x14ac:dyDescent="0.35">
      <c r="O136" s="1328" t="s">
        <v>480</v>
      </c>
      <c r="P136" s="1705"/>
      <c r="Q136" s="1313" t="s">
        <v>861</v>
      </c>
      <c r="R136" s="1313">
        <v>4.5999999999999999E-2</v>
      </c>
      <c r="S136" s="1313">
        <v>0.21</v>
      </c>
      <c r="T136" s="1313">
        <v>12.256</v>
      </c>
    </row>
    <row r="137" spans="15:20" ht="14.4" customHeight="1" x14ac:dyDescent="0.3">
      <c r="O137" s="1247" t="s">
        <v>481</v>
      </c>
      <c r="P137" s="1705"/>
      <c r="Q137" s="1313" t="s">
        <v>861</v>
      </c>
      <c r="R137" s="1313">
        <v>2.1000000000000001E-2</v>
      </c>
      <c r="S137" s="1313">
        <v>0.1</v>
      </c>
      <c r="T137" s="1313">
        <v>11.217000000000001</v>
      </c>
    </row>
    <row r="138" spans="15:20" ht="14.4" customHeight="1" x14ac:dyDescent="0.3">
      <c r="O138" s="1247" t="s">
        <v>862</v>
      </c>
      <c r="P138" s="1705"/>
      <c r="Q138" s="1313" t="s">
        <v>861</v>
      </c>
      <c r="R138" s="1313">
        <v>6.5000000000000002E-2</v>
      </c>
      <c r="S138" s="1313">
        <v>0.14000000000000001</v>
      </c>
      <c r="T138" s="1313">
        <v>11.058</v>
      </c>
    </row>
    <row r="139" spans="15:20" ht="15" customHeight="1" thickBot="1" x14ac:dyDescent="0.35">
      <c r="O139" s="1328" t="s">
        <v>863</v>
      </c>
      <c r="P139" s="1705"/>
      <c r="Q139" s="1313" t="s">
        <v>861</v>
      </c>
      <c r="R139" s="1313">
        <v>1.0999999999999999E-2</v>
      </c>
      <c r="S139" s="1313">
        <v>0.28999999999999998</v>
      </c>
      <c r="T139" s="1313">
        <v>12.805</v>
      </c>
    </row>
    <row r="140" spans="15:20" ht="14.4" customHeight="1" x14ac:dyDescent="0.3">
      <c r="O140" s="1247" t="s">
        <v>864</v>
      </c>
      <c r="P140" s="1705"/>
      <c r="Q140" s="1313" t="s">
        <v>861</v>
      </c>
      <c r="R140" s="1313">
        <v>4.4999999999999998E-2</v>
      </c>
      <c r="S140" s="1313">
        <v>0.17</v>
      </c>
      <c r="T140" s="1313">
        <v>13.144</v>
      </c>
    </row>
    <row r="141" spans="15:20" ht="14.4" customHeight="1" x14ac:dyDescent="0.3">
      <c r="O141" s="1247" t="s">
        <v>865</v>
      </c>
      <c r="P141" s="1705"/>
      <c r="Q141" s="1313" t="s">
        <v>861</v>
      </c>
      <c r="R141" s="1313">
        <v>0.09</v>
      </c>
      <c r="S141" s="1313">
        <v>0.18</v>
      </c>
      <c r="T141" s="1313">
        <v>11.853999999999999</v>
      </c>
    </row>
    <row r="142" spans="15:20" ht="14.4" customHeight="1" x14ac:dyDescent="0.3">
      <c r="O142" s="1313" t="s">
        <v>531</v>
      </c>
      <c r="P142" s="1705"/>
      <c r="Q142" s="1313" t="s">
        <v>900</v>
      </c>
      <c r="R142" s="1313">
        <v>0.107</v>
      </c>
      <c r="S142" s="1313">
        <v>0.25</v>
      </c>
      <c r="T142" s="1313">
        <v>10.72</v>
      </c>
    </row>
    <row r="143" spans="15:20" ht="14.4" customHeight="1" x14ac:dyDescent="0.3">
      <c r="O143" s="1313" t="s">
        <v>532</v>
      </c>
      <c r="P143" s="1705"/>
      <c r="Q143" s="1313" t="s">
        <v>900</v>
      </c>
      <c r="R143" s="1313">
        <v>0.1</v>
      </c>
      <c r="S143" s="1313">
        <v>0.23</v>
      </c>
      <c r="T143" s="1313">
        <v>10.65</v>
      </c>
    </row>
    <row r="144" spans="15:20" ht="14.4" customHeight="1" x14ac:dyDescent="0.3">
      <c r="O144" s="1313" t="s">
        <v>533</v>
      </c>
      <c r="P144" s="1706"/>
      <c r="Q144" s="1313" t="s">
        <v>900</v>
      </c>
      <c r="R144" s="1313">
        <v>0.11899999999999999</v>
      </c>
      <c r="S144" s="1313">
        <v>0.24</v>
      </c>
      <c r="T144" s="1313">
        <v>10.57</v>
      </c>
    </row>
    <row r="145" spans="15:20" ht="14.4" customHeight="1" x14ac:dyDescent="0.3">
      <c r="O145" s="451" t="s">
        <v>531</v>
      </c>
      <c r="P145" s="1610">
        <v>19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">
      <c r="O146" s="451" t="s">
        <v>532</v>
      </c>
      <c r="P146" s="1611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">
      <c r="O147" s="451" t="s">
        <v>533</v>
      </c>
      <c r="P147" s="1611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">
      <c r="O148" s="451" t="s">
        <v>902</v>
      </c>
      <c r="P148" s="1611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">
      <c r="O149" s="451" t="s">
        <v>903</v>
      </c>
      <c r="P149" s="1611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">
      <c r="O150" s="451" t="s">
        <v>904</v>
      </c>
      <c r="P150" s="1611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">
      <c r="O151" s="451" t="s">
        <v>905</v>
      </c>
      <c r="P151" s="1611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">
      <c r="O152" s="451" t="s">
        <v>906</v>
      </c>
      <c r="P152" s="1611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">
      <c r="O153" s="451" t="s">
        <v>478</v>
      </c>
      <c r="P153" s="1611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">
      <c r="O154" s="451" t="s">
        <v>479</v>
      </c>
      <c r="P154" s="1611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">
      <c r="O155" s="1205" t="s">
        <v>480</v>
      </c>
      <c r="P155" s="1611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">
      <c r="O156" s="451" t="s">
        <v>481</v>
      </c>
      <c r="P156" s="1611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">
      <c r="O157" s="451" t="s">
        <v>862</v>
      </c>
      <c r="P157" s="1611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">
      <c r="O158" s="1205" t="s">
        <v>863</v>
      </c>
      <c r="P158" s="1612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ht="14.4" customHeight="1" x14ac:dyDescent="0.3">
      <c r="O159" s="1247" t="s">
        <v>478</v>
      </c>
      <c r="P159" s="1701">
        <v>20</v>
      </c>
      <c r="Q159" s="1313" t="s">
        <v>940</v>
      </c>
      <c r="R159" s="1313">
        <v>9.6000000000000002E-2</v>
      </c>
      <c r="S159" s="1313">
        <v>0.22</v>
      </c>
      <c r="T159" s="1313">
        <v>8.51</v>
      </c>
    </row>
    <row r="160" spans="15:20" ht="14.4" customHeight="1" x14ac:dyDescent="0.3">
      <c r="O160" s="1247" t="s">
        <v>479</v>
      </c>
      <c r="P160" s="1702"/>
      <c r="Q160" s="1313" t="s">
        <v>940</v>
      </c>
      <c r="R160" s="1313">
        <v>6.0999999999999999E-2</v>
      </c>
      <c r="S160" s="1313">
        <v>0.22</v>
      </c>
      <c r="T160" s="1313">
        <v>10.130000000000001</v>
      </c>
    </row>
    <row r="161" spans="15:20" ht="14.4" customHeight="1" x14ac:dyDescent="0.3">
      <c r="O161" s="1247" t="s">
        <v>480</v>
      </c>
      <c r="P161" s="1702"/>
      <c r="Q161" s="1313" t="s">
        <v>940</v>
      </c>
      <c r="R161" s="1313">
        <v>1.9E-2</v>
      </c>
      <c r="S161" s="1313">
        <v>0.26</v>
      </c>
      <c r="T161" s="1313">
        <v>10.29</v>
      </c>
    </row>
    <row r="162" spans="15:20" ht="14.4" customHeight="1" x14ac:dyDescent="0.3">
      <c r="O162" s="1247" t="s">
        <v>481</v>
      </c>
      <c r="P162" s="1702"/>
      <c r="Q162" s="1313" t="s">
        <v>940</v>
      </c>
      <c r="R162" s="1313">
        <v>5.3999999999999999E-2</v>
      </c>
      <c r="S162" s="1313">
        <v>0.27</v>
      </c>
      <c r="T162" s="1313">
        <v>9.8699999999999992</v>
      </c>
    </row>
    <row r="163" spans="15:20" ht="14.4" customHeight="1" x14ac:dyDescent="0.3">
      <c r="O163" s="1247" t="s">
        <v>862</v>
      </c>
      <c r="P163" s="1702"/>
      <c r="Q163" s="1313" t="s">
        <v>940</v>
      </c>
      <c r="R163" s="1313">
        <v>0.17199999999999999</v>
      </c>
      <c r="S163" s="1313">
        <v>0.24</v>
      </c>
      <c r="T163" s="1313">
        <v>10.06</v>
      </c>
    </row>
    <row r="164" spans="15:20" ht="14.4" customHeight="1" x14ac:dyDescent="0.3">
      <c r="O164" s="1247" t="s">
        <v>863</v>
      </c>
      <c r="P164" s="1702"/>
      <c r="Q164" s="1313" t="s">
        <v>940</v>
      </c>
      <c r="R164" s="1313">
        <v>4.9000000000000002E-2</v>
      </c>
      <c r="S164" s="1313">
        <v>0.19</v>
      </c>
      <c r="T164" s="1313">
        <v>9.9</v>
      </c>
    </row>
    <row r="165" spans="15:20" x14ac:dyDescent="0.3">
      <c r="O165" s="1247" t="s">
        <v>531</v>
      </c>
      <c r="P165" s="1702"/>
      <c r="Q165" s="1323" t="s">
        <v>959</v>
      </c>
      <c r="R165" s="1313">
        <v>3.9E-2</v>
      </c>
      <c r="S165" s="1313">
        <v>0.06</v>
      </c>
      <c r="T165" s="1313">
        <v>9.92</v>
      </c>
    </row>
    <row r="166" spans="15:20" x14ac:dyDescent="0.3">
      <c r="O166" s="1247" t="s">
        <v>532</v>
      </c>
      <c r="P166" s="1702"/>
      <c r="Q166" s="1323" t="s">
        <v>959</v>
      </c>
      <c r="R166" s="1313">
        <v>6.6000000000000003E-2</v>
      </c>
      <c r="S166" s="1313">
        <v>0.09</v>
      </c>
      <c r="T166" s="1313">
        <v>10.52</v>
      </c>
    </row>
    <row r="167" spans="15:20" x14ac:dyDescent="0.3">
      <c r="O167" s="1247" t="s">
        <v>533</v>
      </c>
      <c r="P167" s="1702"/>
      <c r="Q167" s="1323" t="s">
        <v>959</v>
      </c>
      <c r="R167" s="1313">
        <v>6.8000000000000005E-2</v>
      </c>
      <c r="S167" s="1313">
        <v>0.13</v>
      </c>
      <c r="T167" s="1313">
        <v>10.43</v>
      </c>
    </row>
    <row r="168" spans="15:20" x14ac:dyDescent="0.3">
      <c r="O168" s="1247" t="s">
        <v>902</v>
      </c>
      <c r="P168" s="1702"/>
      <c r="Q168" s="1323" t="s">
        <v>959</v>
      </c>
      <c r="R168" s="1313">
        <v>4.9000000000000002E-2</v>
      </c>
      <c r="S168" s="1313">
        <v>0.22</v>
      </c>
      <c r="T168" s="1313">
        <v>10.39</v>
      </c>
    </row>
    <row r="169" spans="15:20" x14ac:dyDescent="0.3">
      <c r="O169" s="1247" t="s">
        <v>903</v>
      </c>
      <c r="P169" s="1702"/>
      <c r="Q169" s="1323" t="s">
        <v>959</v>
      </c>
      <c r="R169" s="1313">
        <v>8.5000000000000006E-2</v>
      </c>
      <c r="S169" s="1313">
        <v>0.41</v>
      </c>
      <c r="T169" s="1313">
        <v>10.36</v>
      </c>
    </row>
    <row r="170" spans="15:20" x14ac:dyDescent="0.3">
      <c r="O170" s="1247" t="s">
        <v>904</v>
      </c>
      <c r="P170" s="1703"/>
      <c r="Q170" s="1323" t="s">
        <v>959</v>
      </c>
      <c r="R170" s="1313">
        <v>7.2999999999999995E-2</v>
      </c>
      <c r="S170" s="1313">
        <v>0.28999999999999998</v>
      </c>
      <c r="T170" s="1313">
        <v>10.72</v>
      </c>
    </row>
    <row r="171" spans="15:20" ht="14.4" customHeight="1" x14ac:dyDescent="0.3">
      <c r="O171" s="451" t="s">
        <v>478</v>
      </c>
      <c r="P171" s="1692">
        <v>21</v>
      </c>
      <c r="Q171" s="452" t="s">
        <v>963</v>
      </c>
      <c r="R171" s="452">
        <v>0.10199999999999999</v>
      </c>
      <c r="S171" s="452">
        <v>0.41</v>
      </c>
      <c r="T171" s="452">
        <v>14.69</v>
      </c>
    </row>
    <row r="172" spans="15:20" ht="14.4" customHeight="1" x14ac:dyDescent="0.3">
      <c r="O172" s="451" t="s">
        <v>479</v>
      </c>
      <c r="P172" s="1693"/>
      <c r="Q172" s="452" t="s">
        <v>963</v>
      </c>
      <c r="R172" s="452">
        <v>0.16400000000000001</v>
      </c>
      <c r="S172" s="452">
        <v>0.39</v>
      </c>
      <c r="T172" s="452">
        <v>14.93</v>
      </c>
    </row>
    <row r="173" spans="15:20" ht="14.4" customHeight="1" x14ac:dyDescent="0.3">
      <c r="O173" s="451" t="s">
        <v>480</v>
      </c>
      <c r="P173" s="1694"/>
      <c r="Q173" s="452" t="s">
        <v>963</v>
      </c>
      <c r="R173" s="452">
        <v>0.182</v>
      </c>
      <c r="S173" s="452">
        <v>0.39</v>
      </c>
      <c r="T173" s="452">
        <v>15.27</v>
      </c>
    </row>
    <row r="174" spans="15:20" ht="14.4" customHeight="1" x14ac:dyDescent="0.3">
      <c r="O174" s="1247" t="s">
        <v>531</v>
      </c>
      <c r="P174" s="1565">
        <v>22</v>
      </c>
      <c r="Q174" s="1323" t="s">
        <v>962</v>
      </c>
      <c r="R174" s="1313">
        <v>0.121</v>
      </c>
      <c r="S174" s="1313">
        <v>0.45</v>
      </c>
      <c r="T174" s="1313">
        <v>14.19</v>
      </c>
    </row>
    <row r="175" spans="15:20" ht="14.4" customHeight="1" x14ac:dyDescent="0.3">
      <c r="O175" s="1247" t="s">
        <v>532</v>
      </c>
      <c r="P175" s="1566"/>
      <c r="Q175" s="1323" t="s">
        <v>962</v>
      </c>
      <c r="R175" s="1313">
        <v>0.20499999999999999</v>
      </c>
      <c r="S175" s="1313">
        <v>0.45</v>
      </c>
      <c r="T175" s="1313">
        <v>15.47</v>
      </c>
    </row>
    <row r="176" spans="15:20" ht="14.4" customHeight="1" x14ac:dyDescent="0.3">
      <c r="O176" s="1247" t="s">
        <v>533</v>
      </c>
      <c r="P176" s="1567"/>
      <c r="Q176" s="1323" t="s">
        <v>962</v>
      </c>
      <c r="R176" s="1313">
        <v>0.16500000000000001</v>
      </c>
      <c r="S176" s="1313">
        <v>0.46</v>
      </c>
      <c r="T176" s="1313">
        <v>15.33</v>
      </c>
    </row>
    <row r="177" spans="15:20" ht="14.4" customHeight="1" x14ac:dyDescent="0.3">
      <c r="O177" s="451" t="s">
        <v>531</v>
      </c>
      <c r="P177" s="1698">
        <v>23</v>
      </c>
      <c r="Q177" s="952" t="s">
        <v>961</v>
      </c>
      <c r="R177" s="452">
        <v>5.6000000000000001E-2</v>
      </c>
      <c r="S177" s="452">
        <v>0.44</v>
      </c>
      <c r="T177" s="452">
        <v>17.32</v>
      </c>
    </row>
    <row r="178" spans="15:20" ht="14.4" customHeight="1" x14ac:dyDescent="0.3">
      <c r="O178" s="451" t="s">
        <v>532</v>
      </c>
      <c r="P178" s="1699"/>
      <c r="Q178" s="952" t="s">
        <v>961</v>
      </c>
      <c r="R178" s="452">
        <v>3.5000000000000003E-2</v>
      </c>
      <c r="S178" s="452">
        <v>0.49</v>
      </c>
      <c r="T178" s="452">
        <v>17.07</v>
      </c>
    </row>
    <row r="179" spans="15:20" ht="14.4" customHeight="1" x14ac:dyDescent="0.3">
      <c r="O179" s="451" t="s">
        <v>533</v>
      </c>
      <c r="P179" s="1699"/>
      <c r="Q179" s="952" t="s">
        <v>961</v>
      </c>
      <c r="R179" s="452">
        <v>3.5000000000000003E-2</v>
      </c>
      <c r="S179" s="452">
        <v>0.42</v>
      </c>
      <c r="T179" s="452">
        <v>16.84</v>
      </c>
    </row>
    <row r="180" spans="15:20" ht="14.4" customHeight="1" x14ac:dyDescent="0.3">
      <c r="O180" s="451" t="s">
        <v>902</v>
      </c>
      <c r="P180" s="1699"/>
      <c r="Q180" s="952" t="s">
        <v>961</v>
      </c>
      <c r="R180" s="452">
        <v>4.2000000000000003E-2</v>
      </c>
      <c r="S180" s="452">
        <v>0.4</v>
      </c>
      <c r="T180" s="452">
        <v>15.84</v>
      </c>
    </row>
    <row r="181" spans="15:20" ht="14.4" customHeight="1" x14ac:dyDescent="0.3">
      <c r="O181" s="451" t="s">
        <v>903</v>
      </c>
      <c r="P181" s="1699"/>
      <c r="Q181" s="952" t="s">
        <v>961</v>
      </c>
      <c r="R181" s="452">
        <v>5.8000000000000003E-2</v>
      </c>
      <c r="S181" s="452">
        <v>0.33</v>
      </c>
      <c r="T181" s="452">
        <v>15.26</v>
      </c>
    </row>
    <row r="182" spans="15:20" ht="14.4" customHeight="1" x14ac:dyDescent="0.3">
      <c r="O182" s="451" t="s">
        <v>904</v>
      </c>
      <c r="P182" s="1699"/>
      <c r="Q182" s="952" t="s">
        <v>961</v>
      </c>
      <c r="R182" s="452">
        <v>7.9000000000000001E-2</v>
      </c>
      <c r="S182" s="452">
        <v>0.28000000000000003</v>
      </c>
      <c r="T182" s="452">
        <v>15.19</v>
      </c>
    </row>
    <row r="183" spans="15:20" ht="14.4" customHeight="1" x14ac:dyDescent="0.3">
      <c r="O183" s="451" t="s">
        <v>478</v>
      </c>
      <c r="P183" s="1699"/>
      <c r="Q183" s="452" t="s">
        <v>961</v>
      </c>
      <c r="R183" s="452">
        <v>0.06</v>
      </c>
      <c r="S183" s="452">
        <v>0.24</v>
      </c>
      <c r="T183" s="452">
        <v>14.04</v>
      </c>
    </row>
    <row r="184" spans="15:20" ht="14.4" customHeight="1" x14ac:dyDescent="0.3">
      <c r="O184" s="451" t="s">
        <v>479</v>
      </c>
      <c r="P184" s="1699"/>
      <c r="Q184" s="452" t="s">
        <v>961</v>
      </c>
      <c r="R184" s="452">
        <v>4.3999999999999997E-2</v>
      </c>
      <c r="S184" s="452">
        <v>0.44</v>
      </c>
      <c r="T184" s="452">
        <v>13.99</v>
      </c>
    </row>
    <row r="185" spans="15:20" ht="14.4" customHeight="1" x14ac:dyDescent="0.3">
      <c r="O185" s="451" t="s">
        <v>480</v>
      </c>
      <c r="P185" s="1699"/>
      <c r="Q185" s="452" t="s">
        <v>961</v>
      </c>
      <c r="R185" s="452">
        <v>2.9000000000000001E-2</v>
      </c>
      <c r="S185" s="452">
        <v>0.31</v>
      </c>
      <c r="T185" s="452">
        <v>15.6</v>
      </c>
    </row>
    <row r="186" spans="15:20" ht="14.4" customHeight="1" x14ac:dyDescent="0.3">
      <c r="O186" s="451" t="s">
        <v>481</v>
      </c>
      <c r="P186" s="1700"/>
      <c r="Q186" s="452" t="s">
        <v>961</v>
      </c>
      <c r="R186" s="452">
        <v>7.9000000000000001E-2</v>
      </c>
      <c r="S186" s="452">
        <v>0.19</v>
      </c>
      <c r="T186" s="452">
        <v>14.82</v>
      </c>
    </row>
    <row r="187" spans="15:20" x14ac:dyDescent="0.3">
      <c r="O187" s="1247" t="s">
        <v>478</v>
      </c>
      <c r="P187" s="1695">
        <v>24</v>
      </c>
      <c r="Q187" s="1313" t="s">
        <v>976</v>
      </c>
      <c r="R187" s="1313">
        <v>2.1000000000000001E-2</v>
      </c>
      <c r="S187" s="1313">
        <v>0.36</v>
      </c>
      <c r="T187" s="1313">
        <v>12.72</v>
      </c>
    </row>
    <row r="188" spans="15:20" x14ac:dyDescent="0.3">
      <c r="O188" s="1247" t="s">
        <v>479</v>
      </c>
      <c r="P188" s="1696"/>
      <c r="Q188" s="1313" t="s">
        <v>976</v>
      </c>
      <c r="R188" s="1313">
        <v>7.2999999999999995E-2</v>
      </c>
      <c r="S188" s="1313">
        <v>0.42</v>
      </c>
      <c r="T188" s="1313">
        <v>11.14</v>
      </c>
    </row>
    <row r="189" spans="15:20" x14ac:dyDescent="0.3">
      <c r="O189" s="1247" t="s">
        <v>480</v>
      </c>
      <c r="P189" s="1696"/>
      <c r="Q189" s="1313" t="s">
        <v>976</v>
      </c>
      <c r="R189" s="1313">
        <v>6.2E-2</v>
      </c>
      <c r="S189" s="1313">
        <v>0.46</v>
      </c>
      <c r="T189" s="1313">
        <v>12.04</v>
      </c>
    </row>
    <row r="190" spans="15:20" x14ac:dyDescent="0.3">
      <c r="O190" s="1247" t="s">
        <v>481</v>
      </c>
      <c r="P190" s="1696"/>
      <c r="Q190" s="1313" t="s">
        <v>976</v>
      </c>
      <c r="R190" s="1313">
        <v>5.2999999999999999E-2</v>
      </c>
      <c r="S190" s="1313">
        <v>0.36</v>
      </c>
      <c r="T190" s="1313">
        <v>12.7</v>
      </c>
    </row>
    <row r="191" spans="15:20" x14ac:dyDescent="0.3">
      <c r="O191" s="1247" t="s">
        <v>862</v>
      </c>
      <c r="P191" s="1696"/>
      <c r="Q191" s="1313" t="s">
        <v>976</v>
      </c>
      <c r="R191" s="1313">
        <v>3.7999999999999999E-2</v>
      </c>
      <c r="S191" s="1313">
        <v>0.39</v>
      </c>
      <c r="T191" s="1313">
        <v>15.05</v>
      </c>
    </row>
    <row r="192" spans="15:20" x14ac:dyDescent="0.3">
      <c r="O192" s="1247" t="s">
        <v>863</v>
      </c>
      <c r="P192" s="1697"/>
      <c r="Q192" s="1313" t="s">
        <v>976</v>
      </c>
      <c r="R192" s="1313">
        <v>8.5999999999999993E-2</v>
      </c>
      <c r="S192" s="1313">
        <v>0.56000000000000005</v>
      </c>
      <c r="T192" s="1313">
        <v>15.35</v>
      </c>
    </row>
    <row r="193" spans="15:20" ht="14.4" customHeight="1" x14ac:dyDescent="0.3">
      <c r="O193" s="451" t="s">
        <v>531</v>
      </c>
      <c r="P193" s="1692">
        <v>25</v>
      </c>
      <c r="Q193" s="952">
        <v>46321</v>
      </c>
      <c r="R193" s="452">
        <v>9.8000000000000004E-2</v>
      </c>
      <c r="S193" s="452">
        <v>0.49</v>
      </c>
      <c r="T193" s="452">
        <v>15.59</v>
      </c>
    </row>
    <row r="194" spans="15:20" ht="14.4" customHeight="1" x14ac:dyDescent="0.3">
      <c r="O194" s="451" t="s">
        <v>532</v>
      </c>
      <c r="P194" s="1693"/>
      <c r="Q194" s="952">
        <v>46321</v>
      </c>
      <c r="R194" s="452">
        <v>0.09</v>
      </c>
      <c r="S194" s="452">
        <v>0.59</v>
      </c>
      <c r="T194" s="452">
        <v>18.04</v>
      </c>
    </row>
    <row r="195" spans="15:20" ht="14.4" customHeight="1" x14ac:dyDescent="0.3">
      <c r="O195" s="451" t="s">
        <v>533</v>
      </c>
      <c r="P195" s="1693"/>
      <c r="Q195" s="952">
        <v>46321</v>
      </c>
      <c r="R195" s="452">
        <v>4.0000000000000001E-3</v>
      </c>
      <c r="S195" s="452">
        <v>0.56000000000000005</v>
      </c>
      <c r="T195" s="452">
        <v>18.82</v>
      </c>
    </row>
    <row r="196" spans="15:20" ht="14.4" customHeight="1" x14ac:dyDescent="0.3">
      <c r="O196" s="451" t="s">
        <v>902</v>
      </c>
      <c r="P196" s="1693"/>
      <c r="Q196" s="952">
        <v>46321</v>
      </c>
      <c r="R196" s="452">
        <v>5.0999999999999997E-2</v>
      </c>
      <c r="S196" s="452">
        <v>0.5</v>
      </c>
      <c r="T196" s="452">
        <v>18.239999999999998</v>
      </c>
    </row>
    <row r="197" spans="15:20" ht="14.4" customHeight="1" x14ac:dyDescent="0.3">
      <c r="O197" s="451" t="s">
        <v>903</v>
      </c>
      <c r="P197" s="1693"/>
      <c r="Q197" s="952">
        <v>46321</v>
      </c>
      <c r="R197" s="452">
        <v>5.2999999999999999E-2</v>
      </c>
      <c r="S197" s="452">
        <v>0.63</v>
      </c>
      <c r="T197" s="452">
        <v>19.12</v>
      </c>
    </row>
    <row r="198" spans="15:20" x14ac:dyDescent="0.3">
      <c r="O198" s="451" t="s">
        <v>478</v>
      </c>
      <c r="P198" s="1693"/>
      <c r="Q198" s="952">
        <v>46321</v>
      </c>
      <c r="R198" s="452">
        <v>6.5000000000000002E-2</v>
      </c>
      <c r="S198" s="452">
        <v>0.48</v>
      </c>
      <c r="T198" s="452">
        <v>17.36</v>
      </c>
    </row>
    <row r="199" spans="15:20" x14ac:dyDescent="0.3">
      <c r="O199" s="451" t="s">
        <v>479</v>
      </c>
      <c r="P199" s="1693"/>
      <c r="Q199" s="952">
        <v>46321</v>
      </c>
      <c r="R199" s="452">
        <v>9.7000000000000003E-2</v>
      </c>
      <c r="S199" s="452">
        <v>0.3</v>
      </c>
      <c r="T199" s="452">
        <v>17.32</v>
      </c>
    </row>
    <row r="200" spans="15:20" x14ac:dyDescent="0.3">
      <c r="O200" s="451" t="s">
        <v>480</v>
      </c>
      <c r="P200" s="1693"/>
      <c r="Q200" s="952">
        <v>46321</v>
      </c>
      <c r="R200" s="452">
        <v>4.2000000000000003E-2</v>
      </c>
      <c r="S200" s="452">
        <v>0.43</v>
      </c>
      <c r="T200" s="452">
        <v>17.7</v>
      </c>
    </row>
    <row r="201" spans="15:20" x14ac:dyDescent="0.3">
      <c r="O201" s="451" t="s">
        <v>481</v>
      </c>
      <c r="P201" s="1694"/>
      <c r="Q201" s="952">
        <v>46321</v>
      </c>
      <c r="R201" s="452">
        <v>2.7E-2</v>
      </c>
      <c r="S201" s="452">
        <v>0.3</v>
      </c>
      <c r="T201" s="452">
        <v>17.82</v>
      </c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31">
    <mergeCell ref="P28:P33"/>
    <mergeCell ref="P80:P100"/>
    <mergeCell ref="P68:P79"/>
    <mergeCell ref="P58:P67"/>
    <mergeCell ref="P34:P42"/>
    <mergeCell ref="K3:K5"/>
    <mergeCell ref="P5:P8"/>
    <mergeCell ref="P9:P12"/>
    <mergeCell ref="P13:P18"/>
    <mergeCell ref="P19:P27"/>
    <mergeCell ref="B3:B5"/>
    <mergeCell ref="C3:C5"/>
    <mergeCell ref="D3:D5"/>
    <mergeCell ref="G3:J3"/>
    <mergeCell ref="G4:I4"/>
    <mergeCell ref="P193:P201"/>
    <mergeCell ref="P187:P192"/>
    <mergeCell ref="P177:P186"/>
    <mergeCell ref="P174:P176"/>
    <mergeCell ref="P43:P48"/>
    <mergeCell ref="P49:P57"/>
    <mergeCell ref="P171:P173"/>
    <mergeCell ref="P119:P121"/>
    <mergeCell ref="P145:P158"/>
    <mergeCell ref="P101:P106"/>
    <mergeCell ref="P107:P112"/>
    <mergeCell ref="P159:P170"/>
    <mergeCell ref="P134:P144"/>
    <mergeCell ref="P128:P133"/>
    <mergeCell ref="P122:P127"/>
    <mergeCell ref="P113:P118"/>
  </mergeCells>
  <phoneticPr fontId="118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67" zoomScale="89" workbookViewId="0">
      <selection activeCell="E80" sqref="E80"/>
    </sheetView>
  </sheetViews>
  <sheetFormatPr defaultColWidth="8.88671875"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471" t="s">
        <v>560</v>
      </c>
      <c r="C2" s="1471"/>
      <c r="D2" s="1471"/>
      <c r="E2" s="1471"/>
      <c r="F2" s="1471"/>
      <c r="G2" s="1471"/>
      <c r="H2" s="1471"/>
      <c r="J2" s="1471" t="s">
        <v>561</v>
      </c>
      <c r="K2" s="1471"/>
      <c r="L2" s="1471"/>
      <c r="M2" s="1471"/>
      <c r="N2" s="1471"/>
      <c r="O2" s="1471"/>
      <c r="P2" s="1471"/>
      <c r="R2" s="1708" t="s">
        <v>562</v>
      </c>
      <c r="S2" s="1710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4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708" t="s">
        <v>565</v>
      </c>
      <c r="S10" s="1709"/>
      <c r="T10" s="1710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711">
        <f>SUM(P4:P234,H4:H233)</f>
        <v>8423.4599999999991</v>
      </c>
      <c r="S11" s="1712"/>
      <c r="T11" s="1713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715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715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715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715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714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714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714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714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714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714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714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714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714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714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714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82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2">
        <v>46315</v>
      </c>
      <c r="D63" s="13" t="s">
        <v>12</v>
      </c>
      <c r="E63" s="13">
        <v>4</v>
      </c>
      <c r="F63" s="13">
        <f t="shared" si="9"/>
        <v>24</v>
      </c>
      <c r="G63" s="13"/>
      <c r="H63" s="668">
        <f t="shared" si="7"/>
        <v>24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2">
        <v>46315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">
      <c r="B65" s="13">
        <v>65</v>
      </c>
      <c r="C65" s="62">
        <v>46316</v>
      </c>
      <c r="D65" s="13" t="s">
        <v>12</v>
      </c>
      <c r="E65" s="13">
        <v>7</v>
      </c>
      <c r="F65" s="13">
        <f t="shared" si="9"/>
        <v>42</v>
      </c>
      <c r="G65" s="13"/>
      <c r="H65" s="668">
        <f t="shared" si="7"/>
        <v>42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2">
        <v>46316</v>
      </c>
      <c r="D66" s="13" t="s">
        <v>13</v>
      </c>
      <c r="E66" s="13">
        <v>10</v>
      </c>
      <c r="F66" s="13">
        <f t="shared" si="9"/>
        <v>60</v>
      </c>
      <c r="G66" s="13"/>
      <c r="H66" s="668">
        <f t="shared" si="7"/>
        <v>60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2">
        <v>46317</v>
      </c>
      <c r="D67" s="13" t="s">
        <v>12</v>
      </c>
      <c r="E67" s="13">
        <v>8</v>
      </c>
      <c r="F67" s="13">
        <f t="shared" si="9"/>
        <v>48</v>
      </c>
      <c r="G67" s="13"/>
      <c r="H67" s="668">
        <f t="shared" si="7"/>
        <v>48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2">
        <v>46317</v>
      </c>
      <c r="D68" s="13" t="s">
        <v>13</v>
      </c>
      <c r="E68" s="13">
        <v>14</v>
      </c>
      <c r="F68" s="13">
        <f t="shared" si="9"/>
        <v>84</v>
      </c>
      <c r="G68" s="13"/>
      <c r="H68" s="668">
        <f t="shared" si="7"/>
        <v>84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2">
        <v>46318</v>
      </c>
      <c r="D69" s="13" t="s">
        <v>12</v>
      </c>
      <c r="E69" s="13">
        <v>7</v>
      </c>
      <c r="F69" s="13">
        <f t="shared" si="9"/>
        <v>42</v>
      </c>
      <c r="G69" s="13"/>
      <c r="H69" s="668">
        <f t="shared" si="7"/>
        <v>42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 t="s">
        <v>970</v>
      </c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">
      <c r="B71" s="13">
        <v>71</v>
      </c>
      <c r="C71" s="62">
        <v>46319</v>
      </c>
      <c r="D71" s="13" t="s">
        <v>12</v>
      </c>
      <c r="E71" s="13">
        <v>3</v>
      </c>
      <c r="F71" s="13">
        <f t="shared" si="9"/>
        <v>18</v>
      </c>
      <c r="G71" s="13"/>
      <c r="H71" s="668">
        <f t="shared" si="7"/>
        <v>18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39">
        <f t="shared" ref="P71:P90" si="20">N71*(1-O71)</f>
        <v>108</v>
      </c>
    </row>
    <row r="72" spans="2:16" x14ac:dyDescent="0.3">
      <c r="B72" s="13">
        <v>72</v>
      </c>
      <c r="C72" s="62">
        <v>46319</v>
      </c>
      <c r="D72" s="13" t="s">
        <v>13</v>
      </c>
      <c r="E72" s="13">
        <v>10</v>
      </c>
      <c r="F72" s="13">
        <f t="shared" si="9"/>
        <v>60</v>
      </c>
      <c r="G72" s="13"/>
      <c r="H72" s="668">
        <f t="shared" si="7"/>
        <v>60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39">
        <f t="shared" si="20"/>
        <v>108</v>
      </c>
    </row>
    <row r="73" spans="2:16" x14ac:dyDescent="0.3">
      <c r="B73" s="13">
        <v>73</v>
      </c>
      <c r="C73" s="62">
        <v>46320</v>
      </c>
      <c r="D73" s="13" t="s">
        <v>12</v>
      </c>
      <c r="E73" s="13">
        <v>11</v>
      </c>
      <c r="F73" s="13">
        <f t="shared" si="9"/>
        <v>66</v>
      </c>
      <c r="G73" s="13"/>
      <c r="H73" s="668">
        <f t="shared" si="7"/>
        <v>66</v>
      </c>
      <c r="J73" s="13">
        <v>72</v>
      </c>
      <c r="K73" s="62">
        <v>46315</v>
      </c>
      <c r="L73" s="13" t="s">
        <v>12</v>
      </c>
      <c r="M73" s="13">
        <v>3</v>
      </c>
      <c r="N73" s="233">
        <f t="shared" si="17"/>
        <v>36</v>
      </c>
      <c r="O73" s="13"/>
      <c r="P73" s="39">
        <f t="shared" si="20"/>
        <v>36</v>
      </c>
    </row>
    <row r="74" spans="2:16" x14ac:dyDescent="0.3">
      <c r="B74" s="13">
        <v>74</v>
      </c>
      <c r="C74" s="6" t="s">
        <v>971</v>
      </c>
      <c r="D74" s="13" t="s">
        <v>13</v>
      </c>
      <c r="E74" s="13">
        <v>4</v>
      </c>
      <c r="F74" s="13">
        <f t="shared" si="9"/>
        <v>24</v>
      </c>
      <c r="G74" s="13"/>
      <c r="H74" s="668">
        <f t="shared" si="7"/>
        <v>24</v>
      </c>
      <c r="J74" s="13">
        <v>73</v>
      </c>
      <c r="K74" s="62">
        <v>46315</v>
      </c>
      <c r="L74" s="13" t="s">
        <v>13</v>
      </c>
      <c r="M74" s="13">
        <v>7</v>
      </c>
      <c r="N74" s="233">
        <f t="shared" si="17"/>
        <v>84</v>
      </c>
      <c r="O74" s="13"/>
      <c r="P74" s="39">
        <f t="shared" si="20"/>
        <v>84</v>
      </c>
    </row>
    <row r="75" spans="2:16" x14ac:dyDescent="0.3">
      <c r="B75" s="13">
        <v>75</v>
      </c>
      <c r="C75" s="62">
        <v>46321</v>
      </c>
      <c r="D75" s="13" t="s">
        <v>12</v>
      </c>
      <c r="E75" s="13">
        <v>7</v>
      </c>
      <c r="F75" s="13">
        <f t="shared" si="9"/>
        <v>42</v>
      </c>
      <c r="G75" s="13"/>
      <c r="H75" s="668">
        <f t="shared" si="7"/>
        <v>42</v>
      </c>
      <c r="J75" s="13">
        <v>74</v>
      </c>
      <c r="K75" s="62">
        <v>46316</v>
      </c>
      <c r="L75" s="13" t="s">
        <v>12</v>
      </c>
      <c r="M75" s="13">
        <v>7</v>
      </c>
      <c r="N75" s="233">
        <f t="shared" si="17"/>
        <v>84</v>
      </c>
      <c r="O75" s="13"/>
      <c r="P75" s="39">
        <f t="shared" si="20"/>
        <v>84</v>
      </c>
    </row>
    <row r="76" spans="2:16" x14ac:dyDescent="0.3">
      <c r="B76" s="13">
        <v>76</v>
      </c>
      <c r="C76" s="62">
        <v>46321</v>
      </c>
      <c r="D76" s="13" t="s">
        <v>978</v>
      </c>
      <c r="E76" s="13">
        <v>8</v>
      </c>
      <c r="F76" s="13">
        <f t="shared" si="9"/>
        <v>48</v>
      </c>
      <c r="G76" s="13"/>
      <c r="H76" s="668">
        <f t="shared" si="7"/>
        <v>48</v>
      </c>
      <c r="J76" s="13">
        <v>75</v>
      </c>
      <c r="K76" s="62">
        <v>46316</v>
      </c>
      <c r="L76" s="13" t="s">
        <v>13</v>
      </c>
      <c r="M76" s="13">
        <v>7</v>
      </c>
      <c r="N76" s="233">
        <f t="shared" si="17"/>
        <v>84</v>
      </c>
      <c r="O76" s="13"/>
      <c r="P76" s="39">
        <f t="shared" si="20"/>
        <v>84</v>
      </c>
    </row>
    <row r="77" spans="2:16" x14ac:dyDescent="0.3">
      <c r="B77" s="13">
        <v>77</v>
      </c>
      <c r="C77" s="62" t="s">
        <v>970</v>
      </c>
      <c r="D77" s="13" t="s">
        <v>12</v>
      </c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2">
        <v>46317</v>
      </c>
      <c r="L77" s="13" t="s">
        <v>12</v>
      </c>
      <c r="M77" s="13">
        <v>8</v>
      </c>
      <c r="N77" s="233">
        <f t="shared" si="17"/>
        <v>96</v>
      </c>
      <c r="O77" s="13"/>
      <c r="P77" s="39">
        <f t="shared" si="20"/>
        <v>96</v>
      </c>
    </row>
    <row r="78" spans="2:16" x14ac:dyDescent="0.3">
      <c r="B78" s="13">
        <v>78</v>
      </c>
      <c r="C78" s="62">
        <v>46322</v>
      </c>
      <c r="D78" s="13" t="s">
        <v>978</v>
      </c>
      <c r="E78" s="13">
        <v>5</v>
      </c>
      <c r="F78" s="13">
        <f t="shared" si="9"/>
        <v>30</v>
      </c>
      <c r="G78" s="13"/>
      <c r="H78" s="668">
        <f t="shared" si="7"/>
        <v>30</v>
      </c>
      <c r="J78" s="13">
        <v>77</v>
      </c>
      <c r="K78" s="62">
        <v>46317</v>
      </c>
      <c r="L78" s="13" t="s">
        <v>13</v>
      </c>
      <c r="M78" s="13">
        <v>10</v>
      </c>
      <c r="N78" s="233">
        <f t="shared" si="17"/>
        <v>120</v>
      </c>
      <c r="O78" s="13"/>
      <c r="P78" s="39">
        <f t="shared" si="20"/>
        <v>120</v>
      </c>
    </row>
    <row r="79" spans="2:16" x14ac:dyDescent="0.3">
      <c r="B79" s="13">
        <v>79</v>
      </c>
      <c r="C79" s="6" t="s">
        <v>970</v>
      </c>
      <c r="D79" s="13" t="s">
        <v>12</v>
      </c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2">
        <v>46318</v>
      </c>
      <c r="L79" s="13" t="s">
        <v>12</v>
      </c>
      <c r="M79" s="13">
        <v>7</v>
      </c>
      <c r="N79" s="233">
        <f t="shared" si="17"/>
        <v>84</v>
      </c>
      <c r="O79" s="13"/>
      <c r="P79" s="39">
        <f t="shared" si="20"/>
        <v>84</v>
      </c>
    </row>
    <row r="80" spans="2:16" x14ac:dyDescent="0.3">
      <c r="B80" s="13">
        <v>80</v>
      </c>
      <c r="C80" s="62">
        <v>46323</v>
      </c>
      <c r="D80" s="13" t="s">
        <v>978</v>
      </c>
      <c r="E80" s="13">
        <v>4</v>
      </c>
      <c r="F80" s="13">
        <f t="shared" si="9"/>
        <v>24</v>
      </c>
      <c r="G80" s="13"/>
      <c r="H80" s="668">
        <f t="shared" ref="H80:H126" si="21">F80*(1-G80)</f>
        <v>24</v>
      </c>
      <c r="J80" s="13">
        <v>79</v>
      </c>
      <c r="K80" s="6" t="s">
        <v>970</v>
      </c>
      <c r="L80" s="13"/>
      <c r="M80" s="13"/>
      <c r="N80" s="233">
        <f t="shared" si="17"/>
        <v>0</v>
      </c>
      <c r="O80" s="13"/>
      <c r="P80" s="39">
        <f t="shared" si="20"/>
        <v>0</v>
      </c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21"/>
        <v>0</v>
      </c>
      <c r="J81" s="13">
        <v>80</v>
      </c>
      <c r="K81" s="62">
        <v>46319</v>
      </c>
      <c r="L81" s="13" t="s">
        <v>12</v>
      </c>
      <c r="M81" s="13">
        <v>3</v>
      </c>
      <c r="N81" s="233">
        <f t="shared" si="17"/>
        <v>36</v>
      </c>
      <c r="O81" s="13"/>
      <c r="P81" s="39">
        <f t="shared" si="20"/>
        <v>36</v>
      </c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21"/>
        <v>0</v>
      </c>
      <c r="J82" s="13">
        <v>81</v>
      </c>
      <c r="K82" s="62">
        <v>46319</v>
      </c>
      <c r="L82" s="13" t="s">
        <v>13</v>
      </c>
      <c r="M82" s="13">
        <v>10</v>
      </c>
      <c r="N82" s="233">
        <f t="shared" si="17"/>
        <v>120</v>
      </c>
      <c r="O82" s="13"/>
      <c r="P82" s="39">
        <f t="shared" si="20"/>
        <v>120</v>
      </c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1"/>
        <v>0</v>
      </c>
      <c r="J83" s="13">
        <v>82</v>
      </c>
      <c r="K83" s="6" t="s">
        <v>971</v>
      </c>
      <c r="L83" s="13" t="s">
        <v>12</v>
      </c>
      <c r="M83" s="13">
        <v>11</v>
      </c>
      <c r="N83" s="233">
        <f>M83*$S$4</f>
        <v>132</v>
      </c>
      <c r="O83" s="13"/>
      <c r="P83" s="39">
        <f t="shared" si="20"/>
        <v>132</v>
      </c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1"/>
        <v>0</v>
      </c>
      <c r="J84" s="13">
        <v>83</v>
      </c>
      <c r="K84" s="6" t="s">
        <v>971</v>
      </c>
      <c r="L84" s="13" t="s">
        <v>13</v>
      </c>
      <c r="M84" s="13">
        <v>4</v>
      </c>
      <c r="N84" s="233">
        <f t="shared" ref="N84:N90" si="22">M84*$S$4</f>
        <v>48</v>
      </c>
      <c r="O84" s="13"/>
      <c r="P84" s="39">
        <f t="shared" si="20"/>
        <v>48</v>
      </c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1"/>
        <v>0</v>
      </c>
      <c r="J85" s="13">
        <v>84</v>
      </c>
      <c r="K85" s="62">
        <v>46321</v>
      </c>
      <c r="L85" s="13" t="s">
        <v>12</v>
      </c>
      <c r="M85" s="13">
        <v>11</v>
      </c>
      <c r="N85" s="233">
        <f t="shared" si="22"/>
        <v>132</v>
      </c>
      <c r="O85" s="13"/>
      <c r="P85" s="39">
        <f t="shared" si="20"/>
        <v>132</v>
      </c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1"/>
        <v>0</v>
      </c>
      <c r="J86" s="13">
        <v>85</v>
      </c>
      <c r="K86" s="62">
        <v>46321</v>
      </c>
      <c r="L86" s="13" t="s">
        <v>978</v>
      </c>
      <c r="M86" s="12">
        <v>8</v>
      </c>
      <c r="N86" s="233">
        <f t="shared" si="22"/>
        <v>96</v>
      </c>
      <c r="O86" s="13"/>
      <c r="P86" s="39">
        <f t="shared" si="20"/>
        <v>96</v>
      </c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1"/>
        <v>0</v>
      </c>
      <c r="J87" s="13">
        <v>86</v>
      </c>
      <c r="K87" s="62" t="s">
        <v>970</v>
      </c>
      <c r="L87" s="13" t="s">
        <v>12</v>
      </c>
      <c r="M87" s="13"/>
      <c r="N87" s="233">
        <f t="shared" si="22"/>
        <v>0</v>
      </c>
      <c r="O87" s="13"/>
      <c r="P87" s="39">
        <f t="shared" si="20"/>
        <v>0</v>
      </c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1"/>
        <v>0</v>
      </c>
      <c r="J88" s="13">
        <v>87</v>
      </c>
      <c r="K88" s="62">
        <v>46322</v>
      </c>
      <c r="L88" s="13" t="s">
        <v>978</v>
      </c>
      <c r="M88" s="13">
        <v>3</v>
      </c>
      <c r="N88" s="233">
        <f t="shared" si="22"/>
        <v>36</v>
      </c>
      <c r="O88" s="13"/>
      <c r="P88" s="39">
        <f t="shared" si="20"/>
        <v>36</v>
      </c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1"/>
        <v>0</v>
      </c>
      <c r="J89" s="13">
        <v>88</v>
      </c>
      <c r="K89" s="6" t="s">
        <v>970</v>
      </c>
      <c r="L89" s="13" t="s">
        <v>12</v>
      </c>
      <c r="M89" s="13"/>
      <c r="N89" s="233">
        <f t="shared" si="22"/>
        <v>0</v>
      </c>
      <c r="O89" s="13"/>
      <c r="P89" s="39">
        <f t="shared" si="20"/>
        <v>0</v>
      </c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1"/>
        <v>0</v>
      </c>
      <c r="J90" s="13">
        <v>89</v>
      </c>
      <c r="K90" s="62">
        <v>46323</v>
      </c>
      <c r="L90" s="13" t="s">
        <v>978</v>
      </c>
      <c r="M90" s="13">
        <v>7</v>
      </c>
      <c r="N90" s="233">
        <f t="shared" si="22"/>
        <v>84</v>
      </c>
      <c r="O90" s="13"/>
      <c r="P90" s="39">
        <f t="shared" si="20"/>
        <v>84</v>
      </c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1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1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1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1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1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1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1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1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1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1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3">E101*$R$4</f>
        <v>0</v>
      </c>
      <c r="G101" s="13"/>
      <c r="H101" s="668">
        <f t="shared" si="21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3"/>
        <v>0</v>
      </c>
      <c r="G102" s="13"/>
      <c r="H102" s="668">
        <f t="shared" si="21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3"/>
        <v>0</v>
      </c>
      <c r="G103" s="13"/>
      <c r="H103" s="668">
        <f t="shared" si="21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3"/>
        <v>0</v>
      </c>
      <c r="G104" s="13"/>
      <c r="H104" s="668">
        <f t="shared" si="21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3"/>
        <v>0</v>
      </c>
      <c r="G105" s="13"/>
      <c r="H105" s="668">
        <f t="shared" si="21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3"/>
        <v>0</v>
      </c>
      <c r="G106" s="13"/>
      <c r="H106" s="668">
        <f t="shared" si="21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3"/>
        <v>0</v>
      </c>
      <c r="G107" s="13"/>
      <c r="H107" s="668">
        <f t="shared" si="21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3"/>
        <v>0</v>
      </c>
      <c r="G108" s="13"/>
      <c r="H108" s="668">
        <f t="shared" si="21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3"/>
        <v>0</v>
      </c>
      <c r="G109" s="13"/>
      <c r="H109" s="668">
        <f t="shared" si="21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3"/>
        <v>0</v>
      </c>
      <c r="G110" s="13"/>
      <c r="H110" s="668">
        <f t="shared" si="21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3"/>
        <v>0</v>
      </c>
      <c r="G111" s="13"/>
      <c r="H111" s="668">
        <f t="shared" si="21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3"/>
        <v>0</v>
      </c>
      <c r="G112" s="13"/>
      <c r="H112" s="668">
        <f t="shared" si="21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3"/>
        <v>0</v>
      </c>
      <c r="G113" s="13"/>
      <c r="H113" s="668">
        <f t="shared" si="21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3"/>
        <v>0</v>
      </c>
      <c r="G114" s="13"/>
      <c r="H114" s="668">
        <f t="shared" si="21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3"/>
        <v>0</v>
      </c>
      <c r="G115" s="13"/>
      <c r="H115" s="668">
        <f t="shared" si="21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3"/>
        <v>0</v>
      </c>
      <c r="G116" s="13"/>
      <c r="H116" s="668">
        <f t="shared" si="21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3"/>
        <v>0</v>
      </c>
      <c r="G117" s="13"/>
      <c r="H117" s="668">
        <f t="shared" si="21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3"/>
        <v>0</v>
      </c>
      <c r="G118" s="13"/>
      <c r="H118" s="668">
        <f t="shared" si="21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3"/>
        <v>0</v>
      </c>
      <c r="G119" s="13"/>
      <c r="H119" s="668">
        <f t="shared" si="21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3"/>
        <v>0</v>
      </c>
      <c r="G120" s="13"/>
      <c r="H120" s="668">
        <f t="shared" si="21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3"/>
        <v>0</v>
      </c>
      <c r="G121" s="13"/>
      <c r="H121" s="668">
        <f t="shared" si="21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3"/>
        <v>0</v>
      </c>
      <c r="G122" s="13"/>
      <c r="H122" s="668">
        <f t="shared" si="21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3"/>
        <v>0</v>
      </c>
      <c r="G123" s="13"/>
      <c r="H123" s="668">
        <f t="shared" si="21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3"/>
        <v>0</v>
      </c>
      <c r="G124" s="13"/>
      <c r="H124" s="668">
        <f t="shared" si="21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3"/>
        <v>0</v>
      </c>
      <c r="G125" s="13"/>
      <c r="H125" s="668">
        <f t="shared" si="21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3"/>
        <v>0</v>
      </c>
      <c r="G126" s="13"/>
      <c r="H126" s="668">
        <f t="shared" si="21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M293" zoomScale="87" zoomScaleNormal="55" workbookViewId="0">
      <selection activeCell="T130" sqref="T130:T318"/>
    </sheetView>
  </sheetViews>
  <sheetFormatPr defaultColWidth="8.88671875"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3" width="8.88671875" style="1"/>
    <col min="24" max="24" width="10.5546875" style="1" bestFit="1" customWidth="1"/>
    <col min="25" max="25" width="8.88671875" style="1"/>
    <col min="26" max="26" width="26.44140625" style="1" bestFit="1" customWidth="1"/>
    <col min="27" max="27" width="10.6640625" style="1" bestFit="1" customWidth="1"/>
    <col min="28" max="31" width="8.88671875" style="1"/>
    <col min="32" max="32" width="8.88671875" style="13"/>
    <col min="33" max="16384" width="8.88671875" style="1"/>
  </cols>
  <sheetData>
    <row r="1" spans="2:32" ht="15" thickBot="1" x14ac:dyDescent="0.35">
      <c r="AE1" s="935">
        <v>1</v>
      </c>
      <c r="AF1" s="6">
        <v>4.7E-2</v>
      </c>
    </row>
    <row r="2" spans="2:32" ht="15" thickBot="1" x14ac:dyDescent="0.35">
      <c r="B2" s="1716" t="s">
        <v>662</v>
      </c>
      <c r="C2" s="1717"/>
      <c r="D2" s="1717"/>
      <c r="E2" s="1717"/>
      <c r="F2" s="1717"/>
      <c r="G2" s="1717"/>
      <c r="H2" s="1717"/>
      <c r="I2" s="1717"/>
      <c r="J2" s="1717"/>
      <c r="K2" s="1717"/>
      <c r="L2" s="1717"/>
      <c r="M2" s="1718"/>
      <c r="AE2" s="935">
        <v>2</v>
      </c>
      <c r="AF2" s="6">
        <v>7.5999999999999998E-2</v>
      </c>
    </row>
    <row r="3" spans="2:32" ht="15" thickBot="1" x14ac:dyDescent="0.35">
      <c r="B3" s="1716" t="s">
        <v>197</v>
      </c>
      <c r="C3" s="1717"/>
      <c r="D3" s="1717"/>
      <c r="E3" s="1717"/>
      <c r="F3" s="1717"/>
      <c r="G3" s="1717"/>
      <c r="H3" s="1717"/>
      <c r="I3" s="1717"/>
      <c r="J3" s="1717"/>
      <c r="K3" s="1717"/>
      <c r="L3" s="1717"/>
      <c r="M3" s="1718"/>
      <c r="AE3" s="935">
        <v>3</v>
      </c>
      <c r="AF3" s="6">
        <v>9.2999999999999999E-2</v>
      </c>
    </row>
    <row r="4" spans="2:32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">
      <c r="AE6" s="935">
        <v>6</v>
      </c>
      <c r="AF6" s="6">
        <v>0.16</v>
      </c>
    </row>
    <row r="7" spans="2:32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660</v>
      </c>
      <c r="K7" s="1117" t="s">
        <v>369</v>
      </c>
      <c r="L7" s="1117" t="s">
        <v>185</v>
      </c>
      <c r="M7" s="1117" t="s">
        <v>195</v>
      </c>
      <c r="Q7" s="1471" t="s">
        <v>335</v>
      </c>
      <c r="R7" s="1471"/>
      <c r="S7" s="1471"/>
      <c r="T7" s="1471"/>
      <c r="U7" s="1471"/>
      <c r="V7" s="1471"/>
      <c r="AE7" s="935">
        <v>7</v>
      </c>
      <c r="AF7" s="6">
        <v>0.16200000000000001</v>
      </c>
    </row>
    <row r="8" spans="2:32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0">H9*I9</f>
        <v>21.6</v>
      </c>
      <c r="K9" s="363">
        <f t="shared" ref="K9:K12" si="1">I9*G9</f>
        <v>0</v>
      </c>
      <c r="L9" s="359">
        <v>1.228</v>
      </c>
      <c r="M9" s="363">
        <f t="shared" ref="M9:M30" si="2">L9*J9</f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0.70167656765676556</v>
      </c>
      <c r="AB9" s="117"/>
      <c r="AE9" s="935">
        <v>9</v>
      </c>
      <c r="AF9" s="6">
        <v>0.17799999999999999</v>
      </c>
    </row>
    <row r="10" spans="2:32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0"/>
        <v>125.55000000000001</v>
      </c>
      <c r="K10" s="363">
        <f t="shared" si="1"/>
        <v>0</v>
      </c>
      <c r="L10" s="365">
        <v>0.6</v>
      </c>
      <c r="M10" s="363">
        <f t="shared" si="2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0.59299999999999997</v>
      </c>
      <c r="AE10" s="935">
        <v>10</v>
      </c>
      <c r="AF10" s="6">
        <v>0.17799999999999999</v>
      </c>
    </row>
    <row r="11" spans="2:32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0"/>
        <v>54</v>
      </c>
      <c r="K11" s="363">
        <f t="shared" si="1"/>
        <v>0</v>
      </c>
      <c r="L11" s="359">
        <v>1.0269999999999999</v>
      </c>
      <c r="M11" s="363">
        <f t="shared" si="2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0"/>
        <v>17.55</v>
      </c>
      <c r="K12" s="363">
        <f t="shared" si="1"/>
        <v>0</v>
      </c>
      <c r="L12" s="359">
        <v>1.228</v>
      </c>
      <c r="M12" s="363">
        <f t="shared" si="2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2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4.1970547073953479E-2</v>
      </c>
      <c r="AB13" s="117"/>
      <c r="AE13" s="935">
        <v>13</v>
      </c>
      <c r="AF13" s="6">
        <v>0.20699999999999999</v>
      </c>
    </row>
    <row r="14" spans="2:32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2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0.10867656765676559</v>
      </c>
      <c r="AE14" s="935">
        <v>14</v>
      </c>
      <c r="AF14" s="6">
        <v>0.20799999999999999</v>
      </c>
    </row>
    <row r="15" spans="2:32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2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2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2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2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2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2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2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2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2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2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2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2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2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2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2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2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">
      <c r="B42" s="131" t="s">
        <v>121</v>
      </c>
      <c r="C42" s="1069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2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719"/>
      <c r="AI42" s="1720"/>
      <c r="AJ42" s="1720"/>
      <c r="AK42" s="1720"/>
      <c r="AL42" s="1720"/>
      <c r="AM42" s="1721"/>
    </row>
    <row r="43" spans="2:39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7"/>
      <c r="O43" s="1112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8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8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">
      <c r="B114" s="1722" t="s">
        <v>420</v>
      </c>
      <c r="C114" s="1722"/>
      <c r="D114" s="1722"/>
      <c r="E114" s="1722"/>
      <c r="F114" s="1722"/>
      <c r="G114" s="1722"/>
      <c r="H114" s="1722"/>
      <c r="I114" s="1722"/>
      <c r="J114" s="1722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">
      <c r="B115" s="1722"/>
      <c r="C115" s="1722"/>
      <c r="D115" s="1722"/>
      <c r="E115" s="1722"/>
      <c r="F115" s="1722"/>
      <c r="G115" s="1722"/>
      <c r="H115" s="1722"/>
      <c r="I115" s="1722"/>
      <c r="J115" s="1722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35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35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35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35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35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35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">
      <c r="G164" s="1">
        <f>F161/250</f>
        <v>3.8324000000000003</v>
      </c>
      <c r="L164" s="357">
        <f>SUM(L154:L162)</f>
        <v>1640.6000000000001</v>
      </c>
      <c r="M164" s="1120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35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35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35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35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35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35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35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35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35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35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35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35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35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35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35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35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35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35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35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35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35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35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35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35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35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35">
      <c r="Q311" s="13">
        <v>301</v>
      </c>
      <c r="R311" s="6" t="s">
        <v>670</v>
      </c>
      <c r="S311" s="62">
        <v>46321</v>
      </c>
      <c r="T311" s="6">
        <v>0.22</v>
      </c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">
      <c r="Q312" s="13">
        <v>302</v>
      </c>
      <c r="R312" s="6" t="s">
        <v>671</v>
      </c>
      <c r="S312" s="62">
        <v>46321</v>
      </c>
      <c r="T312" s="6">
        <v>4.9000000000000002E-2</v>
      </c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">
      <c r="Q313" s="13">
        <v>303</v>
      </c>
      <c r="R313" s="6" t="s">
        <v>743</v>
      </c>
      <c r="S313" s="62">
        <v>46321</v>
      </c>
      <c r="T313" s="6">
        <v>6.2E-2</v>
      </c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">
      <c r="Q314" s="13">
        <v>304</v>
      </c>
      <c r="R314" s="6" t="s">
        <v>672</v>
      </c>
      <c r="S314" s="62">
        <v>46321</v>
      </c>
      <c r="T314" s="6">
        <v>0.38900000000000001</v>
      </c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">
      <c r="Q315" s="13">
        <v>305</v>
      </c>
      <c r="R315" s="6" t="s">
        <v>673</v>
      </c>
      <c r="S315" s="62">
        <v>46321</v>
      </c>
      <c r="T315" s="6">
        <v>0.17599999999999999</v>
      </c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">
      <c r="Q316" s="13">
        <v>306</v>
      </c>
      <c r="R316" s="6" t="s">
        <v>674</v>
      </c>
      <c r="S316" s="62">
        <v>46321</v>
      </c>
      <c r="T316" s="6">
        <v>0.375</v>
      </c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35">
      <c r="Q317" s="13">
        <v>307</v>
      </c>
      <c r="R317" s="6" t="s">
        <v>675</v>
      </c>
      <c r="S317" s="62">
        <v>46321</v>
      </c>
      <c r="T317" s="6">
        <v>0.38700000000000001</v>
      </c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">
      <c r="Q318" s="13">
        <v>308</v>
      </c>
      <c r="R318" s="6" t="s">
        <v>676</v>
      </c>
      <c r="S318" s="62">
        <v>46321</v>
      </c>
      <c r="T318" s="6">
        <v>1.1479999999999999</v>
      </c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35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35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35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">
      <c r="Q336" s="13">
        <v>326</v>
      </c>
      <c r="R336" s="6"/>
      <c r="S336" s="6"/>
      <c r="T336" s="6"/>
      <c r="U336" s="6"/>
      <c r="V336" s="6"/>
    </row>
    <row r="337" spans="17:22" x14ac:dyDescent="0.3">
      <c r="Q337" s="13">
        <v>327</v>
      </c>
      <c r="R337" s="6"/>
      <c r="S337" s="6"/>
      <c r="T337" s="6"/>
      <c r="U337" s="6"/>
      <c r="V337" s="6"/>
    </row>
    <row r="338" spans="17:22" x14ac:dyDescent="0.3">
      <c r="Q338" s="13">
        <v>328</v>
      </c>
      <c r="R338" s="6"/>
      <c r="S338" s="6"/>
      <c r="T338" s="6"/>
      <c r="U338" s="6"/>
      <c r="V338" s="6"/>
    </row>
    <row r="339" spans="17:22" x14ac:dyDescent="0.3">
      <c r="Q339" s="13">
        <v>329</v>
      </c>
      <c r="R339" s="6"/>
      <c r="S339" s="6"/>
      <c r="T339" s="6"/>
      <c r="U339" s="6"/>
      <c r="V339" s="6"/>
    </row>
    <row r="340" spans="17:22" x14ac:dyDescent="0.3">
      <c r="Q340" s="13">
        <v>330</v>
      </c>
      <c r="R340" s="6"/>
      <c r="S340" s="6"/>
      <c r="T340" s="6"/>
      <c r="U340" s="6"/>
      <c r="V340" s="6"/>
    </row>
    <row r="341" spans="17:22" x14ac:dyDescent="0.3">
      <c r="Q341" s="13">
        <v>331</v>
      </c>
      <c r="R341" s="6"/>
      <c r="S341" s="6"/>
      <c r="T341" s="6"/>
      <c r="U341" s="6"/>
      <c r="V341" s="6"/>
    </row>
    <row r="342" spans="17:22" x14ac:dyDescent="0.3">
      <c r="Q342" s="13">
        <v>332</v>
      </c>
      <c r="R342" s="6"/>
      <c r="S342" s="6"/>
      <c r="T342" s="6"/>
      <c r="U342" s="6"/>
      <c r="V342" s="6"/>
    </row>
    <row r="343" spans="17:22" x14ac:dyDescent="0.3">
      <c r="Q343" s="13">
        <v>333</v>
      </c>
      <c r="R343" s="6"/>
      <c r="S343" s="6"/>
      <c r="T343" s="6"/>
      <c r="U343" s="6"/>
      <c r="V343" s="6"/>
    </row>
    <row r="344" spans="17:22" x14ac:dyDescent="0.3">
      <c r="Q344" s="13">
        <v>334</v>
      </c>
      <c r="R344" s="6"/>
      <c r="S344" s="6"/>
      <c r="T344" s="6"/>
      <c r="U344" s="6"/>
      <c r="V344" s="6"/>
    </row>
    <row r="345" spans="17:22" x14ac:dyDescent="0.3">
      <c r="Q345" s="13">
        <v>335</v>
      </c>
      <c r="R345" s="6"/>
      <c r="S345" s="6"/>
      <c r="T345" s="6"/>
      <c r="U345" s="6"/>
      <c r="V345" s="6"/>
    </row>
    <row r="346" spans="17:22" x14ac:dyDescent="0.3">
      <c r="Q346" s="13">
        <v>336</v>
      </c>
      <c r="R346" s="6"/>
      <c r="S346" s="6"/>
      <c r="T346" s="6"/>
      <c r="U346" s="6"/>
      <c r="V346" s="6"/>
    </row>
    <row r="347" spans="17:22" x14ac:dyDescent="0.3">
      <c r="Q347" s="13">
        <v>337</v>
      </c>
      <c r="R347" s="6"/>
      <c r="S347" s="6"/>
      <c r="T347" s="6"/>
      <c r="U347" s="6"/>
      <c r="V347" s="6"/>
    </row>
    <row r="348" spans="17:22" x14ac:dyDescent="0.3">
      <c r="Q348" s="13">
        <v>338</v>
      </c>
      <c r="R348" s="6"/>
      <c r="S348" s="6"/>
      <c r="T348" s="6"/>
      <c r="U348" s="6"/>
      <c r="V348" s="6"/>
    </row>
    <row r="349" spans="17:22" x14ac:dyDescent="0.3">
      <c r="Q349" s="13">
        <v>339</v>
      </c>
      <c r="R349" s="6"/>
      <c r="S349" s="6"/>
      <c r="T349" s="6"/>
      <c r="U349" s="6"/>
      <c r="V349" s="6"/>
    </row>
    <row r="350" spans="17:22" x14ac:dyDescent="0.3">
      <c r="Q350" s="13">
        <v>340</v>
      </c>
      <c r="R350" s="6"/>
      <c r="S350" s="6"/>
      <c r="T350" s="6"/>
      <c r="U350" s="6"/>
      <c r="V350" s="6"/>
    </row>
    <row r="351" spans="17:22" x14ac:dyDescent="0.3">
      <c r="Q351" s="13">
        <v>341</v>
      </c>
      <c r="R351" s="6"/>
      <c r="S351" s="6"/>
      <c r="T351" s="6"/>
      <c r="U351" s="6"/>
      <c r="V351" s="6"/>
    </row>
    <row r="352" spans="17:22" x14ac:dyDescent="0.3">
      <c r="Q352" s="13">
        <v>342</v>
      </c>
      <c r="R352" s="6"/>
      <c r="S352" s="6"/>
      <c r="T352" s="6"/>
      <c r="U352" s="6"/>
      <c r="V352" s="6"/>
    </row>
    <row r="353" spans="17:22" x14ac:dyDescent="0.3">
      <c r="Q353" s="13">
        <v>343</v>
      </c>
      <c r="R353" s="6"/>
      <c r="S353" s="6"/>
      <c r="T353" s="6"/>
      <c r="U353" s="6"/>
      <c r="V353" s="6"/>
    </row>
    <row r="354" spans="17:22" x14ac:dyDescent="0.3">
      <c r="Q354" s="13">
        <v>344</v>
      </c>
      <c r="R354" s="6"/>
      <c r="S354" s="6"/>
      <c r="T354" s="6"/>
      <c r="U354" s="6"/>
      <c r="V354" s="6"/>
    </row>
    <row r="355" spans="17:22" x14ac:dyDescent="0.3">
      <c r="Q355" s="13">
        <v>345</v>
      </c>
      <c r="R355" s="6"/>
      <c r="S355" s="6"/>
      <c r="T355" s="6"/>
      <c r="U355" s="6"/>
      <c r="V355" s="6"/>
    </row>
    <row r="356" spans="17:22" x14ac:dyDescent="0.3">
      <c r="Q356" s="13">
        <v>346</v>
      </c>
      <c r="R356" s="6"/>
      <c r="S356" s="6"/>
      <c r="T356" s="6"/>
      <c r="U356" s="6"/>
      <c r="V356" s="6"/>
    </row>
    <row r="357" spans="17:22" x14ac:dyDescent="0.3">
      <c r="Q357" s="13">
        <v>347</v>
      </c>
      <c r="R357" s="6"/>
      <c r="S357" s="6"/>
      <c r="T357" s="6"/>
      <c r="U357" s="6"/>
      <c r="V357" s="6"/>
    </row>
    <row r="358" spans="17:22" x14ac:dyDescent="0.3">
      <c r="Q358" s="13">
        <v>348</v>
      </c>
      <c r="R358" s="6"/>
      <c r="S358" s="6"/>
      <c r="T358" s="6"/>
      <c r="U358" s="6"/>
      <c r="V358" s="6"/>
    </row>
    <row r="359" spans="17:22" x14ac:dyDescent="0.3">
      <c r="Q359" s="13">
        <v>349</v>
      </c>
      <c r="R359" s="6"/>
      <c r="S359" s="6"/>
      <c r="T359" s="6"/>
      <c r="U359" s="6"/>
      <c r="V359" s="6"/>
    </row>
    <row r="360" spans="17:22" x14ac:dyDescent="0.3">
      <c r="Q360" s="13">
        <v>350</v>
      </c>
      <c r="R360" s="6"/>
      <c r="S360" s="6"/>
      <c r="T360" s="6"/>
      <c r="U360" s="6"/>
      <c r="V360" s="6"/>
    </row>
    <row r="361" spans="17:22" x14ac:dyDescent="0.3">
      <c r="Q361" s="13">
        <v>351</v>
      </c>
      <c r="R361" s="6"/>
      <c r="S361" s="6"/>
      <c r="T361" s="6"/>
      <c r="U361" s="6"/>
      <c r="V361" s="6"/>
    </row>
    <row r="362" spans="17:22" x14ac:dyDescent="0.3">
      <c r="Q362" s="13">
        <v>352</v>
      </c>
      <c r="R362" s="6"/>
      <c r="S362" s="6"/>
      <c r="T362" s="6"/>
      <c r="U362" s="6"/>
      <c r="V362" s="6"/>
    </row>
    <row r="363" spans="17:22" x14ac:dyDescent="0.3">
      <c r="Q363" s="13">
        <v>353</v>
      </c>
      <c r="R363" s="6"/>
      <c r="S363" s="6"/>
      <c r="T363" s="6"/>
      <c r="U363" s="6"/>
      <c r="V363" s="6"/>
    </row>
    <row r="364" spans="17:22" x14ac:dyDescent="0.3">
      <c r="Q364" s="13">
        <v>354</v>
      </c>
      <c r="R364" s="6"/>
      <c r="S364" s="6"/>
      <c r="T364" s="6"/>
      <c r="U364" s="6"/>
      <c r="V364" s="6"/>
    </row>
    <row r="365" spans="17:22" x14ac:dyDescent="0.3">
      <c r="Q365" s="13">
        <v>355</v>
      </c>
      <c r="R365" s="6"/>
      <c r="S365" s="6"/>
      <c r="T365" s="6"/>
      <c r="U365" s="6"/>
      <c r="V365" s="6"/>
    </row>
    <row r="366" spans="17:22" x14ac:dyDescent="0.3">
      <c r="Q366" s="13">
        <v>356</v>
      </c>
      <c r="R366" s="6"/>
      <c r="S366" s="6"/>
      <c r="T366" s="6"/>
      <c r="U366" s="6"/>
      <c r="V366" s="6"/>
    </row>
    <row r="367" spans="17:22" x14ac:dyDescent="0.3">
      <c r="Q367" s="13">
        <v>357</v>
      </c>
      <c r="R367" s="6"/>
      <c r="S367" s="6"/>
      <c r="T367" s="6"/>
      <c r="U367" s="6"/>
      <c r="V367" s="6"/>
    </row>
    <row r="368" spans="17:22" x14ac:dyDescent="0.3">
      <c r="Q368" s="13">
        <v>358</v>
      </c>
      <c r="R368" s="6"/>
      <c r="S368" s="6"/>
      <c r="T368" s="6"/>
      <c r="U368" s="6"/>
      <c r="V368" s="6"/>
    </row>
    <row r="369" spans="17:22" x14ac:dyDescent="0.3">
      <c r="Q369" s="13">
        <v>359</v>
      </c>
      <c r="R369" s="6"/>
      <c r="S369" s="6"/>
      <c r="T369" s="6"/>
      <c r="U369" s="6"/>
      <c r="V369" s="6"/>
    </row>
    <row r="370" spans="17:22" x14ac:dyDescent="0.3">
      <c r="Q370" s="13">
        <v>360</v>
      </c>
      <c r="R370" s="6"/>
      <c r="S370" s="6"/>
      <c r="T370" s="6"/>
      <c r="U370" s="6"/>
      <c r="V370" s="6"/>
    </row>
    <row r="371" spans="17:22" x14ac:dyDescent="0.3">
      <c r="Q371" s="13">
        <v>361</v>
      </c>
      <c r="R371" s="6"/>
      <c r="S371" s="6"/>
      <c r="T371" s="6"/>
      <c r="U371" s="6"/>
      <c r="V371" s="6"/>
    </row>
    <row r="372" spans="17:22" x14ac:dyDescent="0.3">
      <c r="Q372" s="13">
        <v>362</v>
      </c>
      <c r="R372" s="6"/>
      <c r="S372" s="6"/>
      <c r="T372" s="6"/>
      <c r="U372" s="6"/>
      <c r="V372" s="6"/>
    </row>
    <row r="373" spans="17:22" x14ac:dyDescent="0.3">
      <c r="Q373" s="13">
        <v>363</v>
      </c>
      <c r="R373" s="6"/>
      <c r="S373" s="6"/>
      <c r="T373" s="6"/>
      <c r="U373" s="6"/>
      <c r="V373" s="6"/>
    </row>
    <row r="374" spans="17:22" x14ac:dyDescent="0.3">
      <c r="Q374" s="13">
        <v>364</v>
      </c>
      <c r="R374" s="6"/>
      <c r="S374" s="6"/>
      <c r="T374" s="6"/>
      <c r="U374" s="6"/>
      <c r="V374" s="6"/>
    </row>
    <row r="375" spans="17:22" x14ac:dyDescent="0.3">
      <c r="Q375" s="13">
        <v>365</v>
      </c>
      <c r="R375" s="6"/>
      <c r="S375" s="6"/>
      <c r="T375" s="6"/>
      <c r="U375" s="6"/>
      <c r="V375" s="6"/>
    </row>
    <row r="376" spans="17:22" x14ac:dyDescent="0.3">
      <c r="Q376" s="13">
        <v>366</v>
      </c>
      <c r="R376" s="6"/>
      <c r="S376" s="6"/>
      <c r="T376" s="6"/>
      <c r="U376" s="6"/>
      <c r="V376" s="6"/>
    </row>
    <row r="377" spans="17:22" x14ac:dyDescent="0.3">
      <c r="Q377" s="13">
        <v>367</v>
      </c>
      <c r="R377" s="6"/>
      <c r="S377" s="6"/>
      <c r="T377" s="6"/>
      <c r="U377" s="6"/>
      <c r="V377" s="6"/>
    </row>
    <row r="378" spans="17:22" x14ac:dyDescent="0.3">
      <c r="Q378" s="13">
        <v>368</v>
      </c>
      <c r="R378" s="6"/>
      <c r="S378" s="6"/>
      <c r="T378" s="6"/>
      <c r="U378" s="6"/>
      <c r="V378" s="6"/>
    </row>
    <row r="379" spans="17:22" x14ac:dyDescent="0.3">
      <c r="Q379" s="13">
        <v>369</v>
      </c>
      <c r="R379" s="6"/>
      <c r="S379" s="6"/>
      <c r="T379" s="6"/>
      <c r="U379" s="6"/>
      <c r="V379" s="6"/>
    </row>
    <row r="380" spans="17:22" x14ac:dyDescent="0.3">
      <c r="Q380" s="13">
        <v>370</v>
      </c>
      <c r="R380" s="6"/>
      <c r="S380" s="6"/>
      <c r="T380" s="6"/>
      <c r="U380" s="6"/>
      <c r="V380" s="6"/>
    </row>
    <row r="381" spans="17:22" x14ac:dyDescent="0.3">
      <c r="Q381" s="13">
        <v>371</v>
      </c>
      <c r="R381" s="6"/>
      <c r="S381" s="6"/>
      <c r="T381" s="6"/>
      <c r="U381" s="6"/>
      <c r="V381" s="6"/>
    </row>
    <row r="382" spans="17:22" x14ac:dyDescent="0.3">
      <c r="Q382" s="13">
        <v>372</v>
      </c>
      <c r="R382" s="6"/>
      <c r="S382" s="6"/>
      <c r="T382" s="6"/>
      <c r="U382" s="6"/>
      <c r="V382" s="6"/>
    </row>
    <row r="383" spans="17:22" x14ac:dyDescent="0.3">
      <c r="Q383" s="13">
        <v>373</v>
      </c>
      <c r="R383" s="6"/>
      <c r="S383" s="6"/>
      <c r="T383" s="6"/>
      <c r="U383" s="6"/>
      <c r="V383" s="6"/>
    </row>
    <row r="384" spans="17:22" x14ac:dyDescent="0.3">
      <c r="Q384" s="13">
        <v>374</v>
      </c>
      <c r="R384" s="6"/>
      <c r="S384" s="6"/>
      <c r="T384" s="6"/>
      <c r="U384" s="6"/>
      <c r="V384" s="6"/>
    </row>
    <row r="385" spans="17:22" x14ac:dyDescent="0.3">
      <c r="Q385" s="13">
        <v>375</v>
      </c>
      <c r="R385" s="6"/>
      <c r="S385" s="6"/>
      <c r="T385" s="6"/>
      <c r="U385" s="6"/>
      <c r="V385" s="6"/>
    </row>
    <row r="386" spans="17:22" x14ac:dyDescent="0.3">
      <c r="Q386" s="13">
        <v>376</v>
      </c>
      <c r="R386" s="6"/>
      <c r="S386" s="6"/>
      <c r="T386" s="6"/>
      <c r="U386" s="6"/>
      <c r="V386" s="6"/>
    </row>
    <row r="387" spans="17:22" x14ac:dyDescent="0.3">
      <c r="Q387" s="13">
        <v>377</v>
      </c>
      <c r="R387" s="6"/>
      <c r="S387" s="6"/>
      <c r="T387" s="6"/>
      <c r="U387" s="6"/>
      <c r="V387" s="6"/>
    </row>
    <row r="388" spans="17:22" x14ac:dyDescent="0.3">
      <c r="Q388" s="13">
        <v>378</v>
      </c>
      <c r="R388" s="6"/>
      <c r="S388" s="6"/>
      <c r="T388" s="6"/>
      <c r="U388" s="6"/>
      <c r="V388" s="6"/>
    </row>
    <row r="389" spans="17:22" x14ac:dyDescent="0.3">
      <c r="Q389" s="13">
        <v>379</v>
      </c>
      <c r="R389" s="6"/>
      <c r="S389" s="6"/>
      <c r="T389" s="6"/>
      <c r="U389" s="6"/>
      <c r="V389" s="6"/>
    </row>
    <row r="390" spans="17:22" x14ac:dyDescent="0.3">
      <c r="Q390" s="13">
        <v>380</v>
      </c>
      <c r="R390" s="6"/>
      <c r="S390" s="6"/>
      <c r="T390" s="6"/>
      <c r="U390" s="6"/>
      <c r="V390" s="6"/>
    </row>
    <row r="391" spans="17:22" x14ac:dyDescent="0.3">
      <c r="Q391" s="13">
        <v>381</v>
      </c>
      <c r="R391" s="6"/>
      <c r="S391" s="6"/>
      <c r="T391" s="6"/>
      <c r="U391" s="6"/>
      <c r="V391" s="6"/>
    </row>
    <row r="392" spans="17:22" x14ac:dyDescent="0.3">
      <c r="Q392" s="13">
        <v>382</v>
      </c>
      <c r="R392" s="6"/>
      <c r="S392" s="6"/>
      <c r="T392" s="6"/>
      <c r="U392" s="6"/>
      <c r="V392" s="6"/>
    </row>
    <row r="393" spans="17:22" x14ac:dyDescent="0.3">
      <c r="Q393" s="13">
        <v>383</v>
      </c>
      <c r="R393" s="6"/>
      <c r="S393" s="6"/>
      <c r="T393" s="6"/>
      <c r="U393" s="6"/>
      <c r="V393" s="6"/>
    </row>
    <row r="394" spans="17:22" x14ac:dyDescent="0.3">
      <c r="Q394" s="13">
        <v>384</v>
      </c>
      <c r="R394" s="6"/>
      <c r="S394" s="6"/>
      <c r="T394" s="6"/>
      <c r="U394" s="6"/>
      <c r="V394" s="6"/>
    </row>
    <row r="395" spans="17:22" x14ac:dyDescent="0.3">
      <c r="Q395" s="13">
        <v>385</v>
      </c>
      <c r="R395" s="6"/>
      <c r="S395" s="6"/>
      <c r="T395" s="6"/>
      <c r="U395" s="6"/>
      <c r="V395" s="6"/>
    </row>
    <row r="396" spans="17:22" x14ac:dyDescent="0.3">
      <c r="Q396" s="13">
        <v>386</v>
      </c>
      <c r="R396" s="6"/>
      <c r="S396" s="6"/>
      <c r="T396" s="6"/>
      <c r="U396" s="6"/>
      <c r="V396" s="6"/>
    </row>
    <row r="397" spans="17:22" x14ac:dyDescent="0.3">
      <c r="Q397" s="13">
        <v>387</v>
      </c>
      <c r="R397" s="6"/>
      <c r="S397" s="6"/>
      <c r="T397" s="6"/>
      <c r="U397" s="6"/>
      <c r="V397" s="6"/>
    </row>
    <row r="398" spans="17:22" x14ac:dyDescent="0.3">
      <c r="Q398" s="13">
        <v>388</v>
      </c>
      <c r="R398" s="6"/>
      <c r="S398" s="6"/>
      <c r="T398" s="6"/>
      <c r="U398" s="6"/>
      <c r="V398" s="6"/>
    </row>
    <row r="399" spans="17:22" x14ac:dyDescent="0.3">
      <c r="Q399" s="13">
        <v>389</v>
      </c>
      <c r="R399" s="6"/>
      <c r="S399" s="6"/>
      <c r="T399" s="6"/>
      <c r="U399" s="6"/>
      <c r="V399" s="6"/>
    </row>
    <row r="400" spans="17:22" x14ac:dyDescent="0.3">
      <c r="Q400" s="13">
        <v>390</v>
      </c>
      <c r="R400" s="6"/>
      <c r="S400" s="6"/>
      <c r="T400" s="6"/>
      <c r="U400" s="6"/>
      <c r="V400" s="6"/>
    </row>
    <row r="401" spans="17:22" x14ac:dyDescent="0.3">
      <c r="Q401" s="13">
        <v>391</v>
      </c>
      <c r="R401" s="6"/>
      <c r="S401" s="6"/>
      <c r="T401" s="6"/>
      <c r="U401" s="6"/>
      <c r="V401" s="6"/>
    </row>
    <row r="402" spans="17:22" x14ac:dyDescent="0.3">
      <c r="Q402" s="13">
        <v>392</v>
      </c>
      <c r="R402" s="6"/>
      <c r="S402" s="6"/>
      <c r="T402" s="6"/>
      <c r="U402" s="6"/>
      <c r="V402" s="6"/>
    </row>
    <row r="403" spans="17:22" x14ac:dyDescent="0.3">
      <c r="Q403" s="13">
        <v>393</v>
      </c>
      <c r="R403" s="6"/>
      <c r="S403" s="6"/>
      <c r="T403" s="6"/>
      <c r="U403" s="6"/>
      <c r="V403" s="6"/>
    </row>
    <row r="404" spans="17:22" x14ac:dyDescent="0.3">
      <c r="Q404" s="13">
        <v>394</v>
      </c>
      <c r="R404" s="6"/>
      <c r="S404" s="6"/>
      <c r="T404" s="6"/>
      <c r="U404" s="6"/>
      <c r="V404" s="6"/>
    </row>
    <row r="405" spans="17:22" x14ac:dyDescent="0.3">
      <c r="Q405" s="13">
        <v>395</v>
      </c>
      <c r="R405" s="6"/>
      <c r="S405" s="6"/>
      <c r="T405" s="6"/>
      <c r="U405" s="6"/>
      <c r="V405" s="6"/>
    </row>
    <row r="406" spans="17:22" x14ac:dyDescent="0.3">
      <c r="Q406" s="13">
        <v>396</v>
      </c>
      <c r="R406" s="6"/>
      <c r="S406" s="6"/>
      <c r="T406" s="6"/>
      <c r="U406" s="6"/>
      <c r="V406" s="6"/>
    </row>
    <row r="407" spans="17:22" x14ac:dyDescent="0.3">
      <c r="Q407" s="13">
        <v>397</v>
      </c>
      <c r="R407" s="6"/>
      <c r="S407" s="6"/>
      <c r="T407" s="6"/>
      <c r="U407" s="6"/>
      <c r="V407" s="6"/>
    </row>
    <row r="408" spans="17:22" x14ac:dyDescent="0.3">
      <c r="Q408" s="13">
        <v>398</v>
      </c>
      <c r="R408" s="6"/>
      <c r="S408" s="6"/>
      <c r="T408" s="6"/>
      <c r="U408" s="6"/>
      <c r="V408" s="6"/>
    </row>
    <row r="409" spans="17:22" x14ac:dyDescent="0.3">
      <c r="Q409" s="13">
        <v>399</v>
      </c>
      <c r="R409" s="6"/>
      <c r="S409" s="6"/>
      <c r="T409" s="6"/>
      <c r="U409" s="6"/>
      <c r="V409" s="6"/>
    </row>
    <row r="410" spans="17:22" x14ac:dyDescent="0.3">
      <c r="Q410" s="13">
        <v>400</v>
      </c>
      <c r="R410" s="6"/>
      <c r="S410" s="6"/>
      <c r="T410" s="6"/>
      <c r="U410" s="6"/>
      <c r="V410" s="6"/>
    </row>
    <row r="411" spans="17:22" x14ac:dyDescent="0.3">
      <c r="Q411" s="13">
        <v>401</v>
      </c>
      <c r="R411" s="6"/>
      <c r="S411" s="6"/>
      <c r="T411" s="6"/>
      <c r="U411" s="6"/>
      <c r="V411" s="6"/>
    </row>
    <row r="412" spans="17:22" x14ac:dyDescent="0.3">
      <c r="Q412" s="13">
        <v>402</v>
      </c>
      <c r="R412" s="6"/>
      <c r="S412" s="6"/>
      <c r="T412" s="6"/>
      <c r="U412" s="6"/>
      <c r="V412" s="6"/>
    </row>
    <row r="413" spans="17:22" x14ac:dyDescent="0.3">
      <c r="Q413" s="13">
        <v>403</v>
      </c>
      <c r="R413" s="6"/>
      <c r="S413" s="6"/>
      <c r="T413" s="6"/>
      <c r="U413" s="6"/>
      <c r="V413" s="6"/>
    </row>
    <row r="414" spans="17:22" x14ac:dyDescent="0.3">
      <c r="Q414" s="13">
        <v>404</v>
      </c>
      <c r="R414" s="6"/>
      <c r="S414" s="6"/>
      <c r="T414" s="6"/>
      <c r="U414" s="6"/>
      <c r="V414" s="6"/>
    </row>
    <row r="415" spans="17:22" x14ac:dyDescent="0.3">
      <c r="Q415" s="13">
        <v>405</v>
      </c>
      <c r="R415" s="6"/>
      <c r="S415" s="6"/>
      <c r="T415" s="6"/>
      <c r="U415" s="6"/>
      <c r="V415" s="6"/>
    </row>
    <row r="416" spans="17:22" x14ac:dyDescent="0.3">
      <c r="Q416" s="13">
        <v>406</v>
      </c>
      <c r="R416" s="6"/>
      <c r="S416" s="6"/>
      <c r="T416" s="6"/>
      <c r="U416" s="6"/>
      <c r="V416" s="6"/>
    </row>
    <row r="417" spans="17:22" x14ac:dyDescent="0.3">
      <c r="Q417" s="13">
        <v>407</v>
      </c>
      <c r="R417" s="6"/>
      <c r="S417" s="6"/>
      <c r="T417" s="6"/>
      <c r="U417" s="6"/>
      <c r="V417" s="6"/>
    </row>
    <row r="418" spans="17:22" x14ac:dyDescent="0.3">
      <c r="Q418" s="13">
        <v>408</v>
      </c>
      <c r="R418" s="6"/>
      <c r="S418" s="6"/>
      <c r="T418" s="6"/>
      <c r="U418" s="6"/>
      <c r="V418" s="6"/>
    </row>
    <row r="419" spans="17:22" x14ac:dyDescent="0.3">
      <c r="Q419" s="13">
        <v>409</v>
      </c>
      <c r="R419" s="6"/>
      <c r="S419" s="6"/>
      <c r="T419" s="6"/>
      <c r="U419" s="6"/>
      <c r="V419" s="6"/>
    </row>
    <row r="420" spans="17:22" x14ac:dyDescent="0.3">
      <c r="Q420" s="13">
        <v>410</v>
      </c>
      <c r="R420" s="6"/>
      <c r="S420" s="6"/>
      <c r="T420" s="6"/>
      <c r="U420" s="6"/>
      <c r="V420" s="6"/>
    </row>
    <row r="421" spans="17:22" x14ac:dyDescent="0.3">
      <c r="Q421" s="13">
        <v>411</v>
      </c>
      <c r="R421" s="6"/>
      <c r="S421" s="6"/>
      <c r="T421" s="6"/>
      <c r="U421" s="6"/>
      <c r="V421" s="6"/>
    </row>
    <row r="422" spans="17:22" x14ac:dyDescent="0.3">
      <c r="Q422" s="13">
        <v>412</v>
      </c>
      <c r="R422" s="6"/>
      <c r="S422" s="6"/>
      <c r="T422" s="6"/>
      <c r="U422" s="6"/>
      <c r="V422" s="6"/>
    </row>
    <row r="423" spans="17:22" x14ac:dyDescent="0.3">
      <c r="Q423" s="13">
        <v>413</v>
      </c>
      <c r="R423" s="6"/>
      <c r="S423" s="6"/>
      <c r="T423" s="6"/>
      <c r="U423" s="6"/>
      <c r="V423" s="6"/>
    </row>
    <row r="424" spans="17:22" x14ac:dyDescent="0.3">
      <c r="Q424" s="13">
        <v>414</v>
      </c>
      <c r="R424" s="6"/>
      <c r="S424" s="6"/>
      <c r="T424" s="6"/>
      <c r="U424" s="6"/>
      <c r="V424" s="6"/>
    </row>
    <row r="425" spans="17:22" x14ac:dyDescent="0.3">
      <c r="Q425" s="13">
        <v>415</v>
      </c>
      <c r="R425" s="6"/>
      <c r="S425" s="6"/>
      <c r="T425" s="6"/>
      <c r="U425" s="6"/>
      <c r="V425" s="6"/>
    </row>
    <row r="426" spans="17:22" x14ac:dyDescent="0.3">
      <c r="Q426" s="13">
        <v>416</v>
      </c>
      <c r="R426" s="6"/>
      <c r="S426" s="6"/>
      <c r="T426" s="6"/>
      <c r="U426" s="6"/>
      <c r="V426" s="6"/>
    </row>
    <row r="427" spans="17:22" x14ac:dyDescent="0.3">
      <c r="Q427" s="13">
        <v>417</v>
      </c>
      <c r="R427" s="6"/>
      <c r="S427" s="6"/>
      <c r="T427" s="6"/>
      <c r="U427" s="6"/>
      <c r="V427" s="6"/>
    </row>
    <row r="428" spans="17:22" x14ac:dyDescent="0.3">
      <c r="Q428" s="13">
        <v>418</v>
      </c>
      <c r="R428" s="6"/>
      <c r="S428" s="6"/>
      <c r="T428" s="6"/>
      <c r="U428" s="6"/>
      <c r="V428" s="6"/>
    </row>
    <row r="429" spans="17:22" x14ac:dyDescent="0.3">
      <c r="Q429" s="13">
        <v>419</v>
      </c>
      <c r="R429" s="6"/>
      <c r="S429" s="6"/>
      <c r="T429" s="6"/>
      <c r="U429" s="6"/>
      <c r="V429" s="6"/>
    </row>
    <row r="430" spans="17:22" x14ac:dyDescent="0.3">
      <c r="Q430" s="13">
        <v>420</v>
      </c>
      <c r="R430" s="6"/>
      <c r="S430" s="6"/>
      <c r="T430" s="6"/>
      <c r="U430" s="6"/>
      <c r="V430" s="6"/>
    </row>
    <row r="431" spans="17:22" x14ac:dyDescent="0.3">
      <c r="Q431" s="13">
        <v>421</v>
      </c>
      <c r="R431" s="6"/>
      <c r="S431" s="6"/>
      <c r="T431" s="6"/>
      <c r="U431" s="6"/>
      <c r="V431" s="6"/>
    </row>
    <row r="432" spans="17:22" x14ac:dyDescent="0.3">
      <c r="Q432" s="13">
        <v>422</v>
      </c>
      <c r="R432" s="6"/>
      <c r="S432" s="6"/>
      <c r="T432" s="6"/>
      <c r="U432" s="6"/>
      <c r="V432" s="6"/>
    </row>
    <row r="433" spans="17:22" x14ac:dyDescent="0.3">
      <c r="Q433" s="13">
        <v>423</v>
      </c>
      <c r="R433" s="6"/>
      <c r="S433" s="6"/>
      <c r="T433" s="6"/>
      <c r="U433" s="6"/>
      <c r="V433" s="6"/>
    </row>
    <row r="434" spans="17:22" x14ac:dyDescent="0.3">
      <c r="Q434" s="13">
        <v>424</v>
      </c>
      <c r="R434" s="6"/>
      <c r="S434" s="6"/>
      <c r="T434" s="6"/>
      <c r="U434" s="6"/>
      <c r="V434" s="6"/>
    </row>
    <row r="435" spans="17:22" x14ac:dyDescent="0.3">
      <c r="Q435" s="13">
        <v>425</v>
      </c>
      <c r="R435" s="6"/>
      <c r="S435" s="6"/>
      <c r="T435" s="6"/>
      <c r="U435" s="6"/>
      <c r="V435" s="6"/>
    </row>
    <row r="436" spans="17:22" x14ac:dyDescent="0.3">
      <c r="Q436" s="13">
        <v>426</v>
      </c>
      <c r="R436" s="6"/>
      <c r="S436" s="6"/>
      <c r="T436" s="6"/>
      <c r="U436" s="6"/>
      <c r="V436" s="6"/>
    </row>
    <row r="437" spans="17:22" x14ac:dyDescent="0.3">
      <c r="Q437" s="13">
        <v>427</v>
      </c>
      <c r="R437" s="6"/>
      <c r="S437" s="6"/>
      <c r="T437" s="6"/>
      <c r="U437" s="6"/>
      <c r="V437" s="6"/>
    </row>
    <row r="438" spans="17:22" x14ac:dyDescent="0.3">
      <c r="Q438" s="13">
        <v>428</v>
      </c>
      <c r="R438" s="6"/>
      <c r="S438" s="6"/>
      <c r="T438" s="6"/>
      <c r="U438" s="6"/>
      <c r="V438" s="6"/>
    </row>
    <row r="439" spans="17:22" x14ac:dyDescent="0.3">
      <c r="Q439" s="13">
        <v>429</v>
      </c>
      <c r="R439" s="6"/>
      <c r="S439" s="6"/>
      <c r="T439" s="6"/>
      <c r="U439" s="6"/>
      <c r="V439" s="6"/>
    </row>
    <row r="440" spans="17:22" x14ac:dyDescent="0.3">
      <c r="Q440" s="13">
        <v>430</v>
      </c>
      <c r="R440" s="6"/>
      <c r="S440" s="6"/>
      <c r="T440" s="6"/>
      <c r="U440" s="6"/>
      <c r="V440" s="6"/>
    </row>
    <row r="441" spans="17:22" x14ac:dyDescent="0.3">
      <c r="Q441" s="13">
        <v>431</v>
      </c>
      <c r="R441" s="6"/>
      <c r="S441" s="6"/>
      <c r="T441" s="6"/>
      <c r="U441" s="6"/>
      <c r="V441" s="6"/>
    </row>
    <row r="442" spans="17:22" x14ac:dyDescent="0.3">
      <c r="Q442" s="13">
        <v>432</v>
      </c>
      <c r="R442" s="6"/>
      <c r="S442" s="6"/>
      <c r="T442" s="6"/>
      <c r="U442" s="6"/>
      <c r="V442" s="6"/>
    </row>
    <row r="443" spans="17:22" x14ac:dyDescent="0.3">
      <c r="Q443" s="13">
        <v>433</v>
      </c>
      <c r="R443" s="6"/>
      <c r="S443" s="6"/>
      <c r="T443" s="6"/>
      <c r="U443" s="6"/>
      <c r="V443" s="6"/>
    </row>
    <row r="444" spans="17:22" x14ac:dyDescent="0.3">
      <c r="Q444" s="13">
        <v>434</v>
      </c>
      <c r="R444" s="6"/>
      <c r="S444" s="6"/>
      <c r="T444" s="6"/>
      <c r="U444" s="6"/>
      <c r="V444" s="6"/>
    </row>
    <row r="445" spans="17:22" x14ac:dyDescent="0.3">
      <c r="Q445" s="13">
        <v>435</v>
      </c>
      <c r="R445" s="6"/>
      <c r="S445" s="6"/>
      <c r="T445" s="6"/>
      <c r="U445" s="6"/>
      <c r="V445" s="6"/>
    </row>
    <row r="446" spans="17:22" x14ac:dyDescent="0.3">
      <c r="Q446" s="13">
        <v>436</v>
      </c>
      <c r="R446" s="6"/>
      <c r="S446" s="6"/>
      <c r="T446" s="6"/>
      <c r="U446" s="6"/>
      <c r="V446" s="6"/>
    </row>
    <row r="447" spans="17:22" x14ac:dyDescent="0.3">
      <c r="Q447" s="13">
        <v>437</v>
      </c>
      <c r="R447" s="6"/>
      <c r="S447" s="6"/>
      <c r="T447" s="6"/>
      <c r="U447" s="6"/>
      <c r="V447" s="6"/>
    </row>
    <row r="448" spans="17:22" x14ac:dyDescent="0.3">
      <c r="Q448" s="13">
        <v>438</v>
      </c>
      <c r="R448" s="6"/>
      <c r="S448" s="6"/>
      <c r="T448" s="6"/>
      <c r="U448" s="6"/>
      <c r="V448" s="6"/>
    </row>
    <row r="449" spans="17:22" x14ac:dyDescent="0.3">
      <c r="Q449" s="13">
        <v>439</v>
      </c>
      <c r="R449" s="6"/>
      <c r="S449" s="6"/>
      <c r="T449" s="6"/>
      <c r="U449" s="6"/>
      <c r="V449" s="6"/>
    </row>
    <row r="450" spans="17:22" x14ac:dyDescent="0.3">
      <c r="Q450" s="13">
        <v>440</v>
      </c>
      <c r="R450" s="6"/>
      <c r="S450" s="6"/>
      <c r="T450" s="6"/>
      <c r="U450" s="6"/>
      <c r="V450" s="6"/>
    </row>
    <row r="451" spans="17:22" x14ac:dyDescent="0.3">
      <c r="Q451" s="13">
        <v>441</v>
      </c>
      <c r="R451" s="6"/>
      <c r="S451" s="6"/>
      <c r="T451" s="6"/>
      <c r="U451" s="6"/>
      <c r="V451" s="6"/>
    </row>
    <row r="452" spans="17:22" x14ac:dyDescent="0.3">
      <c r="Q452" s="13">
        <v>442</v>
      </c>
      <c r="R452" s="6"/>
      <c r="S452" s="6"/>
      <c r="T452" s="6"/>
      <c r="U452" s="6"/>
      <c r="V452" s="6"/>
    </row>
    <row r="453" spans="17:22" x14ac:dyDescent="0.3">
      <c r="Q453" s="13">
        <v>443</v>
      </c>
      <c r="R453" s="6"/>
      <c r="S453" s="6"/>
      <c r="T453" s="6"/>
      <c r="U453" s="6"/>
      <c r="V453" s="6"/>
    </row>
    <row r="454" spans="17:22" x14ac:dyDescent="0.3">
      <c r="Q454" s="13">
        <v>444</v>
      </c>
      <c r="R454" s="6"/>
      <c r="S454" s="6"/>
      <c r="T454" s="6"/>
      <c r="U454" s="6"/>
      <c r="V454" s="6"/>
    </row>
    <row r="455" spans="17:22" x14ac:dyDescent="0.3">
      <c r="Q455" s="13">
        <v>445</v>
      </c>
      <c r="R455" s="6"/>
      <c r="S455" s="6"/>
      <c r="T455" s="6"/>
      <c r="U455" s="6"/>
      <c r="V455" s="6"/>
    </row>
    <row r="456" spans="17:22" x14ac:dyDescent="0.3">
      <c r="Q456" s="13">
        <v>446</v>
      </c>
      <c r="R456" s="6"/>
      <c r="S456" s="6"/>
      <c r="T456" s="6"/>
      <c r="U456" s="6"/>
      <c r="V456" s="6"/>
    </row>
    <row r="457" spans="17:22" x14ac:dyDescent="0.3">
      <c r="Q457" s="13">
        <v>447</v>
      </c>
      <c r="R457" s="6"/>
      <c r="S457" s="6"/>
      <c r="T457" s="6"/>
      <c r="U457" s="6"/>
      <c r="V457" s="6"/>
    </row>
    <row r="458" spans="17:22" x14ac:dyDescent="0.3">
      <c r="Q458" s="13">
        <v>448</v>
      </c>
      <c r="R458" s="6"/>
      <c r="S458" s="6"/>
      <c r="T458" s="6"/>
      <c r="U458" s="6"/>
      <c r="V458" s="6"/>
    </row>
    <row r="459" spans="17:22" x14ac:dyDescent="0.3">
      <c r="Q459" s="13">
        <v>449</v>
      </c>
      <c r="R459" s="6"/>
      <c r="S459" s="6"/>
      <c r="T459" s="6"/>
      <c r="U459" s="6"/>
      <c r="V459" s="6"/>
    </row>
    <row r="460" spans="17:22" x14ac:dyDescent="0.3">
      <c r="Q460" s="13">
        <v>450</v>
      </c>
      <c r="R460" s="6"/>
      <c r="S460" s="6"/>
      <c r="T460" s="6"/>
      <c r="U460" s="6"/>
      <c r="V460" s="6"/>
    </row>
    <row r="461" spans="17:22" x14ac:dyDescent="0.3">
      <c r="Q461" s="13">
        <v>451</v>
      </c>
      <c r="R461" s="6"/>
      <c r="S461" s="6"/>
      <c r="T461" s="6"/>
      <c r="U461" s="6"/>
      <c r="V461" s="6"/>
    </row>
    <row r="462" spans="17:22" x14ac:dyDescent="0.3">
      <c r="Q462" s="13">
        <v>452</v>
      </c>
      <c r="R462" s="6"/>
      <c r="S462" s="6"/>
      <c r="T462" s="6"/>
      <c r="U462" s="6"/>
      <c r="V462" s="6"/>
    </row>
    <row r="463" spans="17:22" x14ac:dyDescent="0.3">
      <c r="Q463" s="13">
        <v>453</v>
      </c>
      <c r="R463" s="6"/>
      <c r="S463" s="6"/>
      <c r="T463" s="6"/>
      <c r="U463" s="6"/>
      <c r="V463" s="6"/>
    </row>
    <row r="464" spans="17:22" x14ac:dyDescent="0.3">
      <c r="Q464" s="13">
        <v>454</v>
      </c>
      <c r="R464" s="6"/>
      <c r="S464" s="6"/>
      <c r="T464" s="6"/>
      <c r="U464" s="6"/>
      <c r="V464" s="6"/>
    </row>
    <row r="465" spans="17:22" x14ac:dyDescent="0.3">
      <c r="Q465" s="13">
        <v>455</v>
      </c>
      <c r="R465" s="6"/>
      <c r="S465" s="6"/>
      <c r="T465" s="6"/>
      <c r="U465" s="6"/>
      <c r="V465" s="6"/>
    </row>
    <row r="466" spans="17:22" x14ac:dyDescent="0.3">
      <c r="Q466" s="13">
        <v>456</v>
      </c>
      <c r="R466" s="6"/>
      <c r="S466" s="6"/>
      <c r="T466" s="6"/>
      <c r="U466" s="6"/>
      <c r="V466" s="6"/>
    </row>
    <row r="467" spans="17:22" x14ac:dyDescent="0.3">
      <c r="Q467" s="13">
        <v>457</v>
      </c>
      <c r="R467" s="6"/>
      <c r="S467" s="6"/>
      <c r="T467" s="6"/>
      <c r="U467" s="6"/>
      <c r="V467" s="6"/>
    </row>
    <row r="468" spans="17:22" x14ac:dyDescent="0.3">
      <c r="Q468" s="13">
        <v>458</v>
      </c>
      <c r="R468" s="6"/>
      <c r="S468" s="6"/>
      <c r="T468" s="6"/>
      <c r="U468" s="6"/>
      <c r="V468" s="6"/>
    </row>
    <row r="469" spans="17:22" x14ac:dyDescent="0.3">
      <c r="Q469" s="13">
        <v>459</v>
      </c>
      <c r="R469" s="6"/>
      <c r="S469" s="6"/>
      <c r="T469" s="6"/>
      <c r="U469" s="6"/>
      <c r="V469" s="6"/>
    </row>
    <row r="470" spans="17:22" x14ac:dyDescent="0.3">
      <c r="Q470" s="13">
        <v>460</v>
      </c>
      <c r="R470" s="6"/>
      <c r="S470" s="6"/>
      <c r="T470" s="6"/>
      <c r="U470" s="6"/>
      <c r="V470" s="6"/>
    </row>
    <row r="471" spans="17:22" x14ac:dyDescent="0.3">
      <c r="Q471" s="13">
        <v>461</v>
      </c>
      <c r="R471" s="6"/>
      <c r="S471" s="6"/>
      <c r="T471" s="6"/>
      <c r="U471" s="6"/>
      <c r="V471" s="6"/>
    </row>
    <row r="472" spans="17:22" x14ac:dyDescent="0.3">
      <c r="Q472" s="13">
        <v>462</v>
      </c>
      <c r="R472" s="6"/>
      <c r="S472" s="6"/>
      <c r="T472" s="6"/>
      <c r="U472" s="6"/>
      <c r="V472" s="6"/>
    </row>
    <row r="473" spans="17:22" x14ac:dyDescent="0.3">
      <c r="Q473" s="13">
        <v>463</v>
      </c>
      <c r="R473" s="6"/>
      <c r="S473" s="6"/>
      <c r="T473" s="6"/>
      <c r="U473" s="6"/>
      <c r="V473" s="6"/>
    </row>
    <row r="474" spans="17:22" x14ac:dyDescent="0.3">
      <c r="Q474" s="13">
        <v>464</v>
      </c>
      <c r="R474" s="6"/>
      <c r="S474" s="6"/>
      <c r="T474" s="6"/>
      <c r="U474" s="6"/>
      <c r="V474" s="6"/>
    </row>
    <row r="475" spans="17:22" x14ac:dyDescent="0.3">
      <c r="Q475" s="13">
        <v>465</v>
      </c>
      <c r="R475" s="6"/>
      <c r="S475" s="6"/>
      <c r="T475" s="6"/>
      <c r="U475" s="6"/>
      <c r="V475" s="6"/>
    </row>
    <row r="476" spans="17:22" x14ac:dyDescent="0.3">
      <c r="Q476" s="13">
        <v>466</v>
      </c>
      <c r="R476" s="6"/>
      <c r="S476" s="6"/>
      <c r="T476" s="6"/>
      <c r="U476" s="6"/>
      <c r="V476" s="6"/>
    </row>
    <row r="477" spans="17:22" x14ac:dyDescent="0.3">
      <c r="Q477" s="13">
        <v>467</v>
      </c>
      <c r="R477" s="6"/>
      <c r="S477" s="6"/>
      <c r="T477" s="6"/>
      <c r="U477" s="6"/>
      <c r="V477" s="6"/>
    </row>
    <row r="478" spans="17:22" x14ac:dyDescent="0.3">
      <c r="Q478" s="13">
        <v>468</v>
      </c>
      <c r="R478" s="6"/>
      <c r="S478" s="6"/>
      <c r="T478" s="6"/>
      <c r="U478" s="6"/>
      <c r="V478" s="6"/>
    </row>
    <row r="479" spans="17:22" x14ac:dyDescent="0.3">
      <c r="Q479" s="13">
        <v>469</v>
      </c>
      <c r="R479" s="6"/>
      <c r="S479" s="6"/>
      <c r="T479" s="6"/>
      <c r="U479" s="6"/>
      <c r="V479" s="6"/>
    </row>
    <row r="480" spans="17:22" x14ac:dyDescent="0.3">
      <c r="Q480" s="13">
        <v>470</v>
      </c>
      <c r="R480" s="6"/>
      <c r="S480" s="6"/>
      <c r="T480" s="6"/>
      <c r="U480" s="6"/>
      <c r="V480" s="6"/>
    </row>
    <row r="481" spans="17:22" x14ac:dyDescent="0.3">
      <c r="Q481" s="13">
        <v>471</v>
      </c>
      <c r="R481" s="6"/>
      <c r="S481" s="6"/>
      <c r="T481" s="6"/>
      <c r="U481" s="6"/>
      <c r="V481" s="6"/>
    </row>
    <row r="482" spans="17:22" x14ac:dyDescent="0.3">
      <c r="Q482" s="13">
        <v>472</v>
      </c>
      <c r="R482" s="6"/>
      <c r="S482" s="6"/>
      <c r="T482" s="6"/>
      <c r="U482" s="6"/>
      <c r="V482" s="6"/>
    </row>
    <row r="483" spans="17:22" x14ac:dyDescent="0.3">
      <c r="Q483" s="13">
        <v>473</v>
      </c>
      <c r="R483" s="6"/>
      <c r="S483" s="6"/>
      <c r="T483" s="6"/>
      <c r="U483" s="6"/>
      <c r="V483" s="6"/>
    </row>
    <row r="484" spans="17:22" x14ac:dyDescent="0.3">
      <c r="Q484" s="13">
        <v>474</v>
      </c>
      <c r="R484" s="6"/>
      <c r="S484" s="6"/>
      <c r="T484" s="6"/>
      <c r="U484" s="6"/>
      <c r="V484" s="6"/>
    </row>
    <row r="485" spans="17:22" x14ac:dyDescent="0.3">
      <c r="Q485" s="13">
        <v>475</v>
      </c>
      <c r="R485" s="6"/>
      <c r="S485" s="6"/>
      <c r="T485" s="6"/>
      <c r="U485" s="6"/>
      <c r="V485" s="6"/>
    </row>
    <row r="486" spans="17:22" x14ac:dyDescent="0.3">
      <c r="Q486" s="13">
        <v>476</v>
      </c>
      <c r="R486" s="6"/>
      <c r="S486" s="6"/>
      <c r="T486" s="6"/>
      <c r="U486" s="6"/>
      <c r="V486" s="6"/>
    </row>
    <row r="487" spans="17:22" x14ac:dyDescent="0.3">
      <c r="Q487" s="13">
        <v>477</v>
      </c>
      <c r="R487" s="6"/>
      <c r="S487" s="6"/>
      <c r="T487" s="6"/>
      <c r="U487" s="6"/>
      <c r="V487" s="6"/>
    </row>
    <row r="488" spans="17:22" x14ac:dyDescent="0.3">
      <c r="Q488" s="13">
        <v>478</v>
      </c>
      <c r="R488" s="6"/>
      <c r="S488" s="6"/>
      <c r="T488" s="6"/>
      <c r="U488" s="6"/>
      <c r="V488" s="6"/>
    </row>
    <row r="489" spans="17:22" x14ac:dyDescent="0.3">
      <c r="Q489" s="13">
        <v>479</v>
      </c>
      <c r="R489" s="6"/>
      <c r="S489" s="6"/>
      <c r="T489" s="6"/>
      <c r="U489" s="6"/>
      <c r="V489" s="6"/>
    </row>
    <row r="490" spans="17:22" x14ac:dyDescent="0.3">
      <c r="Q490" s="13">
        <v>480</v>
      </c>
      <c r="R490" s="6"/>
      <c r="S490" s="6"/>
      <c r="T490" s="6"/>
      <c r="U490" s="6"/>
      <c r="V490" s="6"/>
    </row>
    <row r="491" spans="17:22" x14ac:dyDescent="0.3">
      <c r="Q491" s="13">
        <v>481</v>
      </c>
      <c r="R491" s="6"/>
      <c r="S491" s="6"/>
      <c r="T491" s="6"/>
      <c r="U491" s="6"/>
      <c r="V491" s="6"/>
    </row>
    <row r="492" spans="17:22" x14ac:dyDescent="0.3">
      <c r="Q492" s="13">
        <v>482</v>
      </c>
      <c r="R492" s="6"/>
      <c r="S492" s="6"/>
      <c r="T492" s="6"/>
      <c r="U492" s="6"/>
      <c r="V492" s="6"/>
    </row>
    <row r="493" spans="17:22" x14ac:dyDescent="0.3">
      <c r="Q493" s="13">
        <v>483</v>
      </c>
      <c r="R493" s="6"/>
      <c r="S493" s="6"/>
      <c r="T493" s="6"/>
      <c r="U493" s="6"/>
      <c r="V493" s="6"/>
    </row>
    <row r="494" spans="17:22" x14ac:dyDescent="0.3">
      <c r="Q494" s="13">
        <v>484</v>
      </c>
      <c r="R494" s="6"/>
      <c r="S494" s="6"/>
      <c r="T494" s="6"/>
      <c r="U494" s="6"/>
      <c r="V494" s="6"/>
    </row>
    <row r="495" spans="17:22" x14ac:dyDescent="0.3">
      <c r="Q495" s="13">
        <v>485</v>
      </c>
      <c r="R495" s="6"/>
      <c r="S495" s="6"/>
      <c r="T495" s="6"/>
      <c r="U495" s="6"/>
      <c r="V495" s="6"/>
    </row>
    <row r="496" spans="17:22" x14ac:dyDescent="0.3">
      <c r="Q496" s="13">
        <v>486</v>
      </c>
      <c r="R496" s="6"/>
      <c r="S496" s="6"/>
      <c r="T496" s="6"/>
      <c r="U496" s="6"/>
      <c r="V496" s="6"/>
    </row>
    <row r="497" spans="17:22" x14ac:dyDescent="0.3">
      <c r="Q497" s="13">
        <v>487</v>
      </c>
      <c r="R497" s="6"/>
      <c r="S497" s="6"/>
      <c r="T497" s="6"/>
      <c r="U497" s="6"/>
      <c r="V497" s="6"/>
    </row>
    <row r="498" spans="17:22" x14ac:dyDescent="0.3">
      <c r="Q498" s="13">
        <v>488</v>
      </c>
      <c r="R498" s="6"/>
      <c r="S498" s="6"/>
      <c r="T498" s="6"/>
      <c r="U498" s="6"/>
      <c r="V498" s="6"/>
    </row>
    <row r="499" spans="17:22" x14ac:dyDescent="0.3">
      <c r="Q499" s="13">
        <v>489</v>
      </c>
      <c r="R499" s="6"/>
      <c r="S499" s="6"/>
      <c r="T499" s="6"/>
      <c r="U499" s="6"/>
      <c r="V499" s="6"/>
    </row>
    <row r="500" spans="17:22" x14ac:dyDescent="0.3">
      <c r="Q500" s="13">
        <v>490</v>
      </c>
      <c r="R500" s="6"/>
      <c r="S500" s="6"/>
      <c r="T500" s="6"/>
      <c r="U500" s="6"/>
      <c r="V500" s="6"/>
    </row>
    <row r="501" spans="17:22" x14ac:dyDescent="0.3">
      <c r="Q501" s="13">
        <v>491</v>
      </c>
      <c r="R501" s="6"/>
      <c r="S501" s="6"/>
      <c r="T501" s="6"/>
      <c r="U501" s="6"/>
      <c r="V501" s="6"/>
    </row>
    <row r="502" spans="17:22" x14ac:dyDescent="0.3">
      <c r="Q502" s="13">
        <v>492</v>
      </c>
      <c r="R502" s="6"/>
      <c r="S502" s="6"/>
      <c r="T502" s="6"/>
      <c r="U502" s="6"/>
      <c r="V502" s="6"/>
    </row>
    <row r="503" spans="17:22" x14ac:dyDescent="0.3">
      <c r="Q503" s="13">
        <v>493</v>
      </c>
      <c r="R503" s="6"/>
      <c r="S503" s="6"/>
      <c r="T503" s="6"/>
      <c r="U503" s="6"/>
      <c r="V503" s="6"/>
    </row>
    <row r="504" spans="17:22" x14ac:dyDescent="0.3">
      <c r="Q504" s="13">
        <v>494</v>
      </c>
      <c r="R504" s="6"/>
      <c r="S504" s="6"/>
      <c r="T504" s="6"/>
      <c r="U504" s="6"/>
      <c r="V504" s="6"/>
    </row>
    <row r="505" spans="17:22" x14ac:dyDescent="0.3">
      <c r="Q505" s="13">
        <v>495</v>
      </c>
      <c r="R505" s="6"/>
      <c r="S505" s="6"/>
      <c r="T505" s="6"/>
      <c r="U505" s="6"/>
      <c r="V505" s="6"/>
    </row>
    <row r="506" spans="17:22" x14ac:dyDescent="0.3">
      <c r="Q506" s="13">
        <v>496</v>
      </c>
      <c r="R506" s="6"/>
      <c r="S506" s="6"/>
      <c r="T506" s="6"/>
      <c r="U506" s="6"/>
      <c r="V506" s="6"/>
    </row>
    <row r="507" spans="17:22" x14ac:dyDescent="0.3">
      <c r="Q507" s="13">
        <v>497</v>
      </c>
      <c r="R507" s="6"/>
      <c r="S507" s="6"/>
      <c r="T507" s="6"/>
      <c r="U507" s="6"/>
      <c r="V507" s="6"/>
    </row>
    <row r="508" spans="17:22" x14ac:dyDescent="0.3">
      <c r="Q508" s="13">
        <v>498</v>
      </c>
      <c r="R508" s="6"/>
      <c r="S508" s="6"/>
      <c r="T508" s="6"/>
      <c r="U508" s="6"/>
      <c r="V508" s="6"/>
    </row>
    <row r="509" spans="17:22" x14ac:dyDescent="0.3">
      <c r="Q509" s="13">
        <v>499</v>
      </c>
      <c r="R509" s="6"/>
      <c r="S509" s="6"/>
      <c r="T509" s="6"/>
      <c r="U509" s="6"/>
      <c r="V509" s="6"/>
    </row>
    <row r="510" spans="17:22" x14ac:dyDescent="0.3">
      <c r="Q510" s="13">
        <v>500</v>
      </c>
      <c r="R510" s="6"/>
      <c r="S510" s="6"/>
      <c r="T510" s="6"/>
      <c r="U510" s="6"/>
      <c r="V510" s="6"/>
    </row>
    <row r="511" spans="17:22" x14ac:dyDescent="0.3">
      <c r="Q511" s="13">
        <v>501</v>
      </c>
      <c r="R511" s="6"/>
      <c r="S511" s="6"/>
      <c r="T511" s="6"/>
      <c r="U511" s="6"/>
      <c r="V511" s="6"/>
    </row>
    <row r="512" spans="17:22" x14ac:dyDescent="0.3">
      <c r="Q512" s="13">
        <v>502</v>
      </c>
      <c r="R512" s="6"/>
      <c r="S512" s="6"/>
      <c r="T512" s="6"/>
      <c r="U512" s="6"/>
      <c r="V512" s="6"/>
    </row>
    <row r="513" spans="17:22" x14ac:dyDescent="0.3">
      <c r="Q513" s="13">
        <v>503</v>
      </c>
      <c r="R513" s="6"/>
      <c r="S513" s="6"/>
      <c r="T513" s="6"/>
      <c r="U513" s="6"/>
      <c r="V513" s="6"/>
    </row>
    <row r="514" spans="17:22" x14ac:dyDescent="0.3">
      <c r="Q514" s="13">
        <v>504</v>
      </c>
      <c r="R514" s="6"/>
      <c r="S514" s="6"/>
      <c r="T514" s="6"/>
      <c r="U514" s="6"/>
      <c r="V514" s="6"/>
    </row>
    <row r="515" spans="17:22" x14ac:dyDescent="0.3">
      <c r="Q515" s="13">
        <v>505</v>
      </c>
      <c r="R515" s="6"/>
      <c r="S515" s="6"/>
      <c r="T515" s="6"/>
      <c r="U515" s="6"/>
      <c r="V515" s="6"/>
    </row>
    <row r="516" spans="17:22" x14ac:dyDescent="0.3">
      <c r="Q516" s="13">
        <v>506</v>
      </c>
      <c r="R516" s="6"/>
      <c r="S516" s="6"/>
      <c r="T516" s="6"/>
      <c r="U516" s="6"/>
      <c r="V516" s="6"/>
    </row>
    <row r="517" spans="17:22" x14ac:dyDescent="0.3">
      <c r="Q517" s="13">
        <v>507</v>
      </c>
      <c r="R517" s="6"/>
      <c r="S517" s="6"/>
      <c r="T517" s="6"/>
      <c r="U517" s="6"/>
      <c r="V517" s="6"/>
    </row>
    <row r="518" spans="17:22" x14ac:dyDescent="0.3">
      <c r="Q518" s="13">
        <v>508</v>
      </c>
      <c r="R518" s="6"/>
      <c r="S518" s="6"/>
      <c r="T518" s="6"/>
      <c r="U518" s="6"/>
      <c r="V518" s="6"/>
    </row>
    <row r="519" spans="17:22" x14ac:dyDescent="0.3">
      <c r="Q519" s="13">
        <v>509</v>
      </c>
      <c r="R519" s="6"/>
      <c r="S519" s="6"/>
      <c r="T519" s="6"/>
      <c r="U519" s="6"/>
      <c r="V519" s="6"/>
    </row>
    <row r="520" spans="17:22" x14ac:dyDescent="0.3">
      <c r="Q520" s="13">
        <v>510</v>
      </c>
      <c r="R520" s="6"/>
      <c r="S520" s="6"/>
      <c r="T520" s="6"/>
      <c r="U520" s="6"/>
      <c r="V520" s="6"/>
    </row>
    <row r="521" spans="17:22" x14ac:dyDescent="0.3">
      <c r="Q521" s="13">
        <v>511</v>
      </c>
      <c r="R521" s="6"/>
      <c r="S521" s="6"/>
      <c r="T521" s="6"/>
      <c r="U521" s="6"/>
      <c r="V521" s="6"/>
    </row>
    <row r="522" spans="17:22" x14ac:dyDescent="0.3">
      <c r="Q522" s="13">
        <v>512</v>
      </c>
      <c r="R522" s="6"/>
      <c r="S522" s="6"/>
      <c r="T522" s="6"/>
      <c r="U522" s="6"/>
      <c r="V522" s="6"/>
    </row>
    <row r="523" spans="17:22" x14ac:dyDescent="0.3">
      <c r="Q523" s="13">
        <v>513</v>
      </c>
      <c r="R523" s="6"/>
      <c r="S523" s="6"/>
      <c r="T523" s="6"/>
      <c r="U523" s="6"/>
      <c r="V523" s="6"/>
    </row>
    <row r="524" spans="17:22" x14ac:dyDescent="0.3">
      <c r="Q524" s="13">
        <v>514</v>
      </c>
      <c r="R524" s="6"/>
      <c r="S524" s="6"/>
      <c r="T524" s="6"/>
      <c r="U524" s="6"/>
      <c r="V524" s="6"/>
    </row>
    <row r="525" spans="17:22" x14ac:dyDescent="0.3">
      <c r="Q525" s="13">
        <v>515</v>
      </c>
      <c r="R525" s="6"/>
      <c r="S525" s="6"/>
      <c r="T525" s="6"/>
      <c r="U525" s="6"/>
      <c r="V525" s="6"/>
    </row>
    <row r="526" spans="17:22" x14ac:dyDescent="0.3">
      <c r="Q526" s="13">
        <v>516</v>
      </c>
      <c r="R526" s="6"/>
      <c r="S526" s="6"/>
      <c r="T526" s="6"/>
      <c r="U526" s="6"/>
      <c r="V526" s="6"/>
    </row>
    <row r="527" spans="17:22" x14ac:dyDescent="0.3">
      <c r="Q527" s="13">
        <v>517</v>
      </c>
      <c r="R527" s="6"/>
      <c r="S527" s="6"/>
      <c r="T527" s="6"/>
      <c r="U527" s="6"/>
      <c r="V527" s="6"/>
    </row>
    <row r="528" spans="17:22" x14ac:dyDescent="0.3">
      <c r="Q528" s="13">
        <v>518</v>
      </c>
      <c r="R528" s="6"/>
      <c r="S528" s="6"/>
      <c r="T528" s="6"/>
      <c r="U528" s="6"/>
      <c r="V528" s="6"/>
    </row>
    <row r="529" spans="17:22" x14ac:dyDescent="0.3">
      <c r="Q529" s="13">
        <v>519</v>
      </c>
      <c r="R529" s="6"/>
      <c r="S529" s="6"/>
      <c r="T529" s="6"/>
      <c r="U529" s="6"/>
      <c r="V529" s="6"/>
    </row>
    <row r="530" spans="17:22" x14ac:dyDescent="0.3">
      <c r="Q530" s="13">
        <v>520</v>
      </c>
      <c r="R530" s="6"/>
      <c r="S530" s="6"/>
      <c r="T530" s="6"/>
      <c r="U530" s="6"/>
      <c r="V530" s="6"/>
    </row>
    <row r="531" spans="17:22" x14ac:dyDescent="0.3">
      <c r="Q531" s="13">
        <v>521</v>
      </c>
      <c r="R531" s="6"/>
      <c r="S531" s="6"/>
      <c r="T531" s="6"/>
      <c r="U531" s="6"/>
      <c r="V531" s="6"/>
    </row>
    <row r="532" spans="17:22" x14ac:dyDescent="0.3">
      <c r="Q532" s="13">
        <v>522</v>
      </c>
      <c r="R532" s="6"/>
      <c r="S532" s="6"/>
      <c r="T532" s="6"/>
      <c r="U532" s="6"/>
      <c r="V532" s="6"/>
    </row>
    <row r="533" spans="17:22" x14ac:dyDescent="0.3">
      <c r="Q533" s="13">
        <v>523</v>
      </c>
      <c r="R533" s="6"/>
      <c r="S533" s="6"/>
      <c r="T533" s="6"/>
      <c r="U533" s="6"/>
      <c r="V533" s="6"/>
    </row>
    <row r="534" spans="17:22" x14ac:dyDescent="0.3">
      <c r="Q534" s="13">
        <v>524</v>
      </c>
      <c r="R534" s="6"/>
      <c r="S534" s="6"/>
      <c r="T534" s="6"/>
      <c r="U534" s="6"/>
      <c r="V534" s="6"/>
    </row>
    <row r="535" spans="17:22" x14ac:dyDescent="0.3">
      <c r="Q535" s="13">
        <v>525</v>
      </c>
      <c r="R535" s="6"/>
      <c r="S535" s="6"/>
      <c r="T535" s="6"/>
      <c r="U535" s="6"/>
      <c r="V535" s="6"/>
    </row>
    <row r="536" spans="17:22" x14ac:dyDescent="0.3">
      <c r="Q536" s="13">
        <v>526</v>
      </c>
      <c r="R536" s="6"/>
      <c r="S536" s="6"/>
      <c r="T536" s="6"/>
      <c r="U536" s="6"/>
      <c r="V536" s="6"/>
    </row>
    <row r="537" spans="17:22" x14ac:dyDescent="0.3">
      <c r="Q537" s="13">
        <v>527</v>
      </c>
      <c r="R537" s="6"/>
      <c r="S537" s="6"/>
      <c r="T537" s="6"/>
      <c r="U537" s="6"/>
      <c r="V537" s="6"/>
    </row>
    <row r="538" spans="17:22" x14ac:dyDescent="0.3">
      <c r="Q538" s="13">
        <v>528</v>
      </c>
      <c r="R538" s="6"/>
      <c r="S538" s="6"/>
      <c r="T538" s="6"/>
      <c r="U538" s="6"/>
      <c r="V538" s="6"/>
    </row>
    <row r="539" spans="17:22" x14ac:dyDescent="0.3">
      <c r="Q539" s="13">
        <v>529</v>
      </c>
      <c r="R539" s="6"/>
      <c r="S539" s="6"/>
      <c r="T539" s="6"/>
      <c r="U539" s="6"/>
      <c r="V539" s="6"/>
    </row>
    <row r="540" spans="17:22" x14ac:dyDescent="0.3">
      <c r="Q540" s="13">
        <v>530</v>
      </c>
      <c r="R540" s="6"/>
      <c r="S540" s="6"/>
      <c r="T540" s="6"/>
      <c r="U540" s="6"/>
      <c r="V540" s="6"/>
    </row>
    <row r="541" spans="17:22" x14ac:dyDescent="0.3">
      <c r="Q541" s="13">
        <v>531</v>
      </c>
      <c r="R541" s="6"/>
      <c r="S541" s="6"/>
      <c r="T541" s="6"/>
      <c r="U541" s="6"/>
      <c r="V541" s="6"/>
    </row>
    <row r="542" spans="17:22" x14ac:dyDescent="0.3">
      <c r="Q542" s="13">
        <v>532</v>
      </c>
      <c r="R542" s="6"/>
      <c r="S542" s="6"/>
      <c r="T542" s="6"/>
      <c r="U542" s="6"/>
      <c r="V542" s="6"/>
    </row>
    <row r="543" spans="17:22" x14ac:dyDescent="0.3">
      <c r="Q543" s="13">
        <v>533</v>
      </c>
      <c r="R543" s="6"/>
      <c r="S543" s="6"/>
      <c r="T543" s="6"/>
      <c r="U543" s="6"/>
      <c r="V543" s="6"/>
    </row>
    <row r="544" spans="17:22" x14ac:dyDescent="0.3">
      <c r="Q544" s="13">
        <v>534</v>
      </c>
      <c r="R544" s="6"/>
      <c r="S544" s="6"/>
      <c r="T544" s="6"/>
      <c r="U544" s="6"/>
      <c r="V544" s="6"/>
    </row>
    <row r="545" spans="17:22" x14ac:dyDescent="0.3">
      <c r="Q545" s="13">
        <v>535</v>
      </c>
      <c r="R545" s="6"/>
      <c r="S545" s="6"/>
      <c r="T545" s="6"/>
      <c r="U545" s="6"/>
      <c r="V545" s="6"/>
    </row>
    <row r="546" spans="17:22" x14ac:dyDescent="0.3">
      <c r="Q546" s="13">
        <v>536</v>
      </c>
      <c r="R546" s="6"/>
      <c r="S546" s="6"/>
      <c r="T546" s="6"/>
      <c r="U546" s="6"/>
      <c r="V546" s="6"/>
    </row>
    <row r="547" spans="17:22" x14ac:dyDescent="0.3">
      <c r="Q547" s="13">
        <v>537</v>
      </c>
      <c r="R547" s="6"/>
      <c r="S547" s="6"/>
      <c r="T547" s="6"/>
      <c r="U547" s="6"/>
      <c r="V547" s="6"/>
    </row>
    <row r="548" spans="17:22" x14ac:dyDescent="0.3">
      <c r="Q548" s="13">
        <v>538</v>
      </c>
      <c r="R548" s="6"/>
      <c r="S548" s="6"/>
      <c r="T548" s="6"/>
      <c r="U548" s="6"/>
      <c r="V548" s="6"/>
    </row>
    <row r="549" spans="17:22" x14ac:dyDescent="0.3">
      <c r="Q549" s="13">
        <v>539</v>
      </c>
      <c r="R549" s="6"/>
      <c r="S549" s="6"/>
      <c r="T549" s="6"/>
      <c r="U549" s="6"/>
      <c r="V549" s="6"/>
    </row>
    <row r="550" spans="17:22" x14ac:dyDescent="0.3">
      <c r="Q550" s="13">
        <v>540</v>
      </c>
      <c r="R550" s="6"/>
      <c r="S550" s="6"/>
      <c r="T550" s="6"/>
      <c r="U550" s="6"/>
      <c r="V550" s="6"/>
    </row>
    <row r="551" spans="17:22" x14ac:dyDescent="0.3">
      <c r="Q551" s="13">
        <v>541</v>
      </c>
      <c r="R551" s="6"/>
      <c r="S551" s="6"/>
      <c r="T551" s="6"/>
      <c r="U551" s="6"/>
      <c r="V551" s="6"/>
    </row>
    <row r="552" spans="17:22" x14ac:dyDescent="0.3">
      <c r="Q552" s="13">
        <v>542</v>
      </c>
      <c r="R552" s="6"/>
      <c r="S552" s="6"/>
      <c r="T552" s="6"/>
      <c r="U552" s="6"/>
      <c r="V552" s="6"/>
    </row>
    <row r="553" spans="17:22" x14ac:dyDescent="0.3">
      <c r="Q553" s="13">
        <v>543</v>
      </c>
      <c r="R553" s="6"/>
      <c r="S553" s="6"/>
      <c r="T553" s="6"/>
      <c r="U553" s="6"/>
      <c r="V553" s="6"/>
    </row>
    <row r="554" spans="17:22" x14ac:dyDescent="0.3">
      <c r="Q554" s="13">
        <v>544</v>
      </c>
      <c r="R554" s="6"/>
      <c r="S554" s="6"/>
      <c r="T554" s="6"/>
      <c r="U554" s="6"/>
      <c r="V554" s="6"/>
    </row>
    <row r="555" spans="17:22" x14ac:dyDescent="0.3">
      <c r="Q555" s="13">
        <v>545</v>
      </c>
      <c r="R555" s="6"/>
      <c r="S555" s="6"/>
      <c r="T555" s="6"/>
      <c r="U555" s="6"/>
      <c r="V555" s="6"/>
    </row>
    <row r="556" spans="17:22" x14ac:dyDescent="0.3">
      <c r="Q556" s="13">
        <v>546</v>
      </c>
      <c r="R556" s="6"/>
      <c r="S556" s="6"/>
      <c r="T556" s="6"/>
      <c r="U556" s="6"/>
      <c r="V556" s="6"/>
    </row>
    <row r="557" spans="17:22" x14ac:dyDescent="0.3">
      <c r="Q557" s="13">
        <v>547</v>
      </c>
      <c r="R557" s="6"/>
      <c r="S557" s="6"/>
      <c r="T557" s="6"/>
      <c r="U557" s="6"/>
      <c r="V557" s="6"/>
    </row>
    <row r="558" spans="17:22" x14ac:dyDescent="0.3">
      <c r="Q558" s="13">
        <v>548</v>
      </c>
      <c r="R558" s="6"/>
      <c r="S558" s="6"/>
      <c r="T558" s="6"/>
      <c r="U558" s="6"/>
      <c r="V558" s="6"/>
    </row>
    <row r="559" spans="17:22" x14ac:dyDescent="0.3">
      <c r="Q559" s="13">
        <v>549</v>
      </c>
      <c r="R559" s="6"/>
      <c r="S559" s="6"/>
      <c r="T559" s="6"/>
      <c r="U559" s="6"/>
      <c r="V559" s="6"/>
    </row>
    <row r="560" spans="17:22" x14ac:dyDescent="0.3">
      <c r="Q560" s="13">
        <v>550</v>
      </c>
      <c r="R560" s="6"/>
      <c r="S560" s="6"/>
      <c r="T560" s="6"/>
      <c r="U560" s="6"/>
      <c r="V560" s="6"/>
    </row>
    <row r="561" spans="17:22" x14ac:dyDescent="0.3">
      <c r="Q561" s="13">
        <v>551</v>
      </c>
      <c r="R561" s="6"/>
      <c r="S561" s="6"/>
      <c r="T561" s="6"/>
      <c r="U561" s="6"/>
      <c r="V561" s="6"/>
    </row>
    <row r="562" spans="17:22" x14ac:dyDescent="0.3">
      <c r="Q562" s="13">
        <v>552</v>
      </c>
      <c r="R562" s="6"/>
      <c r="S562" s="6"/>
      <c r="T562" s="6"/>
      <c r="U562" s="6"/>
      <c r="V562" s="6"/>
    </row>
    <row r="563" spans="17:22" x14ac:dyDescent="0.3">
      <c r="Q563" s="13">
        <v>553</v>
      </c>
      <c r="R563" s="6"/>
      <c r="S563" s="6"/>
      <c r="T563" s="6"/>
      <c r="U563" s="6"/>
      <c r="V563" s="6"/>
    </row>
    <row r="564" spans="17:22" x14ac:dyDescent="0.3">
      <c r="Q564" s="13">
        <v>554</v>
      </c>
      <c r="R564" s="6"/>
      <c r="S564" s="6"/>
      <c r="T564" s="6"/>
      <c r="U564" s="6"/>
      <c r="V564" s="6"/>
    </row>
    <row r="565" spans="17:22" x14ac:dyDescent="0.3">
      <c r="Q565" s="13">
        <v>555</v>
      </c>
      <c r="R565" s="6"/>
      <c r="S565" s="6"/>
      <c r="T565" s="6"/>
      <c r="U565" s="6"/>
      <c r="V565" s="6"/>
    </row>
    <row r="566" spans="17:22" x14ac:dyDescent="0.3">
      <c r="Q566" s="13">
        <v>556</v>
      </c>
      <c r="R566" s="6"/>
      <c r="S566" s="6"/>
      <c r="T566" s="6"/>
      <c r="U566" s="6"/>
      <c r="V566" s="6"/>
    </row>
    <row r="567" spans="17:22" x14ac:dyDescent="0.3">
      <c r="Q567" s="13">
        <v>557</v>
      </c>
      <c r="R567" s="6"/>
      <c r="S567" s="6"/>
      <c r="T567" s="6"/>
      <c r="U567" s="6"/>
      <c r="V567" s="6"/>
    </row>
    <row r="568" spans="17:22" x14ac:dyDescent="0.3">
      <c r="Q568" s="13">
        <v>558</v>
      </c>
      <c r="R568" s="6"/>
      <c r="S568" s="6"/>
      <c r="T568" s="6"/>
      <c r="U568" s="6"/>
      <c r="V568" s="6"/>
    </row>
    <row r="569" spans="17:22" x14ac:dyDescent="0.3">
      <c r="Q569" s="13">
        <v>559</v>
      </c>
      <c r="R569" s="6"/>
      <c r="S569" s="6"/>
      <c r="T569" s="6"/>
      <c r="U569" s="6"/>
      <c r="V569" s="6"/>
    </row>
    <row r="570" spans="17:22" x14ac:dyDescent="0.3">
      <c r="Q570" s="13">
        <v>560</v>
      </c>
      <c r="R570" s="6"/>
      <c r="S570" s="6"/>
      <c r="T570" s="6"/>
      <c r="U570" s="6"/>
      <c r="V570" s="6"/>
    </row>
    <row r="571" spans="17:22" x14ac:dyDescent="0.3">
      <c r="Q571" s="13">
        <v>561</v>
      </c>
      <c r="R571" s="6"/>
      <c r="S571" s="6"/>
      <c r="T571" s="6"/>
      <c r="U571" s="6"/>
      <c r="V571" s="6"/>
    </row>
    <row r="572" spans="17:22" x14ac:dyDescent="0.3">
      <c r="Q572" s="13">
        <v>562</v>
      </c>
      <c r="R572" s="6"/>
      <c r="S572" s="6"/>
      <c r="T572" s="6"/>
      <c r="U572" s="6"/>
      <c r="V572" s="6"/>
    </row>
    <row r="573" spans="17:22" x14ac:dyDescent="0.3">
      <c r="Q573" s="13">
        <v>563</v>
      </c>
      <c r="R573" s="6"/>
      <c r="S573" s="6"/>
      <c r="T573" s="6"/>
      <c r="U573" s="6"/>
      <c r="V573" s="6"/>
    </row>
    <row r="574" spans="17:22" x14ac:dyDescent="0.3">
      <c r="Q574" s="13">
        <v>564</v>
      </c>
      <c r="R574" s="6"/>
      <c r="S574" s="6"/>
      <c r="T574" s="6"/>
      <c r="U574" s="6"/>
      <c r="V574" s="6"/>
    </row>
    <row r="575" spans="17:22" x14ac:dyDescent="0.3">
      <c r="Q575" s="13">
        <v>565</v>
      </c>
      <c r="R575" s="6"/>
      <c r="S575" s="6"/>
      <c r="T575" s="6"/>
      <c r="U575" s="6"/>
      <c r="V575" s="6"/>
    </row>
    <row r="576" spans="17:22" x14ac:dyDescent="0.3">
      <c r="Q576" s="13">
        <v>566</v>
      </c>
      <c r="R576" s="6"/>
      <c r="S576" s="6"/>
      <c r="T576" s="6"/>
      <c r="U576" s="6"/>
      <c r="V576" s="6"/>
    </row>
    <row r="577" spans="17:22" x14ac:dyDescent="0.3">
      <c r="Q577" s="13">
        <v>567</v>
      </c>
      <c r="R577" s="6"/>
      <c r="S577" s="6"/>
      <c r="T577" s="6"/>
      <c r="U577" s="6"/>
      <c r="V577" s="6"/>
    </row>
    <row r="578" spans="17:22" x14ac:dyDescent="0.3">
      <c r="Q578" s="13">
        <v>568</v>
      </c>
      <c r="R578" s="6"/>
      <c r="S578" s="6"/>
      <c r="T578" s="6"/>
      <c r="U578" s="6"/>
      <c r="V578" s="6"/>
    </row>
    <row r="579" spans="17:22" x14ac:dyDescent="0.3">
      <c r="Q579" s="13">
        <v>569</v>
      </c>
      <c r="R579" s="6"/>
      <c r="S579" s="6"/>
      <c r="T579" s="6"/>
      <c r="U579" s="6"/>
      <c r="V579" s="6"/>
    </row>
    <row r="580" spans="17:22" x14ac:dyDescent="0.3">
      <c r="Q580" s="13">
        <v>570</v>
      </c>
      <c r="R580" s="6"/>
      <c r="S580" s="6"/>
      <c r="T580" s="6"/>
      <c r="U580" s="6"/>
      <c r="V580" s="6"/>
    </row>
    <row r="581" spans="17:22" x14ac:dyDescent="0.3">
      <c r="Q581" s="13">
        <v>571</v>
      </c>
      <c r="R581" s="6"/>
      <c r="S581" s="6"/>
      <c r="T581" s="6"/>
      <c r="U581" s="6"/>
      <c r="V581" s="6"/>
    </row>
    <row r="582" spans="17:22" x14ac:dyDescent="0.3">
      <c r="Q582" s="13">
        <v>572</v>
      </c>
      <c r="R582" s="6"/>
      <c r="S582" s="6"/>
      <c r="T582" s="6"/>
      <c r="U582" s="6"/>
      <c r="V582" s="6"/>
    </row>
    <row r="583" spans="17:22" x14ac:dyDescent="0.3">
      <c r="Q583" s="13">
        <v>573</v>
      </c>
      <c r="R583" s="6"/>
      <c r="S583" s="6"/>
      <c r="T583" s="6"/>
      <c r="U583" s="6"/>
      <c r="V583" s="6"/>
    </row>
    <row r="584" spans="17:22" x14ac:dyDescent="0.3">
      <c r="Q584" s="13">
        <v>574</v>
      </c>
      <c r="R584" s="6"/>
      <c r="S584" s="6"/>
      <c r="T584" s="6"/>
      <c r="U584" s="6"/>
      <c r="V584" s="6"/>
    </row>
    <row r="585" spans="17:22" x14ac:dyDescent="0.3">
      <c r="Q585" s="13">
        <v>575</v>
      </c>
      <c r="R585" s="6"/>
      <c r="S585" s="6"/>
      <c r="T585" s="6"/>
      <c r="U585" s="6"/>
      <c r="V585" s="6"/>
    </row>
    <row r="586" spans="17:22" x14ac:dyDescent="0.3">
      <c r="Q586" s="13">
        <v>576</v>
      </c>
      <c r="R586" s="6"/>
      <c r="S586" s="6"/>
      <c r="T586" s="6"/>
      <c r="U586" s="6"/>
      <c r="V586" s="6"/>
    </row>
    <row r="587" spans="17:22" x14ac:dyDescent="0.3">
      <c r="Q587" s="13">
        <v>577</v>
      </c>
      <c r="R587" s="6"/>
      <c r="S587" s="6"/>
      <c r="T587" s="6"/>
      <c r="U587" s="6"/>
      <c r="V587" s="6"/>
    </row>
    <row r="588" spans="17:22" x14ac:dyDescent="0.3">
      <c r="Q588" s="13">
        <v>578</v>
      </c>
      <c r="R588" s="6"/>
      <c r="S588" s="6"/>
      <c r="T588" s="6"/>
      <c r="U588" s="6"/>
      <c r="V588" s="6"/>
    </row>
    <row r="589" spans="17:22" x14ac:dyDescent="0.3">
      <c r="Q589" s="13">
        <v>579</v>
      </c>
      <c r="R589" s="6"/>
      <c r="S589" s="6"/>
      <c r="T589" s="6"/>
      <c r="U589" s="6"/>
      <c r="V589" s="6"/>
    </row>
    <row r="590" spans="17:22" x14ac:dyDescent="0.3">
      <c r="Q590" s="13">
        <v>580</v>
      </c>
      <c r="R590" s="6"/>
      <c r="S590" s="6"/>
      <c r="T590" s="6"/>
      <c r="U590" s="6"/>
      <c r="V590" s="6"/>
    </row>
    <row r="591" spans="17:22" x14ac:dyDescent="0.3">
      <c r="Q591" s="13">
        <v>581</v>
      </c>
      <c r="R591" s="6"/>
      <c r="S591" s="6"/>
      <c r="T591" s="6"/>
      <c r="U591" s="6"/>
      <c r="V591" s="6"/>
    </row>
    <row r="592" spans="17:22" x14ac:dyDescent="0.3">
      <c r="Q592" s="13">
        <v>582</v>
      </c>
      <c r="R592" s="6"/>
      <c r="S592" s="6"/>
      <c r="T592" s="6"/>
      <c r="U592" s="6"/>
      <c r="V592" s="6"/>
    </row>
    <row r="593" spans="17:22" x14ac:dyDescent="0.3">
      <c r="Q593" s="13">
        <v>583</v>
      </c>
      <c r="R593" s="6"/>
      <c r="S593" s="6"/>
      <c r="T593" s="6"/>
      <c r="U593" s="6"/>
      <c r="V593" s="6"/>
    </row>
    <row r="594" spans="17:22" x14ac:dyDescent="0.3">
      <c r="Q594" s="13">
        <v>584</v>
      </c>
      <c r="R594" s="6"/>
      <c r="S594" s="6"/>
      <c r="T594" s="6"/>
      <c r="U594" s="6"/>
      <c r="V594" s="6"/>
    </row>
    <row r="595" spans="17:22" x14ac:dyDescent="0.3">
      <c r="Q595" s="13">
        <v>585</v>
      </c>
      <c r="R595" s="6"/>
      <c r="S595" s="6"/>
      <c r="T595" s="6"/>
      <c r="U595" s="6"/>
      <c r="V595" s="6"/>
    </row>
    <row r="596" spans="17:22" x14ac:dyDescent="0.3">
      <c r="Q596" s="13">
        <v>586</v>
      </c>
      <c r="R596" s="6"/>
      <c r="S596" s="6"/>
      <c r="T596" s="6"/>
      <c r="U596" s="6"/>
      <c r="V596" s="6"/>
    </row>
    <row r="597" spans="17:22" x14ac:dyDescent="0.3">
      <c r="Q597" s="13">
        <v>587</v>
      </c>
      <c r="R597" s="6"/>
      <c r="S597" s="6"/>
      <c r="T597" s="6"/>
      <c r="U597" s="6"/>
      <c r="V597" s="6"/>
    </row>
    <row r="598" spans="17:22" x14ac:dyDescent="0.3">
      <c r="Q598" s="13">
        <v>588</v>
      </c>
      <c r="R598" s="6"/>
      <c r="S598" s="6"/>
      <c r="T598" s="6"/>
      <c r="U598" s="6"/>
      <c r="V598" s="6"/>
    </row>
    <row r="599" spans="17:22" x14ac:dyDescent="0.3">
      <c r="Q599" s="13">
        <v>589</v>
      </c>
      <c r="R599" s="6"/>
      <c r="S599" s="6"/>
      <c r="T599" s="6"/>
      <c r="U599" s="6"/>
      <c r="V599" s="6"/>
    </row>
    <row r="600" spans="17:22" x14ac:dyDescent="0.3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18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ColWidth="8.88671875"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712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712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713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715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715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722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5"/>
    </row>
    <row r="28" spans="1:9" x14ac:dyDescent="0.3">
      <c r="B28" s="6"/>
      <c r="C28" s="6"/>
      <c r="D28" s="6" t="s">
        <v>729</v>
      </c>
      <c r="E28" s="6" t="s">
        <v>733</v>
      </c>
      <c r="F28" s="1126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90"/>
  <sheetViews>
    <sheetView topLeftCell="J1" zoomScale="70" zoomScaleNormal="70" workbookViewId="0">
      <pane ySplit="4" topLeftCell="A60" activePane="bottomLeft" state="frozen"/>
      <selection pane="bottomLeft" activeCell="U130" sqref="U130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4.5546875" style="12" bestFit="1" customWidth="1"/>
    <col min="9" max="9" width="24.109375" style="432" bestFit="1" customWidth="1"/>
    <col min="10" max="10" width="18.88671875" style="432" customWidth="1"/>
    <col min="11" max="11" width="16.33203125" style="432" bestFit="1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25.6640625" style="332" bestFit="1" customWidth="1"/>
    <col min="18" max="18" width="20.1093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720" t="s">
        <v>32</v>
      </c>
      <c r="I2" s="1720"/>
      <c r="J2" s="1720"/>
      <c r="K2" s="1720"/>
    </row>
    <row r="3" spans="1:92" ht="15" thickBot="1" x14ac:dyDescent="0.35"/>
    <row r="4" spans="1:92" ht="29.4" thickBot="1" x14ac:dyDescent="0.35">
      <c r="A4" s="585" t="s">
        <v>542</v>
      </c>
      <c r="B4" s="1847" t="s">
        <v>0</v>
      </c>
      <c r="C4" s="1848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843">
        <v>1</v>
      </c>
      <c r="B5" s="1670">
        <v>46265</v>
      </c>
      <c r="C5" s="1670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813">
        <f>SUM(M5:M6)</f>
        <v>95.90021999999999</v>
      </c>
      <c r="O5" s="553">
        <f t="shared" ref="O5:O11" si="1">M5/((720-R5)/60)</f>
        <v>2.8865657961661344</v>
      </c>
      <c r="P5" s="1813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825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801" t="s">
        <v>38</v>
      </c>
      <c r="AH5" s="1802"/>
      <c r="AI5" s="1802"/>
      <c r="AJ5" s="1803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843"/>
      <c r="B6" s="1670"/>
      <c r="C6" s="1670"/>
      <c r="D6" s="741" t="s">
        <v>439</v>
      </c>
      <c r="E6" s="741" t="s">
        <v>437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813"/>
      <c r="O6" s="553">
        <f t="shared" si="1"/>
        <v>5.4819764049999984</v>
      </c>
      <c r="P6" s="1813"/>
      <c r="Q6" s="553">
        <f t="shared" si="2"/>
        <v>720</v>
      </c>
      <c r="R6" s="553">
        <f>'Milling Down Time Hours'!G6</f>
        <v>0</v>
      </c>
      <c r="S6" s="1825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1240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843"/>
      <c r="B7" s="1670">
        <v>46266</v>
      </c>
      <c r="C7" s="1670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813">
        <f>SUM(M7:M8)</f>
        <v>196.41338000000002</v>
      </c>
      <c r="O7" s="553">
        <f t="shared" si="1"/>
        <v>6.5721821250000003</v>
      </c>
      <c r="P7" s="1813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825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843"/>
      <c r="B8" s="1670"/>
      <c r="C8" s="1670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813"/>
      <c r="O8" s="553">
        <f t="shared" si="1"/>
        <v>10.78414628440367</v>
      </c>
      <c r="P8" s="1813"/>
      <c r="Q8" s="553">
        <f t="shared" si="2"/>
        <v>654</v>
      </c>
      <c r="R8" s="553">
        <f>'Milling Down Time Hours'!G8</f>
        <v>66</v>
      </c>
      <c r="S8" s="1825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1.24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842">
        <v>2</v>
      </c>
      <c r="B9" s="1668">
        <v>46267</v>
      </c>
      <c r="C9" s="1668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818">
        <f>SUM(M9:M10)</f>
        <v>209.804</v>
      </c>
      <c r="O9" s="485">
        <f t="shared" si="1"/>
        <v>10.565099999999999</v>
      </c>
      <c r="P9" s="1818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815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842"/>
      <c r="B10" s="1668"/>
      <c r="C10" s="1668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818"/>
      <c r="O10" s="485">
        <f t="shared" si="1"/>
        <v>8.6794166666666666</v>
      </c>
      <c r="P10" s="1818"/>
      <c r="Q10" s="485">
        <f t="shared" si="2"/>
        <v>720</v>
      </c>
      <c r="R10" s="931">
        <f>'Milling Down Time Hours'!G10</f>
        <v>0</v>
      </c>
      <c r="S10" s="1815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842"/>
      <c r="B11" s="1668">
        <v>46268</v>
      </c>
      <c r="C11" s="1668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818">
        <f>SUM(M11:M12)</f>
        <v>90.338150000000013</v>
      </c>
      <c r="O11" s="485">
        <f t="shared" si="1"/>
        <v>7.5281791666666678</v>
      </c>
      <c r="P11" s="1818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815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0.36950146627565983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842"/>
      <c r="B12" s="1681"/>
      <c r="C12" s="1681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819"/>
      <c r="O12" s="554"/>
      <c r="P12" s="1819"/>
      <c r="Q12" s="554">
        <f t="shared" si="2"/>
        <v>660</v>
      </c>
      <c r="R12" s="957">
        <f>'Milling Down Time Hours'!G12</f>
        <v>60.000000000000007</v>
      </c>
      <c r="S12" s="1810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458.18181818181819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855"/>
      <c r="B13" s="1844">
        <v>46269</v>
      </c>
      <c r="C13" s="1683"/>
      <c r="D13" s="1853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816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781.81818181818176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855"/>
      <c r="B14" s="1845"/>
      <c r="C14" s="1685"/>
      <c r="D14" s="1854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817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838">
        <v>46270</v>
      </c>
      <c r="C15" s="1838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843">
        <v>3</v>
      </c>
      <c r="B16" s="1670">
        <v>46270</v>
      </c>
      <c r="C16" s="1670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825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843"/>
      <c r="B17" s="1670">
        <v>46271</v>
      </c>
      <c r="C17" s="1670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813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839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843"/>
      <c r="B18" s="1670"/>
      <c r="C18" s="1670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813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839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843"/>
      <c r="B19" s="1670">
        <v>46272</v>
      </c>
      <c r="C19" s="1670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840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839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842">
        <v>4</v>
      </c>
      <c r="B20" s="1668">
        <v>46272</v>
      </c>
      <c r="C20" s="1668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814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815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842"/>
      <c r="B21" s="1668">
        <v>46273</v>
      </c>
      <c r="C21" s="1668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818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815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842"/>
      <c r="B22" s="1668"/>
      <c r="C22" s="1668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841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815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842"/>
      <c r="B23" s="1668">
        <v>46274</v>
      </c>
      <c r="C23" s="1668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815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629">
        <v>46274</v>
      </c>
      <c r="C24" s="1629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843">
        <v>5</v>
      </c>
      <c r="B25" s="1670">
        <v>46275</v>
      </c>
      <c r="C25" s="1670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813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825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843"/>
      <c r="B26" s="1670"/>
      <c r="C26" s="1670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814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825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843"/>
      <c r="B27" s="1670">
        <v>46276</v>
      </c>
      <c r="C27" s="1670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813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825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6"/>
      <c r="B28" s="1668">
        <v>46276</v>
      </c>
      <c r="C28" s="1668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813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815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842">
        <v>6</v>
      </c>
      <c r="B29" s="1668">
        <v>46276</v>
      </c>
      <c r="C29" s="1668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815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842"/>
      <c r="B30" s="1668">
        <v>46277</v>
      </c>
      <c r="C30" s="1668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818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815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842"/>
      <c r="B31" s="1668"/>
      <c r="C31" s="1668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818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815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849"/>
      <c r="B32" s="1629">
        <v>46278</v>
      </c>
      <c r="C32" s="1629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850"/>
      <c r="B33" s="1629">
        <v>46278</v>
      </c>
      <c r="C33" s="1629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830">
        <v>46279</v>
      </c>
      <c r="C34" s="1831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852">
        <v>7</v>
      </c>
      <c r="B35" s="1832">
        <v>46279</v>
      </c>
      <c r="C35" s="1833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835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852"/>
      <c r="B36" s="1826">
        <v>46280</v>
      </c>
      <c r="C36" s="1827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813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836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852"/>
      <c r="B37" s="1828"/>
      <c r="C37" s="1829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813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837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851">
        <v>8</v>
      </c>
      <c r="B38" s="1820">
        <v>46281</v>
      </c>
      <c r="C38" s="1821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810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810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851"/>
      <c r="B39" s="1822"/>
      <c r="C39" s="1823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812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811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851"/>
      <c r="B40" s="1820">
        <v>46282</v>
      </c>
      <c r="C40" s="1821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819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811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851"/>
      <c r="B41" s="1822"/>
      <c r="C41" s="1823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834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812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846">
        <v>9</v>
      </c>
      <c r="B42" s="1770">
        <v>46283</v>
      </c>
      <c r="C42" s="1771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765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765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846"/>
      <c r="B43" s="1772"/>
      <c r="C43" s="1773"/>
      <c r="D43" s="983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824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763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846"/>
      <c r="B44" s="1770">
        <v>46284</v>
      </c>
      <c r="C44" s="1771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765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763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846"/>
      <c r="B45" s="1772"/>
      <c r="C45" s="1773"/>
      <c r="D45" s="983" t="s">
        <v>645</v>
      </c>
      <c r="E45" s="1035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824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764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744">
        <v>10</v>
      </c>
      <c r="B46" s="1752">
        <v>46285</v>
      </c>
      <c r="C46" s="1753"/>
      <c r="D46" s="451" t="s">
        <v>506</v>
      </c>
      <c r="E46" s="451" t="s">
        <v>653</v>
      </c>
      <c r="F46" s="1030" t="s">
        <v>12</v>
      </c>
      <c r="G46" s="450" t="s">
        <v>682</v>
      </c>
      <c r="H46" s="931" t="s">
        <v>683</v>
      </c>
      <c r="I46" s="931" t="s">
        <v>684</v>
      </c>
      <c r="J46" s="1079" t="s">
        <v>685</v>
      </c>
      <c r="K46" s="450" t="s">
        <v>686</v>
      </c>
      <c r="L46" s="934" t="s">
        <v>687</v>
      </c>
      <c r="M46" s="1031" t="s">
        <v>688</v>
      </c>
      <c r="N46" s="1082" t="s">
        <v>691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744"/>
      <c r="B47" s="1754"/>
      <c r="C47" s="1755"/>
      <c r="D47" s="1054" t="s">
        <v>507</v>
      </c>
      <c r="E47" s="1054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744"/>
      <c r="B48" s="1752">
        <v>46286</v>
      </c>
      <c r="C48" s="1753"/>
      <c r="D48" s="451" t="s">
        <v>506</v>
      </c>
      <c r="E48" s="451" t="s">
        <v>661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735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735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744"/>
      <c r="B49" s="1754"/>
      <c r="C49" s="1755"/>
      <c r="D49" s="1072" t="s">
        <v>539</v>
      </c>
      <c r="E49" s="1078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775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736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744"/>
      <c r="B50" s="1752">
        <v>46287</v>
      </c>
      <c r="C50" s="1753"/>
      <c r="D50" s="451" t="s">
        <v>680</v>
      </c>
      <c r="E50" s="451" t="s">
        <v>681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735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736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744"/>
      <c r="B51" s="1754"/>
      <c r="C51" s="1755"/>
      <c r="D51" s="1085" t="s">
        <v>507</v>
      </c>
      <c r="E51" s="1085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775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736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744"/>
      <c r="B52" s="1752">
        <v>46288</v>
      </c>
      <c r="C52" s="1753"/>
      <c r="D52" s="451" t="s">
        <v>506</v>
      </c>
      <c r="E52" s="451" t="s">
        <v>697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735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736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744"/>
      <c r="B53" s="1754"/>
      <c r="C53" s="1755"/>
      <c r="D53" s="1097" t="s">
        <v>507</v>
      </c>
      <c r="E53" s="1101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775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736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784">
        <v>46289</v>
      </c>
      <c r="C54" s="1785"/>
      <c r="D54" s="451" t="s">
        <v>506</v>
      </c>
      <c r="E54" s="451" t="s">
        <v>701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735">
        <f>SUM(M54:M56)</f>
        <v>299.60957198599993</v>
      </c>
      <c r="O54" s="1735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737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856"/>
      <c r="C55" s="1857"/>
      <c r="D55" s="667" t="s">
        <v>506</v>
      </c>
      <c r="E55" s="667" t="s">
        <v>746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736"/>
      <c r="O55" s="1736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846">
        <v>11</v>
      </c>
      <c r="B56" s="1799"/>
      <c r="C56" s="1800"/>
      <c r="D56" s="1113" t="s">
        <v>539</v>
      </c>
      <c r="E56" s="1119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775"/>
      <c r="O56" s="1737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765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846"/>
      <c r="B57" s="1770">
        <v>46290</v>
      </c>
      <c r="C57" s="1771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765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763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846"/>
      <c r="B58" s="1772"/>
      <c r="C58" s="1773"/>
      <c r="D58" s="1113" t="s">
        <v>539</v>
      </c>
      <c r="E58" s="1133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824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764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744">
        <v>12</v>
      </c>
      <c r="B59" s="1752">
        <v>46291</v>
      </c>
      <c r="C59" s="1753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744"/>
      <c r="B60" s="1754"/>
      <c r="C60" s="1755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744"/>
      <c r="B61" s="1752">
        <v>46292</v>
      </c>
      <c r="C61" s="1753"/>
      <c r="D61" s="451" t="s">
        <v>506</v>
      </c>
      <c r="E61" s="451" t="s">
        <v>751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735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792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744"/>
      <c r="B62" s="1754"/>
      <c r="C62" s="1755"/>
      <c r="D62" s="1163" t="s">
        <v>506</v>
      </c>
      <c r="E62" s="1163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775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793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744"/>
      <c r="B63" s="1752">
        <v>46293</v>
      </c>
      <c r="C63" s="1753"/>
      <c r="D63" s="451" t="s">
        <v>539</v>
      </c>
      <c r="E63" s="451" t="s">
        <v>753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735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793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744"/>
      <c r="B64" s="1754"/>
      <c r="C64" s="1755"/>
      <c r="D64" s="1164" t="s">
        <v>754</v>
      </c>
      <c r="E64" s="1164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775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793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770">
        <v>46294</v>
      </c>
      <c r="C65" s="1771"/>
      <c r="D65" s="451" t="s">
        <v>540</v>
      </c>
      <c r="E65" s="451" t="s">
        <v>758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765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794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772"/>
      <c r="C66" s="1773"/>
      <c r="D66" s="966"/>
      <c r="E66" s="1180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764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784">
        <v>46295</v>
      </c>
      <c r="C67" s="1785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799"/>
      <c r="C68" s="1800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797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784">
        <v>46296</v>
      </c>
      <c r="C69" s="1785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798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.4" thickBot="1" x14ac:dyDescent="0.35">
      <c r="A70" s="1228"/>
      <c r="B70" s="1799"/>
      <c r="C70" s="1800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797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784">
        <v>46297</v>
      </c>
      <c r="C71" s="1785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798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799"/>
      <c r="C72" s="1800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797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784">
        <v>46298</v>
      </c>
      <c r="C73" s="1785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798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799"/>
      <c r="C74" s="1800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761">
        <v>13</v>
      </c>
      <c r="B75" s="1770">
        <v>46299</v>
      </c>
      <c r="C75" s="1771"/>
      <c r="D75" s="667" t="s">
        <v>792</v>
      </c>
      <c r="E75" s="1762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765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765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761"/>
      <c r="B76" s="1772"/>
      <c r="C76" s="1773"/>
      <c r="D76" s="667" t="s">
        <v>792</v>
      </c>
      <c r="E76" s="1763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764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763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761"/>
      <c r="B77" s="1770">
        <v>46300</v>
      </c>
      <c r="C77" s="1771"/>
      <c r="D77" s="667" t="s">
        <v>792</v>
      </c>
      <c r="E77" s="1763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765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763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761"/>
      <c r="B78" s="1772"/>
      <c r="C78" s="1773"/>
      <c r="D78" s="667" t="s">
        <v>792</v>
      </c>
      <c r="E78" s="1764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764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764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744">
        <v>14</v>
      </c>
      <c r="B79" s="1752">
        <v>46301</v>
      </c>
      <c r="C79" s="1753"/>
      <c r="D79" s="451" t="s">
        <v>792</v>
      </c>
      <c r="E79" s="1789" t="s">
        <v>779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>H79*K79*G79</f>
        <v>0</v>
      </c>
      <c r="N79" s="1735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744"/>
      <c r="B80" s="1804"/>
      <c r="C80" s="1805"/>
      <c r="D80" s="451" t="s">
        <v>792</v>
      </c>
      <c r="E80" s="1774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ref="M80:M97" si="67">H80*K80*G80</f>
        <v>0</v>
      </c>
      <c r="N80" s="1774"/>
      <c r="O80" s="1134"/>
      <c r="P80" s="1736">
        <f>'Milling Down Time Hours'!Q43</f>
        <v>23.5</v>
      </c>
      <c r="Q80" s="1195"/>
      <c r="R80" s="1736">
        <f>'Milling Down Time Hours'!L85</f>
        <v>0.8965277777777777</v>
      </c>
      <c r="S80" s="451"/>
      <c r="T80" s="1806">
        <v>0.35699999999999998</v>
      </c>
      <c r="U80" s="1806">
        <v>1.056</v>
      </c>
      <c r="V80" s="1808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744"/>
      <c r="B81" s="1804"/>
      <c r="C81" s="1805"/>
      <c r="D81" s="451" t="s">
        <v>792</v>
      </c>
      <c r="E81" s="1774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774"/>
      <c r="O81" s="1134"/>
      <c r="P81" s="1783"/>
      <c r="Q81" s="1201"/>
      <c r="R81" s="1783"/>
      <c r="S81" s="451"/>
      <c r="T81" s="1807"/>
      <c r="U81" s="1807"/>
      <c r="V81" s="1809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744"/>
      <c r="B82" s="1804"/>
      <c r="C82" s="1805"/>
      <c r="D82" s="451" t="s">
        <v>792</v>
      </c>
      <c r="E82" s="1774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774"/>
      <c r="O82" s="1134"/>
      <c r="P82" s="1782">
        <f>'Milling Down Time Hours'!M87</f>
        <v>0</v>
      </c>
      <c r="Q82" s="1204"/>
      <c r="R82" s="1782">
        <f>'Milling Down Time Hours'!L87</f>
        <v>0.7090277777777777</v>
      </c>
      <c r="S82" s="451"/>
      <c r="T82" s="1780" t="e">
        <f>SUM(#REF!)</f>
        <v>#REF!</v>
      </c>
      <c r="U82" s="1780" t="e">
        <f t="shared" ref="U82:V82" si="68">SUM(T82:T84)</f>
        <v>#REF!</v>
      </c>
      <c r="V82" s="1778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744"/>
      <c r="B83" s="1804"/>
      <c r="C83" s="1805"/>
      <c r="D83" s="451" t="s">
        <v>792</v>
      </c>
      <c r="E83" s="1774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774"/>
      <c r="O83" s="1134"/>
      <c r="P83" s="1783"/>
      <c r="Q83" s="1201"/>
      <c r="R83" s="1783"/>
      <c r="S83" s="451"/>
      <c r="T83" s="1781"/>
      <c r="U83" s="1781"/>
      <c r="V83" s="1779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744"/>
      <c r="B84" s="1804"/>
      <c r="C84" s="1805"/>
      <c r="D84" s="451" t="s">
        <v>792</v>
      </c>
      <c r="E84" s="1774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774"/>
      <c r="O84" s="1134"/>
      <c r="P84" s="1782">
        <f>'Milling Down Time Hours'!M89</f>
        <v>0</v>
      </c>
      <c r="Q84" s="1204"/>
      <c r="R84" s="1782">
        <f>'Milling Down Time Hours'!L89</f>
        <v>1</v>
      </c>
      <c r="S84" s="451"/>
      <c r="T84" s="1780" t="e">
        <f>SUM(#REF!)</f>
        <v>#REF!</v>
      </c>
      <c r="U84" s="1780" t="e">
        <f t="shared" ref="U84:V84" si="69">SUM(T84:T86)</f>
        <v>#REF!</v>
      </c>
      <c r="V84" s="1778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744"/>
      <c r="B85" s="1804"/>
      <c r="C85" s="1805"/>
      <c r="D85" s="451" t="s">
        <v>792</v>
      </c>
      <c r="E85" s="1774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774"/>
      <c r="O85" s="1134"/>
      <c r="P85" s="1783"/>
      <c r="Q85" s="1201"/>
      <c r="R85" s="1783"/>
      <c r="S85" s="451"/>
      <c r="T85" s="1781"/>
      <c r="U85" s="1781"/>
      <c r="V85" s="1779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744"/>
      <c r="B86" s="1804"/>
      <c r="C86" s="1805"/>
      <c r="D86" s="451" t="s">
        <v>792</v>
      </c>
      <c r="E86" s="1774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774"/>
      <c r="O86" s="1134"/>
      <c r="P86" s="1782">
        <f>'Milling Down Time Hours'!M91</f>
        <v>0</v>
      </c>
      <c r="Q86" s="1204"/>
      <c r="R86" s="1782">
        <f>'Milling Down Time Hours'!L91</f>
        <v>0.73611111111111116</v>
      </c>
      <c r="S86" s="451"/>
      <c r="T86" s="1780" t="e">
        <f>SUM(#REF!)</f>
        <v>#REF!</v>
      </c>
      <c r="U86" s="1780" t="e">
        <f t="shared" ref="U86:V86" si="70">SUM(T86:T88)</f>
        <v>#REF!</v>
      </c>
      <c r="V86" s="1778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744"/>
      <c r="B87" s="1804"/>
      <c r="C87" s="1805"/>
      <c r="D87" s="451" t="s">
        <v>792</v>
      </c>
      <c r="E87" s="1774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774"/>
      <c r="O87" s="1134"/>
      <c r="P87" s="1783"/>
      <c r="Q87" s="1201"/>
      <c r="R87" s="1783"/>
      <c r="S87" s="451"/>
      <c r="T87" s="1781"/>
      <c r="U87" s="1781"/>
      <c r="V87" s="1779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744"/>
      <c r="B88" s="1804"/>
      <c r="C88" s="1805"/>
      <c r="D88" s="451" t="s">
        <v>792</v>
      </c>
      <c r="E88" s="1774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774"/>
      <c r="O88" s="1134"/>
      <c r="P88" s="1782">
        <f>'Milling Down Time Hours'!M93</f>
        <v>0</v>
      </c>
      <c r="Q88" s="1204"/>
      <c r="R88" s="1782">
        <f>'Milling Down Time Hours'!L93</f>
        <v>1</v>
      </c>
      <c r="S88" s="451"/>
      <c r="T88" s="1780" t="e">
        <f>SUM(#REF!)</f>
        <v>#REF!</v>
      </c>
      <c r="U88" s="1780" t="e">
        <f t="shared" ref="U88:V88" si="71">SUM(T88:T90)</f>
        <v>#REF!</v>
      </c>
      <c r="V88" s="1778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744"/>
      <c r="B89" s="1804"/>
      <c r="C89" s="1805"/>
      <c r="D89" s="451" t="s">
        <v>792</v>
      </c>
      <c r="E89" s="1774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774"/>
      <c r="O89" s="1134"/>
      <c r="P89" s="1783"/>
      <c r="Q89" s="1201"/>
      <c r="R89" s="1783"/>
      <c r="S89" s="451"/>
      <c r="T89" s="1781"/>
      <c r="U89" s="1781"/>
      <c r="V89" s="1779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744"/>
      <c r="B90" s="1804"/>
      <c r="C90" s="1805"/>
      <c r="D90" s="451" t="s">
        <v>792</v>
      </c>
      <c r="E90" s="1774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774"/>
      <c r="O90" s="1134"/>
      <c r="P90" s="1782">
        <f>'Milling Down Time Hours'!M95</f>
        <v>0</v>
      </c>
      <c r="Q90" s="1204"/>
      <c r="R90" s="1782">
        <f>'Milling Down Time Hours'!L95</f>
        <v>1</v>
      </c>
      <c r="S90" s="451"/>
      <c r="T90" s="1780" t="e">
        <f>SUM(#REF!)</f>
        <v>#REF!</v>
      </c>
      <c r="U90" s="1780" t="e">
        <f t="shared" ref="U90:V90" si="72">SUM(T90:T92)</f>
        <v>#REF!</v>
      </c>
      <c r="V90" s="1778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744"/>
      <c r="B91" s="1804"/>
      <c r="C91" s="1805"/>
      <c r="D91" s="451" t="s">
        <v>792</v>
      </c>
      <c r="E91" s="1774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774"/>
      <c r="O91" s="1134"/>
      <c r="P91" s="1783"/>
      <c r="Q91" s="1201"/>
      <c r="R91" s="1783"/>
      <c r="S91" s="451"/>
      <c r="T91" s="1781"/>
      <c r="U91" s="1781"/>
      <c r="V91" s="1779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744"/>
      <c r="B92" s="1804"/>
      <c r="C92" s="1805"/>
      <c r="D92" s="451" t="s">
        <v>792</v>
      </c>
      <c r="E92" s="1774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774"/>
      <c r="O92" s="1134"/>
      <c r="P92" s="1782">
        <f>'Milling Down Time Hours'!M97</f>
        <v>0</v>
      </c>
      <c r="Q92" s="1204"/>
      <c r="R92" s="1782">
        <f>'Milling Down Time Hours'!L97</f>
        <v>1</v>
      </c>
      <c r="S92" s="451"/>
      <c r="T92" s="1780" t="e">
        <f>SUM(#REF!)</f>
        <v>#REF!</v>
      </c>
      <c r="U92" s="1780" t="e">
        <f t="shared" ref="U92:V92" si="73">SUM(T92:T94)</f>
        <v>#REF!</v>
      </c>
      <c r="V92" s="1778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744"/>
      <c r="B93" s="1804"/>
      <c r="C93" s="1805"/>
      <c r="D93" s="451" t="s">
        <v>792</v>
      </c>
      <c r="E93" s="1774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774"/>
      <c r="O93" s="1134"/>
      <c r="P93" s="1783"/>
      <c r="Q93" s="1201"/>
      <c r="R93" s="1783"/>
      <c r="S93" s="451"/>
      <c r="T93" s="1781"/>
      <c r="U93" s="1781"/>
      <c r="V93" s="1779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744"/>
      <c r="B94" s="1804"/>
      <c r="C94" s="1805"/>
      <c r="D94" s="451" t="s">
        <v>792</v>
      </c>
      <c r="E94" s="1774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774"/>
      <c r="O94" s="1134"/>
      <c r="P94" s="1782">
        <f>'Milling Down Time Hours'!M99</f>
        <v>0</v>
      </c>
      <c r="Q94" s="1204"/>
      <c r="R94" s="1782">
        <f>'Milling Down Time Hours'!L99</f>
        <v>1</v>
      </c>
      <c r="S94" s="451"/>
      <c r="T94" s="1780" t="e">
        <f>SUM(#REF!)</f>
        <v>#REF!</v>
      </c>
      <c r="U94" s="1780" t="e">
        <f t="shared" ref="U94:V94" si="74">SUM(T94:T96)</f>
        <v>#REF!</v>
      </c>
      <c r="V94" s="1778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744"/>
      <c r="B95" s="1804"/>
      <c r="C95" s="1805"/>
      <c r="D95" s="451" t="s">
        <v>792</v>
      </c>
      <c r="E95" s="1774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774"/>
      <c r="O95" s="1134"/>
      <c r="P95" s="1783"/>
      <c r="Q95" s="1201"/>
      <c r="R95" s="1783"/>
      <c r="S95" s="451"/>
      <c r="T95" s="1781"/>
      <c r="U95" s="1781"/>
      <c r="V95" s="1779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744"/>
      <c r="B96" s="1804"/>
      <c r="C96" s="1805"/>
      <c r="D96" s="451" t="s">
        <v>792</v>
      </c>
      <c r="E96" s="1774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774"/>
      <c r="O96" s="1134"/>
      <c r="P96" s="1782">
        <f>'Milling Down Time Hours'!M101</f>
        <v>0</v>
      </c>
      <c r="Q96" s="1204"/>
      <c r="R96" s="1782">
        <f>'Milling Down Time Hours'!L101</f>
        <v>0.67013888888888884</v>
      </c>
      <c r="S96" s="451"/>
      <c r="T96" s="1780" t="e">
        <f>SUM(#REF!)</f>
        <v>#REF!</v>
      </c>
      <c r="U96" s="1780" t="e">
        <f>SUM(T96:T157)</f>
        <v>#REF!</v>
      </c>
      <c r="V96" s="1778" t="e">
        <f>SUM(U96:U157)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744"/>
      <c r="B97" s="1804"/>
      <c r="C97" s="1805"/>
      <c r="D97" s="451" t="s">
        <v>792</v>
      </c>
      <c r="E97" s="1774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774"/>
      <c r="O97" s="1207"/>
      <c r="P97" s="1736"/>
      <c r="Q97" s="1195"/>
      <c r="R97" s="1737"/>
      <c r="S97" s="1205"/>
      <c r="T97" s="1795"/>
      <c r="U97" s="1795"/>
      <c r="V97" s="1796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744"/>
      <c r="B98" s="1754"/>
      <c r="C98" s="1755"/>
      <c r="D98" s="451" t="s">
        <v>792</v>
      </c>
      <c r="E98" s="1775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>H98*K98*G98</f>
        <v>86.128674587999981</v>
      </c>
      <c r="N98" s="1775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735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744"/>
      <c r="B99" s="1752">
        <v>46302</v>
      </c>
      <c r="C99" s="1753"/>
      <c r="D99" s="451" t="s">
        <v>792</v>
      </c>
      <c r="E99" s="1789" t="s">
        <v>785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735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774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744"/>
      <c r="B100" s="1754"/>
      <c r="C100" s="1755"/>
      <c r="D100" s="451" t="s">
        <v>792</v>
      </c>
      <c r="E100" s="1775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737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774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744"/>
      <c r="B101" s="1790">
        <v>46303</v>
      </c>
      <c r="C101" s="1791"/>
      <c r="D101" s="451" t="s">
        <v>792</v>
      </c>
      <c r="E101" s="451" t="s">
        <v>786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735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775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761">
        <v>15</v>
      </c>
      <c r="B102" s="1766">
        <v>46303</v>
      </c>
      <c r="C102" s="1767"/>
      <c r="D102" s="667" t="s">
        <v>792</v>
      </c>
      <c r="E102" s="667" t="s">
        <v>787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737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776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761"/>
      <c r="B103" s="1766">
        <v>46304</v>
      </c>
      <c r="C103" s="1767"/>
      <c r="D103" s="667" t="s">
        <v>792</v>
      </c>
      <c r="E103" s="667" t="s">
        <v>787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776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788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761"/>
      <c r="B104" s="1768"/>
      <c r="C104" s="1769"/>
      <c r="D104" s="667" t="s">
        <v>792</v>
      </c>
      <c r="E104" s="667" t="s">
        <v>793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777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788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784">
        <v>46305</v>
      </c>
      <c r="C105" s="1785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776">
        <f>SUM(M105:M106)</f>
        <v>68.344232784000013</v>
      </c>
      <c r="O105" s="154"/>
      <c r="P105" s="154"/>
      <c r="Q105" s="154"/>
      <c r="R105" s="154"/>
      <c r="S105" s="1777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744">
        <v>16</v>
      </c>
      <c r="B106" s="1752">
        <v>46305</v>
      </c>
      <c r="C106" s="1753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777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735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744"/>
      <c r="B107" s="1752">
        <v>46306</v>
      </c>
      <c r="C107" s="1753"/>
      <c r="D107" s="451" t="s">
        <v>792</v>
      </c>
      <c r="E107" s="451" t="s">
        <v>794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735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736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744"/>
      <c r="B108" s="1754"/>
      <c r="C108" s="1755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737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736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744"/>
      <c r="B109" s="1752">
        <v>46307</v>
      </c>
      <c r="C109" s="1753"/>
      <c r="D109" s="451" t="s">
        <v>624</v>
      </c>
      <c r="E109" s="451" t="s">
        <v>799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735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737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750">
        <v>17</v>
      </c>
      <c r="B110" s="1746">
        <v>46307</v>
      </c>
      <c r="C110" s="1747"/>
      <c r="D110" s="1247" t="s">
        <v>792</v>
      </c>
      <c r="E110" s="1247" t="s">
        <v>800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737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786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4.4" customHeight="1" thickBot="1" x14ac:dyDescent="0.35">
      <c r="A111" s="1751"/>
      <c r="B111" s="1746">
        <v>46308</v>
      </c>
      <c r="C111" s="1747"/>
      <c r="D111" s="1247" t="s">
        <v>792</v>
      </c>
      <c r="E111" s="1247" t="s">
        <v>812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735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787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35">
      <c r="A112" s="1743">
        <v>18</v>
      </c>
      <c r="B112" s="1752">
        <v>46308</v>
      </c>
      <c r="C112" s="1753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737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735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6" ht="15" thickBot="1" x14ac:dyDescent="0.35">
      <c r="A113" s="1743"/>
      <c r="B113" s="1752">
        <v>46309</v>
      </c>
      <c r="C113" s="1753"/>
      <c r="D113" s="451" t="s">
        <v>792</v>
      </c>
      <c r="E113" s="451" t="s">
        <v>816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735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736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6" ht="15" thickBot="1" x14ac:dyDescent="0.35">
      <c r="A114" s="1743"/>
      <c r="B114" s="1754"/>
      <c r="C114" s="1755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737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737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6" ht="15" customHeight="1" thickBot="1" x14ac:dyDescent="0.35">
      <c r="A115" s="1758">
        <v>19</v>
      </c>
      <c r="B115" s="1746">
        <v>46310</v>
      </c>
      <c r="C115" s="1747"/>
      <c r="D115" s="1247" t="s">
        <v>792</v>
      </c>
      <c r="E115" s="1247" t="s">
        <v>820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 t="shared" ref="I115:I119" si="145"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723">
        <f>SUM(M115:M116)</f>
        <v>221.92203470399997</v>
      </c>
      <c r="O115" s="1250">
        <f t="shared" si="133"/>
        <v>9.1645142219999993</v>
      </c>
      <c r="P115" s="1250">
        <f t="shared" ref="P115:P119" si="146">Q115/60</f>
        <v>12</v>
      </c>
      <c r="Q115" s="1250">
        <f t="shared" ref="Q115:Q122" si="147">(720-R115)</f>
        <v>720</v>
      </c>
      <c r="R115" s="1250">
        <f>'Milling Down Time Hours'!G95</f>
        <v>0</v>
      </c>
      <c r="S115" s="1723">
        <f>SUM(M115:M117)</f>
        <v>338.65842009599987</v>
      </c>
      <c r="T115" s="1279">
        <f>AVERAGE('LF Ball Mill'!F211:F213)</f>
        <v>0.47333333333333333</v>
      </c>
      <c r="U115" s="1279">
        <f>AVERAGE('LF Ball Mill'!G211:G213)</f>
        <v>0.43333333333333335</v>
      </c>
      <c r="V115" s="1279">
        <f>AVERAGE('LF Ball Mill'!H211:H213)</f>
        <v>12.826666666666668</v>
      </c>
      <c r="W115" s="1253">
        <f t="shared" si="142"/>
        <v>52.054440780959993</v>
      </c>
      <c r="X115" s="1250">
        <f>M115*U115</f>
        <v>47.655473954399994</v>
      </c>
      <c r="Y115" s="1250">
        <f>M115*V115</f>
        <v>1410.6020290502399</v>
      </c>
      <c r="Z115" s="1254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6" ht="15" customHeight="1" thickBot="1" x14ac:dyDescent="0.35">
      <c r="A116" s="1758"/>
      <c r="B116" s="1756"/>
      <c r="C116" s="1757"/>
      <c r="D116" s="1247" t="s">
        <v>792</v>
      </c>
      <c r="E116" s="1247" t="s">
        <v>822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 t="shared" si="145"/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724"/>
      <c r="O116" s="1250">
        <f t="shared" si="133"/>
        <v>9.3289886699999993</v>
      </c>
      <c r="P116" s="1250">
        <f t="shared" si="146"/>
        <v>12</v>
      </c>
      <c r="Q116" s="1250">
        <f t="shared" si="147"/>
        <v>720</v>
      </c>
      <c r="R116" s="1250">
        <f>'Milling Down Time Hours'!G96</f>
        <v>0</v>
      </c>
      <c r="S116" s="1726"/>
      <c r="T116" s="1279">
        <f>AVERAGE('LF Ball Mill'!F214:F220)</f>
        <v>0.30685714285714288</v>
      </c>
      <c r="U116" s="1279">
        <f>AVERAGE('LF Ball Mill'!G214:G220)</f>
        <v>0.31142857142857139</v>
      </c>
      <c r="V116" s="1279">
        <f>AVERAGE('LF Ball Mill'!H214:H220)</f>
        <v>13.579142857142857</v>
      </c>
      <c r="W116" s="1253">
        <f t="shared" si="142"/>
        <v>34.352001708274287</v>
      </c>
      <c r="X116" s="1250">
        <f>M116*U116</f>
        <v>34.863763372457136</v>
      </c>
      <c r="Y116" s="1250">
        <f>M116*V116</f>
        <v>1520.1560383511655</v>
      </c>
      <c r="Z116" s="1254">
        <v>7.2</v>
      </c>
      <c r="AA116" s="446"/>
      <c r="AB116" s="925">
        <f t="shared" si="65"/>
        <v>85880004.270685717</v>
      </c>
    </row>
    <row r="117" spans="1:36" ht="15" thickBot="1" x14ac:dyDescent="0.35">
      <c r="A117" s="1758"/>
      <c r="B117" s="1746">
        <v>46311</v>
      </c>
      <c r="C117" s="1747"/>
      <c r="D117" s="1247" t="s">
        <v>792</v>
      </c>
      <c r="E117" s="1247" t="s">
        <v>842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 t="shared" si="145"/>
        <v>17.97492999999999</v>
      </c>
      <c r="J117" s="1250">
        <f t="shared" ref="J117:J122" si="148"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723">
        <f>SUM(M117:M118)</f>
        <v>326.39592284999986</v>
      </c>
      <c r="O117" s="1250">
        <f t="shared" ref="O117" si="149">M117/P117</f>
        <v>9.7280321159999925</v>
      </c>
      <c r="P117" s="1250">
        <f t="shared" si="146"/>
        <v>12</v>
      </c>
      <c r="Q117" s="1250">
        <f t="shared" si="147"/>
        <v>720</v>
      </c>
      <c r="R117" s="1250">
        <f>'Milling Down Time Hours'!G97</f>
        <v>0</v>
      </c>
      <c r="S117" s="1724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>
        <f t="shared" si="142"/>
        <v>44.159706931145102</v>
      </c>
      <c r="X117" s="1250">
        <f>M117*U117</f>
        <v>68.374168586742798</v>
      </c>
      <c r="Y117" s="1250">
        <f>M117*V117</f>
        <v>1612.8632538288398</v>
      </c>
      <c r="Z117" s="1254">
        <f>(1.2*8)</f>
        <v>9.6</v>
      </c>
      <c r="AA117" s="446"/>
      <c r="AB117" s="925">
        <f t="shared" si="65"/>
        <v>110399267.32786275</v>
      </c>
    </row>
    <row r="118" spans="1:36" ht="15" thickBot="1" x14ac:dyDescent="0.35">
      <c r="A118" s="1759">
        <v>20</v>
      </c>
      <c r="B118" s="1752">
        <v>46311</v>
      </c>
      <c r="C118" s="1753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1">
        <f>(J118*K118*G118)-'Au Cal Leaching Tank'!$U$27</f>
        <v>209.65953745799996</v>
      </c>
      <c r="N118" s="1724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735">
        <f>SUM(M118:M120)</f>
        <v>355.45059970199986</v>
      </c>
      <c r="T118" s="1114">
        <f>AVERAGE('LF Ball Mill'!F231:F240)</f>
        <v>0.63759999999999994</v>
      </c>
      <c r="U118" s="1114">
        <f>AVERAGE('LF Ball Mill'!G231:G240)</f>
        <v>0.53999999999999992</v>
      </c>
      <c r="V118" s="1114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6" ht="15" thickBot="1" x14ac:dyDescent="0.35">
      <c r="A119" s="1759"/>
      <c r="B119" s="1752">
        <v>46312</v>
      </c>
      <c r="C119" s="1753"/>
      <c r="D119" s="451" t="s">
        <v>792</v>
      </c>
      <c r="E119" s="451" t="s">
        <v>860</v>
      </c>
      <c r="F119" s="1030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(J119*K119*G119)-'Au Cal Leaching Tank'!$U$27-SUM(M118)</f>
        <v>22.421927681999932</v>
      </c>
      <c r="N119" s="1735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736"/>
      <c r="T119" s="1114">
        <f>AVERAGE('LF Ball Mill'!F241:F243)</f>
        <v>0.66933333333333334</v>
      </c>
      <c r="U119" s="1114">
        <f>AVERAGE('LF Ball Mill'!G241:G243)</f>
        <v>0.55333333333333334</v>
      </c>
      <c r="V119" s="1114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6" ht="15" thickBot="1" x14ac:dyDescent="0.35">
      <c r="A120" s="1759"/>
      <c r="B120" s="1754"/>
      <c r="C120" s="1755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4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1">
        <f>(J120*K120*G120)-'Au Cal Leaching Tank'!$U$27-SUM(M118:M119)</f>
        <v>123.36913456199997</v>
      </c>
      <c r="N120" s="1737"/>
      <c r="O120" s="931">
        <f t="shared" ref="O120:O124" si="156">M120/P120</f>
        <v>10.280761213499998</v>
      </c>
      <c r="P120" s="931">
        <f t="shared" ref="P120:P124" si="157">Q120/60</f>
        <v>12</v>
      </c>
      <c r="Q120" s="931">
        <f t="shared" si="147"/>
        <v>720</v>
      </c>
      <c r="R120" s="931">
        <f>'Milling Down Time Hours'!G100</f>
        <v>0</v>
      </c>
      <c r="S120" s="1737"/>
      <c r="T120" s="1114">
        <f>AVERAGE('LF Ball Mill'!F244:F248)</f>
        <v>0.73860000000000003</v>
      </c>
      <c r="U120" s="1114">
        <f>AVERAGE('LF Ball Mill'!G244:G248)</f>
        <v>0.54800000000000004</v>
      </c>
      <c r="V120" s="1114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6" ht="15" customHeight="1" thickBot="1" x14ac:dyDescent="0.35">
      <c r="A121" s="1760">
        <v>21</v>
      </c>
      <c r="B121" s="1746">
        <v>46313</v>
      </c>
      <c r="C121" s="1747"/>
      <c r="D121" s="1247" t="s">
        <v>792</v>
      </c>
      <c r="E121" s="1247" t="s">
        <v>898</v>
      </c>
      <c r="F121" s="1260" t="s">
        <v>12</v>
      </c>
      <c r="G121" s="1257">
        <v>0.41</v>
      </c>
      <c r="H121" s="1258">
        <f>J121-'Au Cal Leaching Tank'!$T$27</f>
        <v>251.49859999999995</v>
      </c>
      <c r="I121" s="1250">
        <f t="shared" si="155"/>
        <v>23.038039694656486</v>
      </c>
      <c r="J121" s="1250">
        <f>3.14*Z121*((10.7/2)^2)</f>
        <v>359.49859999999995</v>
      </c>
      <c r="K121" s="1261">
        <v>1.27</v>
      </c>
      <c r="L121" s="1257">
        <v>0.75</v>
      </c>
      <c r="M121" s="1251">
        <f>(J121*K121*G121)-'Au Cal Leaching Tank'!$U$28</f>
        <v>141.07492101999998</v>
      </c>
      <c r="N121" s="1723">
        <f>SUM(M121:M122)</f>
        <v>155.19602602800001</v>
      </c>
      <c r="O121" s="1250">
        <f t="shared" si="156"/>
        <v>12.922893528549617</v>
      </c>
      <c r="P121" s="1250">
        <f t="shared" si="157"/>
        <v>10.916666666666666</v>
      </c>
      <c r="Q121" s="1250">
        <f t="shared" ref="Q121" si="161">(720-R121)</f>
        <v>655</v>
      </c>
      <c r="R121" s="1250">
        <f>'Milling Down Time Hours'!G101</f>
        <v>65</v>
      </c>
      <c r="S121" s="1723">
        <f>SUM(M121:M124)</f>
        <v>300.25371112799991</v>
      </c>
      <c r="T121" s="1279">
        <f>AVERAGE('LF Ball Mill'!F255:F257)</f>
        <v>0.34800000000000003</v>
      </c>
      <c r="U121" s="1279">
        <f>AVERAGE('LF Ball Mill'!G255:G257)</f>
        <v>0.20499999999999999</v>
      </c>
      <c r="V121" s="1279">
        <f>AVERAGE('LF Ball Mill'!H255:H257)</f>
        <v>8.2569999999999997</v>
      </c>
      <c r="W121" s="1253">
        <f t="shared" ref="W121" si="162">T121*M121</f>
        <v>49.094072514959997</v>
      </c>
      <c r="X121" s="1250">
        <f t="shared" ref="X121" si="163">M121*U121</f>
        <v>28.920358809099994</v>
      </c>
      <c r="Y121" s="1250">
        <f t="shared" ref="Y121" si="164">M121*V121</f>
        <v>1164.8556228621399</v>
      </c>
      <c r="Z121" s="1254">
        <v>4</v>
      </c>
      <c r="AA121" s="446">
        <f>(1.2*3)+0.4</f>
        <v>3.9999999999999996</v>
      </c>
      <c r="AB121" s="925">
        <f t="shared" si="65"/>
        <v>122735181.28739999</v>
      </c>
    </row>
    <row r="122" spans="1:36" ht="15.6" customHeight="1" thickBot="1" x14ac:dyDescent="0.35">
      <c r="A122" s="1760"/>
      <c r="B122" s="1756"/>
      <c r="C122" s="1757"/>
      <c r="D122" s="1247" t="s">
        <v>792</v>
      </c>
      <c r="E122" s="1247" t="s">
        <v>897</v>
      </c>
      <c r="F122" s="1249" t="s">
        <v>13</v>
      </c>
      <c r="G122" s="1257">
        <v>0.34</v>
      </c>
      <c r="H122" s="1258">
        <f>J122-'Au Cal Leaching Tank'!$T$27-SUM(H121)</f>
        <v>125.82451000000003</v>
      </c>
      <c r="I122" s="1250">
        <f t="shared" si="155"/>
        <v>24.35313096774194</v>
      </c>
      <c r="J122" s="1250">
        <f t="shared" si="148"/>
        <v>485.32310999999999</v>
      </c>
      <c r="K122" s="1261">
        <v>1.22</v>
      </c>
      <c r="L122" s="1257">
        <v>0.75</v>
      </c>
      <c r="M122" s="1251">
        <f>(J122*K122*G122)-'Au Cal Leaching Tank'!$U$28-SUM(M121)</f>
        <v>14.121105008000029</v>
      </c>
      <c r="N122" s="1724"/>
      <c r="O122" s="1250">
        <f t="shared" si="156"/>
        <v>2.7331170983225861</v>
      </c>
      <c r="P122" s="1250">
        <f t="shared" si="157"/>
        <v>5.166666666666667</v>
      </c>
      <c r="Q122" s="1250">
        <f t="shared" si="147"/>
        <v>310</v>
      </c>
      <c r="R122" s="1250">
        <f>'Milling Down Time Hours'!G102</f>
        <v>410</v>
      </c>
      <c r="S122" s="1726"/>
      <c r="T122" s="1279">
        <f>AVERAGE('LF Ball Mill'!F260:F262)</f>
        <v>0.41233333333333338</v>
      </c>
      <c r="U122" s="1279">
        <f>AVERAGE('LF Ball Mill'!G260:G262)</f>
        <v>0.26133333333333331</v>
      </c>
      <c r="V122" s="1279">
        <f>AVERAGE('LF Ball Mill'!H260:H262)</f>
        <v>9.9556666666666658</v>
      </c>
      <c r="W122" s="1253">
        <f t="shared" ref="W122:W124" si="165">T122*M122</f>
        <v>5.8226022982986798</v>
      </c>
      <c r="X122" s="1250">
        <f t="shared" ref="X122" si="166">M122*U122</f>
        <v>3.6903154420906739</v>
      </c>
      <c r="Y122" s="1250">
        <f t="shared" ref="Y122" si="167">M122*V122</f>
        <v>140.58501442464561</v>
      </c>
      <c r="Z122" s="1254">
        <v>5.4</v>
      </c>
      <c r="AA122" s="446"/>
      <c r="AB122" s="1248"/>
    </row>
    <row r="123" spans="1:36" ht="15" thickBot="1" x14ac:dyDescent="0.35">
      <c r="A123" s="1760"/>
      <c r="B123" s="1746">
        <v>46314</v>
      </c>
      <c r="C123" s="1747"/>
      <c r="D123" s="1247" t="s">
        <v>792</v>
      </c>
      <c r="E123" s="1247" t="s">
        <v>897</v>
      </c>
      <c r="F123" s="1260" t="s">
        <v>12</v>
      </c>
      <c r="G123" s="1257">
        <v>0.39</v>
      </c>
      <c r="H123" s="1258">
        <f>J123-'Au Cal Leaching Tank'!$T$27-SUM(H121:H122)</f>
        <v>134.8119749999999</v>
      </c>
      <c r="I123" s="1250">
        <f t="shared" si="155"/>
        <v>12.818888272583191</v>
      </c>
      <c r="J123" s="1250">
        <f t="shared" ref="J123" si="168">3.14*Z123*((10.7/2)^2)</f>
        <v>620.13508499999989</v>
      </c>
      <c r="K123" s="1261">
        <v>1.26</v>
      </c>
      <c r="L123" s="1257">
        <v>0.8</v>
      </c>
      <c r="M123" s="1251">
        <f>(J123*K123*G123)-'Au Cal Leaching Tank'!$U$28-SUM(M121:M122)</f>
        <v>103.42235474099999</v>
      </c>
      <c r="N123" s="1723">
        <f>SUM(M123:M124)</f>
        <v>145.0576850999999</v>
      </c>
      <c r="O123" s="1250">
        <f t="shared" si="156"/>
        <v>9.8341383271949265</v>
      </c>
      <c r="P123" s="1250">
        <f t="shared" si="157"/>
        <v>10.516666666666667</v>
      </c>
      <c r="Q123" s="1250">
        <f t="shared" ref="Q123:Q124" si="169">(720-R123)</f>
        <v>631</v>
      </c>
      <c r="R123" s="1250">
        <f>'Milling Down Time Hours'!G103</f>
        <v>89</v>
      </c>
      <c r="S123" s="1726"/>
      <c r="T123" s="1279">
        <f>AVERAGE('LF Ball Mill'!F267:F269)</f>
        <v>0.45766666666666667</v>
      </c>
      <c r="U123" s="1279">
        <f>AVERAGE('LF Ball Mill'!G267:G269)</f>
        <v>0.6166666666666667</v>
      </c>
      <c r="V123" s="1279">
        <f>AVERAGE('LF Ball Mill'!H267:H269)</f>
        <v>12.743333333333334</v>
      </c>
      <c r="W123" s="1253">
        <f t="shared" si="165"/>
        <v>47.332964353130997</v>
      </c>
      <c r="X123" s="1250">
        <f t="shared" ref="X123" si="170">M123*U123</f>
        <v>63.777118756949996</v>
      </c>
      <c r="Y123" s="1250">
        <f t="shared" ref="Y123" si="171">M123*V123</f>
        <v>1317.9455405828101</v>
      </c>
      <c r="Z123" s="1254">
        <f>(1.2*5)+0.9</f>
        <v>6.9</v>
      </c>
      <c r="AA123" s="446"/>
      <c r="AB123" s="1248"/>
    </row>
    <row r="124" spans="1:36" ht="15" thickBot="1" x14ac:dyDescent="0.35">
      <c r="A124" s="1760"/>
      <c r="B124" s="1756"/>
      <c r="C124" s="1757"/>
      <c r="D124" s="1247" t="s">
        <v>792</v>
      </c>
      <c r="E124" s="1247" t="s">
        <v>941</v>
      </c>
      <c r="F124" s="1249" t="s">
        <v>13</v>
      </c>
      <c r="G124" s="1257">
        <v>0.37</v>
      </c>
      <c r="H124" s="1258">
        <f>J124-'Au Cal Leaching Tank'!$T$26</f>
        <v>646.94705999999985</v>
      </c>
      <c r="I124" s="1250">
        <f t="shared" si="155"/>
        <v>53.912254999999988</v>
      </c>
      <c r="J124" s="1250">
        <f t="shared" ref="J124:J128" si="172">3.14*Z124*((10.7/2)^2)</f>
        <v>754.94705999999985</v>
      </c>
      <c r="K124" s="1261">
        <v>1.24</v>
      </c>
      <c r="L124" s="1257">
        <v>0.8</v>
      </c>
      <c r="M124" s="1251">
        <f>(J124*K124*G124)-'Au Cal Leaching Tank'!$U$28-SUM(M121:M123)</f>
        <v>41.635330358999909</v>
      </c>
      <c r="N124" s="1724"/>
      <c r="O124" s="1250">
        <f t="shared" si="156"/>
        <v>3.4696108632499922</v>
      </c>
      <c r="P124" s="1250">
        <f t="shared" si="157"/>
        <v>12</v>
      </c>
      <c r="Q124" s="1250">
        <f t="shared" si="169"/>
        <v>720</v>
      </c>
      <c r="R124" s="1250">
        <f>'Milling Down Time Hours'!G105</f>
        <v>0</v>
      </c>
      <c r="S124" s="1724"/>
      <c r="T124" s="1279">
        <f>AVERAGE('LF Ball Mill'!F273:F275)</f>
        <v>0.47733333333333333</v>
      </c>
      <c r="U124" s="1279">
        <f>AVERAGE('LF Ball Mill'!G273:G275)</f>
        <v>0.53666666666666663</v>
      </c>
      <c r="V124" s="1279">
        <f>AVERAGE('LF Ball Mill'!H273:H275)</f>
        <v>14.566666666666668</v>
      </c>
      <c r="W124" s="1253">
        <f t="shared" si="165"/>
        <v>19.873931024695956</v>
      </c>
      <c r="X124" s="1250">
        <f t="shared" ref="X124" si="173">M124*U124</f>
        <v>22.344293959329949</v>
      </c>
      <c r="Y124" s="1250">
        <f t="shared" ref="Y124" si="174">M124*V124</f>
        <v>606.48797889609875</v>
      </c>
      <c r="Z124" s="1254">
        <v>8.4</v>
      </c>
      <c r="AA124" s="446"/>
      <c r="AB124" s="1248"/>
    </row>
    <row r="125" spans="1:36" s="951" customFormat="1" ht="15" thickBot="1" x14ac:dyDescent="0.35">
      <c r="A125" s="1744">
        <v>22</v>
      </c>
      <c r="B125" s="1752">
        <v>46315</v>
      </c>
      <c r="C125" s="1753"/>
      <c r="D125" s="450" t="s">
        <v>792</v>
      </c>
      <c r="E125" s="451" t="s">
        <v>951</v>
      </c>
      <c r="F125" s="1030" t="s">
        <v>12</v>
      </c>
      <c r="G125" s="934">
        <v>0.36</v>
      </c>
      <c r="H125" s="673">
        <f>J125-'Au Cal Leaching Tank'!$T$26</f>
        <v>566.05987499999981</v>
      </c>
      <c r="I125" s="931">
        <f t="shared" ref="I125:I129" si="175">H125/P125</f>
        <v>47.171656249999984</v>
      </c>
      <c r="J125" s="931">
        <f>3.14*Z125*((10.7/2)^2)</f>
        <v>674.05987499999981</v>
      </c>
      <c r="K125" s="450">
        <v>1.24</v>
      </c>
      <c r="L125" s="934">
        <v>0.8</v>
      </c>
      <c r="M125" s="1031">
        <f>(J125*K125*G125)-'Au Cal Leaching Tank'!$U$29</f>
        <v>254.40632819999993</v>
      </c>
      <c r="N125" s="1735">
        <f>SUM(M125:M126)</f>
        <v>278.51070932999994</v>
      </c>
      <c r="O125" s="931">
        <f>M125/P125</f>
        <v>21.200527349999994</v>
      </c>
      <c r="P125" s="931">
        <f>Q125/60</f>
        <v>12</v>
      </c>
      <c r="Q125" s="931">
        <f>(720-R125)</f>
        <v>720</v>
      </c>
      <c r="R125" s="931">
        <f>'[1]Milling Down Time Hours'!G107</f>
        <v>0</v>
      </c>
      <c r="S125" s="1735">
        <f>SUM(M125:M126)</f>
        <v>278.51070932999994</v>
      </c>
      <c r="T125" s="1114">
        <f>AVERAGE('LF Ball Mill'!F276:F280)</f>
        <v>0.45779999999999993</v>
      </c>
      <c r="U125" s="1114">
        <f>AVERAGE('LF Ball Mill'!G276:G280)</f>
        <v>0.41600000000000004</v>
      </c>
      <c r="V125" s="1114">
        <f>AVERAGE('LF Ball Mill'!H276:H280)</f>
        <v>16.642000000000003</v>
      </c>
      <c r="W125" s="976">
        <f t="shared" ref="W125:W130" si="176">T125*M125</f>
        <v>116.46721704995996</v>
      </c>
      <c r="X125" s="931">
        <f>M125*U125</f>
        <v>105.83303253119998</v>
      </c>
      <c r="Y125" s="931">
        <f>M125*V125</f>
        <v>4233.8301139043997</v>
      </c>
      <c r="Z125" s="977">
        <f>(1.2*6)+0.3</f>
        <v>7.4999999999999991</v>
      </c>
      <c r="AA125" s="446"/>
      <c r="AB125" s="1248"/>
      <c r="AC125" s="446"/>
      <c r="AD125" s="446"/>
      <c r="AE125" s="446"/>
      <c r="AF125" s="446"/>
      <c r="AG125" s="446"/>
      <c r="AH125" s="446"/>
      <c r="AI125" s="446"/>
      <c r="AJ125" s="446"/>
    </row>
    <row r="126" spans="1:36" s="951" customFormat="1" ht="15" thickBot="1" x14ac:dyDescent="0.35">
      <c r="A126" s="1744"/>
      <c r="B126" s="1754"/>
      <c r="C126" s="1755"/>
      <c r="D126" s="450" t="s">
        <v>792</v>
      </c>
      <c r="E126" s="451" t="s">
        <v>938</v>
      </c>
      <c r="F126" s="944" t="s">
        <v>13</v>
      </c>
      <c r="G126" s="934">
        <v>0.35</v>
      </c>
      <c r="H126" s="673">
        <f>J126-'Au Cal Leaching Tank'!$T$26-SUM(H125)</f>
        <v>80.887185000000045</v>
      </c>
      <c r="I126" s="931">
        <f t="shared" si="175"/>
        <v>10.550502391304354</v>
      </c>
      <c r="J126" s="931">
        <f>3.14*Z126*((10.7/2)^2)</f>
        <v>754.94705999999985</v>
      </c>
      <c r="K126" s="450">
        <v>1.23</v>
      </c>
      <c r="L126" s="934">
        <v>0.83</v>
      </c>
      <c r="M126" s="1031">
        <f>(J126*K126*G126)-'Au Cal Leaching Tank'!$U$29-SUM(M125:M125)</f>
        <v>24.104381130000007</v>
      </c>
      <c r="N126" s="1737"/>
      <c r="O126" s="931">
        <f>M126/P126</f>
        <v>3.1440497126086968</v>
      </c>
      <c r="P126" s="931">
        <f>Q126/60</f>
        <v>7.6666666666666661</v>
      </c>
      <c r="Q126" s="931">
        <f>(720-R126)</f>
        <v>459.99999999999994</v>
      </c>
      <c r="R126" s="931">
        <f>'Milling Down Time Hours'!G107</f>
        <v>260.00000000000006</v>
      </c>
      <c r="S126" s="1737"/>
      <c r="T126" s="1114">
        <f>AVERAGE('LF Ball Mill'!F281:F289)</f>
        <v>0.53322222222222215</v>
      </c>
      <c r="U126" s="1114">
        <f>AVERAGE('LF Ball Mill'!G281:G289)</f>
        <v>0.50111111111111117</v>
      </c>
      <c r="V126" s="1114">
        <f>AVERAGE('LF Ball Mill'!H281:H289)</f>
        <v>13.812222222222223</v>
      </c>
      <c r="W126" s="976">
        <f t="shared" si="176"/>
        <v>12.852991671430003</v>
      </c>
      <c r="X126" s="931">
        <f>M126*U126</f>
        <v>12.078973210700005</v>
      </c>
      <c r="Y126" s="931">
        <f>M126*V126</f>
        <v>332.93506869670011</v>
      </c>
      <c r="Z126" s="977">
        <v>8.4</v>
      </c>
      <c r="AA126" s="446"/>
      <c r="AB126" s="1248"/>
      <c r="AC126" s="446"/>
      <c r="AD126" s="446"/>
      <c r="AE126" s="446"/>
      <c r="AF126" s="446"/>
      <c r="AG126" s="446"/>
      <c r="AH126" s="446"/>
      <c r="AI126" s="446"/>
      <c r="AJ126" s="446"/>
    </row>
    <row r="127" spans="1:36" ht="15" thickBot="1" x14ac:dyDescent="0.35">
      <c r="A127" s="1745">
        <v>23</v>
      </c>
      <c r="B127" s="1746">
        <v>46316</v>
      </c>
      <c r="C127" s="1747"/>
      <c r="D127" s="1247" t="s">
        <v>792</v>
      </c>
      <c r="E127" s="1247" t="s">
        <v>952</v>
      </c>
      <c r="F127" s="1260" t="s">
        <v>12</v>
      </c>
      <c r="G127" s="1257">
        <v>0.38</v>
      </c>
      <c r="H127" s="1258">
        <f>J127-'Au Cal Leaching Tank'!$T$26</f>
        <v>404.28550499999994</v>
      </c>
      <c r="I127" s="1250">
        <f t="shared" si="175"/>
        <v>33.690458749999998</v>
      </c>
      <c r="J127" s="1250">
        <f t="shared" si="172"/>
        <v>512.28550499999994</v>
      </c>
      <c r="K127" s="1261">
        <v>1.25</v>
      </c>
      <c r="L127" s="1257">
        <v>0.8</v>
      </c>
      <c r="M127" s="1251">
        <f>(J127*K127*G127)-'Au Cal Leaching Tank'!$U$30</f>
        <v>196.84161487499998</v>
      </c>
      <c r="N127" s="1723">
        <f>SUM(M127:M128)</f>
        <v>226.72493599999999</v>
      </c>
      <c r="O127" s="1250">
        <f t="shared" ref="O127" si="177">M127/P127</f>
        <v>16.403467906249997</v>
      </c>
      <c r="P127" s="1250">
        <f t="shared" ref="P127" si="178">Q127/60</f>
        <v>12</v>
      </c>
      <c r="Q127" s="1250">
        <f t="shared" ref="Q127" si="179">(720-R127)</f>
        <v>720</v>
      </c>
      <c r="R127" s="1250">
        <f>'Milling Down Time Hours'!G108</f>
        <v>0</v>
      </c>
      <c r="S127" s="1723">
        <f>SUM(M127:M129)</f>
        <v>290.51436758399996</v>
      </c>
      <c r="T127" s="1279">
        <f>AVERAGE('LF Ball Mill'!F290:F295)</f>
        <v>0.59416666666666662</v>
      </c>
      <c r="U127" s="1279">
        <f>AVERAGE('LF Ball Mill'!G290:G295)</f>
        <v>0.65333333333333343</v>
      </c>
      <c r="V127" s="1279">
        <f>AVERAGE('LF Ball Mill'!H290:H295)</f>
        <v>15.638333333333334</v>
      </c>
      <c r="W127" s="1253">
        <f t="shared" si="176"/>
        <v>116.95672617156248</v>
      </c>
      <c r="X127" s="1250">
        <f t="shared" ref="X127" si="180">M127*U127</f>
        <v>128.60318838500001</v>
      </c>
      <c r="Y127" s="1250">
        <f t="shared" ref="Y127" si="181">M127*V127</f>
        <v>3078.2747872868745</v>
      </c>
      <c r="Z127" s="1254">
        <f>(1.2*4)+0.9</f>
        <v>5.7</v>
      </c>
      <c r="AA127" s="446"/>
      <c r="AB127" s="1248"/>
    </row>
    <row r="128" spans="1:36" ht="15" thickBot="1" x14ac:dyDescent="0.35">
      <c r="A128" s="1745"/>
      <c r="B128" s="1748"/>
      <c r="C128" s="1749"/>
      <c r="D128" s="1247" t="s">
        <v>792</v>
      </c>
      <c r="E128" s="1370" t="s">
        <v>943</v>
      </c>
      <c r="F128" s="1249" t="s">
        <v>13</v>
      </c>
      <c r="G128" s="1371">
        <v>0.38</v>
      </c>
      <c r="H128" s="1258">
        <f>J128-'Au Cal Leaching Tank'!$T$26-SUM(H127)</f>
        <v>62.912255000000073</v>
      </c>
      <c r="I128" s="1250">
        <f t="shared" si="175"/>
        <v>8.9874650000000109</v>
      </c>
      <c r="J128" s="1250">
        <f t="shared" si="172"/>
        <v>575.19776000000002</v>
      </c>
      <c r="K128" s="1261">
        <v>1.25</v>
      </c>
      <c r="L128" s="1257">
        <v>0.8</v>
      </c>
      <c r="M128" s="1251">
        <f>(J128*K128*G128)-'Au Cal Leaching Tank'!$U$30-SUM(M127)</f>
        <v>29.883321125000009</v>
      </c>
      <c r="N128" s="1724"/>
      <c r="O128" s="1250">
        <f t="shared" ref="O128" si="182">M128/P128</f>
        <v>4.2690458750000015</v>
      </c>
      <c r="P128" s="1250">
        <f t="shared" ref="P128" si="183">Q128/60</f>
        <v>7</v>
      </c>
      <c r="Q128" s="1250">
        <f t="shared" ref="Q128" si="184">(720-R128)</f>
        <v>420</v>
      </c>
      <c r="R128" s="1250">
        <f>'Milling Down Time Hours'!G109</f>
        <v>300</v>
      </c>
      <c r="S128" s="1726"/>
      <c r="T128" s="1279">
        <f>AVERAGE('LF Ball Mill'!F296:F300)</f>
        <v>0.53339999999999999</v>
      </c>
      <c r="U128" s="1279">
        <f>AVERAGE('LF Ball Mill'!G296:G300)</f>
        <v>0.67880000000000007</v>
      </c>
      <c r="V128" s="1279">
        <f>AVERAGE('LF Ball Mill'!H296:H300)</f>
        <v>16.740000000000002</v>
      </c>
      <c r="W128" s="1253">
        <f t="shared" si="176"/>
        <v>15.939763488075004</v>
      </c>
      <c r="X128" s="1250">
        <f t="shared" ref="X128" si="185">M128*U128</f>
        <v>20.28479837965001</v>
      </c>
      <c r="Y128" s="1250">
        <f t="shared" ref="Y128" si="186">M128*V128</f>
        <v>500.24679563250021</v>
      </c>
      <c r="Z128" s="1254">
        <f>(1.2*5)+0.4</f>
        <v>6.4</v>
      </c>
      <c r="AA128" s="446"/>
      <c r="AB128" s="1248"/>
    </row>
    <row r="129" spans="1:28" ht="15" thickBot="1" x14ac:dyDescent="0.35">
      <c r="A129" s="1745"/>
      <c r="B129" s="1739">
        <v>46317</v>
      </c>
      <c r="C129" s="1734"/>
      <c r="D129" s="1247" t="s">
        <v>792</v>
      </c>
      <c r="E129" s="1247" t="s">
        <v>944</v>
      </c>
      <c r="F129" s="1254" t="s">
        <v>12</v>
      </c>
      <c r="G129" s="1257">
        <v>0.36</v>
      </c>
      <c r="H129" s="1258">
        <f>J129-'Au Cal Leaching Tank'!$T$26-SUM(H127:H128)</f>
        <v>179.74929999999983</v>
      </c>
      <c r="I129" s="1250">
        <f t="shared" si="175"/>
        <v>15.860232352941161</v>
      </c>
      <c r="J129" s="1250">
        <f>3.14*Z129*((10.7/2)^2)</f>
        <v>754.94705999999985</v>
      </c>
      <c r="K129" s="1261">
        <v>1.24</v>
      </c>
      <c r="L129" s="1257">
        <v>0.8</v>
      </c>
      <c r="M129" s="1251">
        <f>(J129*K129*G129)-'Au Cal Leaching Tank'!$U$30-SUM(M127:M128)</f>
        <v>63.789431583999971</v>
      </c>
      <c r="N129" s="1723">
        <f>SUM(M129:M130)</f>
        <v>201.88051422399994</v>
      </c>
      <c r="O129" s="1250">
        <f>M129/P129</f>
        <v>5.6284792574117617</v>
      </c>
      <c r="P129" s="1250">
        <f t="shared" ref="P129" si="187">Q129/60</f>
        <v>11.333333333333334</v>
      </c>
      <c r="Q129" s="1250">
        <f t="shared" ref="Q129" si="188">(720-R129)</f>
        <v>680</v>
      </c>
      <c r="R129" s="1250">
        <f>'Milling Down Time Hours'!G110</f>
        <v>40.000000000000014</v>
      </c>
      <c r="S129" s="1724"/>
      <c r="T129" s="1279">
        <f>AVERAGE('LF Ball Mill'!F301:F303)</f>
        <v>0.55966666666666665</v>
      </c>
      <c r="U129" s="1279">
        <f>AVERAGE('LF Ball Mill'!G301:G303)</f>
        <v>0.58666666666666656</v>
      </c>
      <c r="V129" s="1279">
        <f>AVERAGE('LF Ball Mill'!H301:H303)</f>
        <v>17.02</v>
      </c>
      <c r="W129" s="1253">
        <f t="shared" si="176"/>
        <v>35.700818543178649</v>
      </c>
      <c r="X129" s="1250">
        <f>M129*U129</f>
        <v>37.42313319594664</v>
      </c>
      <c r="Y129" s="1250">
        <f t="shared" ref="Y129" si="189">M129*V129</f>
        <v>1085.6961255596796</v>
      </c>
      <c r="Z129" s="1254">
        <f>(1.2*7)</f>
        <v>8.4</v>
      </c>
      <c r="AA129" s="446"/>
      <c r="AB129" s="1369"/>
    </row>
    <row r="130" spans="1:28" ht="19.8" customHeight="1" thickBot="1" x14ac:dyDescent="0.35">
      <c r="A130" s="1738">
        <v>24</v>
      </c>
      <c r="B130" s="1727">
        <v>46317</v>
      </c>
      <c r="C130" s="1728"/>
      <c r="D130" s="450" t="s">
        <v>792</v>
      </c>
      <c r="E130" s="451" t="s">
        <v>953</v>
      </c>
      <c r="F130" s="977" t="s">
        <v>13</v>
      </c>
      <c r="G130" s="934">
        <v>0.35</v>
      </c>
      <c r="H130" s="673">
        <f>J130-'Au Cal Leaching Tank'!$T$26</f>
        <v>323.3983199999999</v>
      </c>
      <c r="I130" s="931">
        <f>H130/P130</f>
        <v>26.94985999999999</v>
      </c>
      <c r="J130" s="931">
        <f>3.14*Z130*((10.7/2)^2)</f>
        <v>431.3983199999999</v>
      </c>
      <c r="K130" s="450">
        <v>1.22</v>
      </c>
      <c r="L130" s="934">
        <v>0.83</v>
      </c>
      <c r="M130" s="1031">
        <f>(J130*K130*G130)-'Au Cal Leaching Tank'!$U$31</f>
        <v>138.09108263999997</v>
      </c>
      <c r="N130" s="1724"/>
      <c r="O130" s="931">
        <f>M130/P130</f>
        <v>11.507590219999997</v>
      </c>
      <c r="P130" s="931">
        <f t="shared" ref="P130" si="190">Q130/60</f>
        <v>12</v>
      </c>
      <c r="Q130" s="931">
        <f t="shared" ref="Q130" si="191">(720-R130)</f>
        <v>720</v>
      </c>
      <c r="R130" s="931">
        <f>'Milling Down Time Hours'!G112</f>
        <v>0</v>
      </c>
      <c r="S130" s="1735">
        <f>SUM(M130:M132)</f>
        <v>300.25371112799991</v>
      </c>
      <c r="T130" s="1114">
        <f>AVERAGE('LF Ball Mill'!F299:F304)</f>
        <v>0.56416666666666659</v>
      </c>
      <c r="U130" s="1114">
        <f>AVERAGE('LF Ball Mill'!G299:G304)</f>
        <v>0.56666666666666665</v>
      </c>
      <c r="V130" s="1114">
        <f>AVERAGE('LF Ball Mill'!H299:H304)</f>
        <v>17.458333333333332</v>
      </c>
      <c r="W130" s="976">
        <f t="shared" si="176"/>
        <v>77.906385789399977</v>
      </c>
      <c r="X130" s="976">
        <f>U130*M130</f>
        <v>78.251613495999976</v>
      </c>
      <c r="Y130" s="931">
        <f>V130*M130</f>
        <v>2410.8401510899994</v>
      </c>
      <c r="Z130" s="977">
        <f>(1.2*4)</f>
        <v>4.8</v>
      </c>
      <c r="AA130" s="446"/>
      <c r="AB130" s="1369"/>
    </row>
    <row r="131" spans="1:28" ht="15" customHeight="1" thickBot="1" x14ac:dyDescent="0.35">
      <c r="A131" s="1738"/>
      <c r="B131" s="1727">
        <v>46318</v>
      </c>
      <c r="C131" s="1728"/>
      <c r="D131" s="450" t="s">
        <v>792</v>
      </c>
      <c r="E131" s="451" t="s">
        <v>957</v>
      </c>
      <c r="F131" s="977" t="s">
        <v>12</v>
      </c>
      <c r="G131" s="450"/>
      <c r="H131" s="451" t="s">
        <v>957</v>
      </c>
      <c r="I131" s="451" t="s">
        <v>957</v>
      </c>
      <c r="J131" s="931">
        <f t="shared" ref="J131" si="192">3.14*Z131*((10.7/2)^2)</f>
        <v>0</v>
      </c>
      <c r="K131" s="450"/>
      <c r="L131" s="450"/>
      <c r="M131" s="1031"/>
      <c r="N131" s="1735">
        <f>SUM(M131:M132)</f>
        <v>162.16262848799994</v>
      </c>
      <c r="O131" s="931">
        <f t="shared" ref="O131:O132" si="193">M131/P131</f>
        <v>0</v>
      </c>
      <c r="P131" s="931">
        <f t="shared" ref="P131" si="194">Q131/60</f>
        <v>4</v>
      </c>
      <c r="Q131" s="931">
        <f t="shared" ref="Q131:Q132" si="195">(720-R131)</f>
        <v>240</v>
      </c>
      <c r="R131" s="931">
        <f>'Milling Down Time Hours'!G113</f>
        <v>480</v>
      </c>
      <c r="S131" s="1736"/>
      <c r="T131" s="931"/>
      <c r="U131" s="931"/>
      <c r="V131" s="939"/>
      <c r="W131" s="976"/>
      <c r="X131" s="931"/>
      <c r="Y131" s="931"/>
      <c r="Z131" s="977"/>
      <c r="AA131" s="446"/>
      <c r="AB131" s="1369"/>
    </row>
    <row r="132" spans="1:28" ht="15" customHeight="1" thickBot="1" x14ac:dyDescent="0.35">
      <c r="A132" s="1738"/>
      <c r="B132" s="1727">
        <v>46318</v>
      </c>
      <c r="C132" s="1728"/>
      <c r="D132" s="450" t="s">
        <v>792</v>
      </c>
      <c r="E132" s="451" t="s">
        <v>954</v>
      </c>
      <c r="F132" s="977" t="s">
        <v>13</v>
      </c>
      <c r="G132" s="934">
        <v>0.37</v>
      </c>
      <c r="H132" s="673">
        <f>J132-'Au Cal Leaching Tank'!$T$26-SUM(H130:H131)</f>
        <v>323.54873999999995</v>
      </c>
      <c r="I132" s="931">
        <f>H132/P132</f>
        <v>33.998116287215403</v>
      </c>
      <c r="J132" s="931">
        <f>3.14*Z132*((10.7/2)^2)</f>
        <v>754.94705999999985</v>
      </c>
      <c r="K132" s="450">
        <v>1.24</v>
      </c>
      <c r="L132" s="934">
        <v>0.8</v>
      </c>
      <c r="M132" s="1031">
        <f>(J132*K132*G132)-'Au Cal Leaching Tank'!$U$31-SUM(M130)</f>
        <v>162.16262848799994</v>
      </c>
      <c r="N132" s="1737"/>
      <c r="O132" s="931">
        <f t="shared" si="193"/>
        <v>17.039855883152356</v>
      </c>
      <c r="P132" s="931">
        <f>Q132/60</f>
        <v>9.5166666666666675</v>
      </c>
      <c r="Q132" s="931">
        <f t="shared" si="195"/>
        <v>571</v>
      </c>
      <c r="R132" s="931">
        <f>'Milling Down Time Hours'!G114</f>
        <v>149</v>
      </c>
      <c r="S132" s="1737"/>
      <c r="T132" s="1114">
        <f>AVERAGE('LF Ball Mill'!F306:F308)</f>
        <v>0.75633333333333341</v>
      </c>
      <c r="U132" s="1114">
        <f>AVERAGE('LF Ball Mill'!G306:G308)</f>
        <v>0.70666666666666667</v>
      </c>
      <c r="V132" s="1114">
        <f>AVERAGE('LF Ball Mill'!H306:H308)</f>
        <v>13.100000000000001</v>
      </c>
      <c r="W132" s="976">
        <f>T132*M132</f>
        <v>122.64900134642397</v>
      </c>
      <c r="X132" s="931">
        <f>U132*M132</f>
        <v>114.59492413151996</v>
      </c>
      <c r="Y132" s="931">
        <f>V132*M132</f>
        <v>2124.3304331927993</v>
      </c>
      <c r="Z132" s="977">
        <f>1.2*7</f>
        <v>8.4</v>
      </c>
      <c r="AA132" s="446"/>
      <c r="AB132" s="1369"/>
    </row>
    <row r="133" spans="1:28" ht="15" customHeight="1" thickBot="1" x14ac:dyDescent="0.35">
      <c r="A133" s="1725">
        <v>25</v>
      </c>
      <c r="B133" s="1731">
        <v>46319</v>
      </c>
      <c r="C133" s="1732"/>
      <c r="D133" s="1247" t="s">
        <v>792</v>
      </c>
      <c r="E133" s="1247" t="s">
        <v>958</v>
      </c>
      <c r="F133" s="1254" t="s">
        <v>12</v>
      </c>
      <c r="G133" s="1257">
        <v>0.35</v>
      </c>
      <c r="H133" s="1258">
        <f>J133-'Au Cal Leaching Tank'!T32</f>
        <v>332.38578499999988</v>
      </c>
      <c r="I133" s="1250">
        <f>H133/P133</f>
        <v>27.698815416666658</v>
      </c>
      <c r="J133" s="1250">
        <f>3.14*Z133*((10.7/2)^2)</f>
        <v>440.38578499999988</v>
      </c>
      <c r="K133" s="1261">
        <v>1.23</v>
      </c>
      <c r="L133" s="1257">
        <v>0.74</v>
      </c>
      <c r="M133" s="1251">
        <f>(J133*K133*G133)-'Au Cal Leaching Tank'!U32</f>
        <v>141.37488044249992</v>
      </c>
      <c r="N133" s="1723">
        <f>SUM(M133:M134)</f>
        <v>216.60505040999996</v>
      </c>
      <c r="O133" s="1250">
        <f>M133/P133</f>
        <v>11.781240036874992</v>
      </c>
      <c r="P133" s="1250">
        <f>Q133/60</f>
        <v>12</v>
      </c>
      <c r="Q133" s="1250">
        <f t="shared" ref="Q133" si="196">(720-R133)</f>
        <v>720</v>
      </c>
      <c r="R133" s="1250">
        <f>'Milling Down Time Hours'!G115</f>
        <v>0</v>
      </c>
      <c r="S133" s="1723">
        <f>SUM(M133:M135)</f>
        <v>276.70404096999999</v>
      </c>
      <c r="T133" s="1250"/>
      <c r="U133" s="1250"/>
      <c r="V133" s="1252"/>
      <c r="W133" s="1253"/>
      <c r="X133" s="1250"/>
      <c r="Y133" s="1250"/>
      <c r="Z133" s="1254">
        <f>(1.2*4)+0.1</f>
        <v>4.8999999999999995</v>
      </c>
      <c r="AA133" s="446"/>
      <c r="AB133" s="1369"/>
    </row>
    <row r="134" spans="1:28" ht="15" customHeight="1" thickBot="1" x14ac:dyDescent="0.35">
      <c r="A134" s="1725"/>
      <c r="B134" s="1739">
        <v>46319</v>
      </c>
      <c r="C134" s="1734"/>
      <c r="D134" s="1247" t="s">
        <v>792</v>
      </c>
      <c r="E134" s="1247" t="s">
        <v>960</v>
      </c>
      <c r="F134" s="1254" t="s">
        <v>13</v>
      </c>
      <c r="G134" s="1257">
        <v>0.35</v>
      </c>
      <c r="H134" s="1258">
        <f>J134-'Au Cal Leaching Tank'!T33-SUM(H133)</f>
        <v>170.76183500000008</v>
      </c>
      <c r="I134" s="1250">
        <f>H134/P134</f>
        <v>14.230152916666674</v>
      </c>
      <c r="J134" s="1250">
        <f>3.14*Z134*((10.7/2)^2)</f>
        <v>611.14761999999996</v>
      </c>
      <c r="K134" s="1261">
        <v>1.23</v>
      </c>
      <c r="L134" s="1257">
        <v>0.8</v>
      </c>
      <c r="M134" s="1251">
        <f>(J134*K134*G134)-'Au Cal Leaching Tank'!U33-SUM(M133)</f>
        <v>75.230169967500046</v>
      </c>
      <c r="N134" s="1724"/>
      <c r="O134" s="1250">
        <f>M134/P134</f>
        <v>6.2691808306250039</v>
      </c>
      <c r="P134" s="1250">
        <f>Q134/60</f>
        <v>12</v>
      </c>
      <c r="Q134" s="1250">
        <f t="shared" ref="Q134" si="197">(720-R134)</f>
        <v>720</v>
      </c>
      <c r="R134" s="1250">
        <f>'Milling Down Time Hours'!G116</f>
        <v>0</v>
      </c>
      <c r="S134" s="1726"/>
      <c r="T134" s="1250"/>
      <c r="U134" s="1250"/>
      <c r="V134" s="1252"/>
      <c r="W134" s="1253"/>
      <c r="X134" s="1250"/>
      <c r="Y134" s="1250"/>
      <c r="Z134" s="1254">
        <f>(1.2*5)+0.8</f>
        <v>6.8</v>
      </c>
      <c r="AA134" s="446"/>
      <c r="AB134" s="1369"/>
    </row>
    <row r="135" spans="1:28" ht="15" customHeight="1" thickBot="1" x14ac:dyDescent="0.35">
      <c r="A135" s="1725"/>
      <c r="B135" s="1739">
        <v>46320</v>
      </c>
      <c r="C135" s="1734"/>
      <c r="D135" s="1247" t="s">
        <v>792</v>
      </c>
      <c r="E135" s="1247" t="s">
        <v>964</v>
      </c>
      <c r="F135" s="1254" t="s">
        <v>12</v>
      </c>
      <c r="G135" s="1257">
        <v>0.34</v>
      </c>
      <c r="H135" s="1258">
        <f>J135-'Au Cal Leaching Tank'!T34-SUM(H133:H134)</f>
        <v>152.78690499999993</v>
      </c>
      <c r="I135" s="1250">
        <f>H135/P135</f>
        <v>12.732242083333327</v>
      </c>
      <c r="J135" s="1250">
        <f>3.14*Z135*((10.7/2)^2)</f>
        <v>763.93452499999989</v>
      </c>
      <c r="K135" s="1261">
        <v>1.22</v>
      </c>
      <c r="L135" s="1257">
        <v>0.8</v>
      </c>
      <c r="M135" s="1251">
        <f>(J135*K135*G135)-'Au Cal Leaching Tank'!U34-SUM(M133:M134)</f>
        <v>60.098990560000033</v>
      </c>
      <c r="N135" s="1723">
        <f>SUM(M135:M136)</f>
        <v>240.445012174</v>
      </c>
      <c r="O135" s="1250">
        <f>M135/P135</f>
        <v>5.0082492133333361</v>
      </c>
      <c r="P135" s="1250">
        <f>Q135/60</f>
        <v>12</v>
      </c>
      <c r="Q135" s="1250">
        <f t="shared" ref="Q135" si="198">(720-R135)</f>
        <v>720</v>
      </c>
      <c r="R135" s="1250">
        <f>'Milling Down Time Hours'!G117</f>
        <v>0</v>
      </c>
      <c r="S135" s="1724"/>
      <c r="T135" s="1250"/>
      <c r="U135" s="1250"/>
      <c r="V135" s="1252"/>
      <c r="W135" s="1253"/>
      <c r="X135" s="1250"/>
      <c r="Y135" s="1250"/>
      <c r="Z135" s="1254">
        <f>(1.2*7)+0.1</f>
        <v>8.5</v>
      </c>
      <c r="AA135" s="446"/>
      <c r="AB135" s="1369"/>
    </row>
    <row r="136" spans="1:28" ht="15" customHeight="1" thickBot="1" x14ac:dyDescent="0.35">
      <c r="A136" s="1738">
        <v>26</v>
      </c>
      <c r="B136" s="1727">
        <v>46320</v>
      </c>
      <c r="C136" s="1728"/>
      <c r="D136" s="451" t="s">
        <v>792</v>
      </c>
      <c r="E136" s="451" t="s">
        <v>968</v>
      </c>
      <c r="F136" s="977" t="s">
        <v>13</v>
      </c>
      <c r="G136" s="934">
        <v>0.36</v>
      </c>
      <c r="H136" s="673">
        <f>J136-'Au Cal Leaching Tank'!T35</f>
        <v>404.28550499999994</v>
      </c>
      <c r="I136" s="931">
        <f>H136/P136</f>
        <v>53.904733999999991</v>
      </c>
      <c r="J136" s="931">
        <f>3.14*Z136*((10.7/2)^2)</f>
        <v>512.28550499999994</v>
      </c>
      <c r="K136" s="450">
        <v>1.23</v>
      </c>
      <c r="L136" s="934">
        <v>0.8</v>
      </c>
      <c r="M136" s="1031">
        <f>(J136*K136*G136)-'Au Cal Leaching Tank'!$U$33</f>
        <v>180.34602161399997</v>
      </c>
      <c r="N136" s="1724"/>
      <c r="O136" s="931">
        <f>M136/P136</f>
        <v>24.046136215199997</v>
      </c>
      <c r="P136" s="931">
        <f>Q136/60</f>
        <v>7.5</v>
      </c>
      <c r="Q136" s="931">
        <f t="shared" ref="Q136" si="199">(720-R136)</f>
        <v>450</v>
      </c>
      <c r="R136" s="931">
        <f>'Milling Down Time Hours'!G118</f>
        <v>270</v>
      </c>
      <c r="S136" s="1735">
        <f>SUM(M136:M138)</f>
        <v>297.85622774249998</v>
      </c>
      <c r="T136" s="931"/>
      <c r="U136" s="931"/>
      <c r="V136" s="939"/>
      <c r="W136" s="976"/>
      <c r="X136" s="931"/>
      <c r="Y136" s="931"/>
      <c r="Z136" s="977">
        <f>(1.2*4)+0.9</f>
        <v>5.7</v>
      </c>
      <c r="AA136" s="446"/>
      <c r="AB136" s="1369"/>
    </row>
    <row r="137" spans="1:28" ht="21" customHeight="1" thickBot="1" x14ac:dyDescent="0.35">
      <c r="A137" s="1738"/>
      <c r="B137" s="1727">
        <v>46321</v>
      </c>
      <c r="C137" s="1728"/>
      <c r="D137" s="1740" t="s">
        <v>972</v>
      </c>
      <c r="E137" s="1741"/>
      <c r="F137" s="977" t="s">
        <v>12</v>
      </c>
      <c r="G137" s="934"/>
      <c r="H137" s="451" t="s">
        <v>957</v>
      </c>
      <c r="I137" s="451" t="s">
        <v>957</v>
      </c>
      <c r="J137" s="931">
        <f t="shared" ref="J137" si="200">3.14*Z137*((10.7/2)^2)</f>
        <v>0</v>
      </c>
      <c r="K137" s="450"/>
      <c r="L137" s="934"/>
      <c r="M137" s="1031">
        <v>0</v>
      </c>
      <c r="N137" s="1735">
        <f>SUM(M137:M138)</f>
        <v>117.51020612850002</v>
      </c>
      <c r="O137" s="931">
        <v>0</v>
      </c>
      <c r="P137" s="931">
        <f t="shared" ref="P137:P138" si="201">Q137/60</f>
        <v>0</v>
      </c>
      <c r="Q137" s="931">
        <f t="shared" ref="Q137:Q138" si="202">(720-R137)</f>
        <v>0</v>
      </c>
      <c r="R137" s="931">
        <f>'Milling Down Time Hours'!G119</f>
        <v>720</v>
      </c>
      <c r="S137" s="1736"/>
      <c r="T137" s="931"/>
      <c r="U137" s="931"/>
      <c r="V137" s="939"/>
      <c r="W137" s="976"/>
      <c r="X137" s="931"/>
      <c r="Y137" s="931"/>
      <c r="Z137" s="977"/>
      <c r="AA137" s="446"/>
      <c r="AB137" s="1369"/>
    </row>
    <row r="138" spans="1:28" ht="15" customHeight="1" thickBot="1" x14ac:dyDescent="0.35">
      <c r="A138" s="1738"/>
      <c r="B138" s="1727">
        <v>46321</v>
      </c>
      <c r="C138" s="1728"/>
      <c r="D138" s="451" t="s">
        <v>792</v>
      </c>
      <c r="E138" s="451" t="s">
        <v>975</v>
      </c>
      <c r="F138" s="977" t="s">
        <v>13</v>
      </c>
      <c r="G138" s="934">
        <v>0.35</v>
      </c>
      <c r="H138" s="673">
        <f>J138-'Au Cal Leaching Tank'!T37-SUM(H136)</f>
        <v>287.59888000000001</v>
      </c>
      <c r="I138" s="931">
        <f>H138/P138</f>
        <v>23.966573333333333</v>
      </c>
      <c r="J138" s="931">
        <f>3.14*Z138*((10.7/2)^2)</f>
        <v>799.88438499999995</v>
      </c>
      <c r="K138" s="450">
        <v>1.23</v>
      </c>
      <c r="L138" s="934">
        <v>0.8</v>
      </c>
      <c r="M138" s="1031">
        <f>(J138*K138*G138)-'Au Cal Leaching Tank'!$U$33-SUM(M136)</f>
        <v>117.51020612850002</v>
      </c>
      <c r="N138" s="1737"/>
      <c r="O138" s="931">
        <f>M138/P138</f>
        <v>9.7925171773750019</v>
      </c>
      <c r="P138" s="931">
        <f t="shared" si="201"/>
        <v>12</v>
      </c>
      <c r="Q138" s="931">
        <f t="shared" si="202"/>
        <v>720</v>
      </c>
      <c r="R138" s="931">
        <f>'Milling Down Time Hours'!G120</f>
        <v>0</v>
      </c>
      <c r="S138" s="1737"/>
      <c r="T138" s="931"/>
      <c r="U138" s="931"/>
      <c r="V138" s="939"/>
      <c r="W138" s="976"/>
      <c r="X138" s="931"/>
      <c r="Y138" s="931"/>
      <c r="Z138" s="977">
        <f>(1.2*7)+0.5</f>
        <v>8.9</v>
      </c>
      <c r="AA138" s="446"/>
      <c r="AB138" s="1369"/>
    </row>
    <row r="139" spans="1:28" ht="15" customHeight="1" thickBot="1" x14ac:dyDescent="0.35">
      <c r="A139" s="1725">
        <v>27</v>
      </c>
      <c r="B139" s="1733" t="s">
        <v>980</v>
      </c>
      <c r="C139" s="1734"/>
      <c r="D139" s="1247" t="s">
        <v>792</v>
      </c>
      <c r="E139" s="1247" t="s">
        <v>987</v>
      </c>
      <c r="F139" s="1254" t="s">
        <v>12</v>
      </c>
      <c r="G139" s="1257">
        <v>0.36</v>
      </c>
      <c r="H139" s="1258">
        <f>J139-'Au Cal Leaching Tank'!$T$30</f>
        <v>287.4484599999999</v>
      </c>
      <c r="I139" s="1250">
        <f>H139/P139</f>
        <v>23.954038333333326</v>
      </c>
      <c r="J139" s="1250">
        <f>3.14*Z139*((10.7/2)^2)</f>
        <v>395.4484599999999</v>
      </c>
      <c r="K139" s="1261">
        <v>1.24</v>
      </c>
      <c r="L139" s="1257">
        <v>0.78</v>
      </c>
      <c r="M139" s="1251">
        <f>(J139*K139*G139)-'Au Cal Leaching Tank'!$U$34</f>
        <v>136.35219254399996</v>
      </c>
      <c r="N139" s="1723">
        <f>SUM(M139:M140)</f>
        <v>203.15961487499999</v>
      </c>
      <c r="O139" s="1250">
        <f>M139/P139</f>
        <v>11.362682711999996</v>
      </c>
      <c r="P139" s="1250">
        <f t="shared" ref="P139" si="203">Q139/60</f>
        <v>12</v>
      </c>
      <c r="Q139" s="1250">
        <f t="shared" ref="Q139" si="204">(720-R139)</f>
        <v>720</v>
      </c>
      <c r="R139" s="1250">
        <f>'Milling Down Time Hours'!G121</f>
        <v>0</v>
      </c>
      <c r="S139" s="1723">
        <f>SUM(M139:M142)</f>
        <v>298.83836977200002</v>
      </c>
      <c r="T139" s="1250"/>
      <c r="U139" s="1250"/>
      <c r="V139" s="1252"/>
      <c r="W139" s="1253"/>
      <c r="X139" s="1250"/>
      <c r="Y139" s="1250"/>
      <c r="Z139" s="1254">
        <f>(1.2*3)+0.8</f>
        <v>4.3999999999999995</v>
      </c>
      <c r="AA139" s="446"/>
      <c r="AB139" s="1369"/>
    </row>
    <row r="140" spans="1:28" ht="15" customHeight="1" thickBot="1" x14ac:dyDescent="0.35">
      <c r="A140" s="1725"/>
      <c r="B140" s="1733" t="s">
        <v>980</v>
      </c>
      <c r="C140" s="1742"/>
      <c r="D140" s="1247" t="s">
        <v>792</v>
      </c>
      <c r="E140" s="1247" t="s">
        <v>986</v>
      </c>
      <c r="F140" s="1254" t="s">
        <v>13</v>
      </c>
      <c r="G140" s="1257">
        <v>0.38</v>
      </c>
      <c r="H140" s="1258">
        <f>J140-'Au Cal Leaching Tank'!$T$30-SUM(H139)</f>
        <v>116.83704500000005</v>
      </c>
      <c r="I140" s="1250">
        <f>H140/P140</f>
        <v>9.7364204166666699</v>
      </c>
      <c r="J140" s="1250">
        <f>3.14*Z140*((10.7/2)^2)</f>
        <v>512.28550499999994</v>
      </c>
      <c r="K140" s="1261">
        <v>1.25</v>
      </c>
      <c r="L140" s="1257">
        <v>0.79</v>
      </c>
      <c r="M140" s="1251">
        <f>(J140*K140*G140)-'Au Cal Leaching Tank'!$U$34-SUM(M139)</f>
        <v>66.807422331000026</v>
      </c>
      <c r="N140" s="1724"/>
      <c r="O140" s="1250">
        <f>M140/P140</f>
        <v>5.5672851942500019</v>
      </c>
      <c r="P140" s="1250">
        <f t="shared" ref="P140" si="205">Q140/60</f>
        <v>12</v>
      </c>
      <c r="Q140" s="1250">
        <f t="shared" ref="Q140" si="206">(720-R140)</f>
        <v>720</v>
      </c>
      <c r="R140" s="1250">
        <f>'Milling Down Time Hours'!G122</f>
        <v>0</v>
      </c>
      <c r="S140" s="1726"/>
      <c r="T140" s="1250"/>
      <c r="U140" s="1250"/>
      <c r="V140" s="1252"/>
      <c r="W140" s="1253"/>
      <c r="X140" s="1250"/>
      <c r="Y140" s="1250"/>
      <c r="Z140" s="1254">
        <f>(1.2*4)+0.9</f>
        <v>5.7</v>
      </c>
      <c r="AA140" s="446"/>
      <c r="AB140" s="1369"/>
    </row>
    <row r="141" spans="1:28" ht="15" customHeight="1" thickBot="1" x14ac:dyDescent="0.35">
      <c r="A141" s="1725"/>
      <c r="B141" s="1739">
        <v>46323</v>
      </c>
      <c r="C141" s="1734"/>
      <c r="D141" s="1247" t="s">
        <v>792</v>
      </c>
      <c r="E141" s="1247" t="s">
        <v>986</v>
      </c>
      <c r="F141" s="1254" t="s">
        <v>12</v>
      </c>
      <c r="G141" s="1257">
        <v>0.37</v>
      </c>
      <c r="H141" s="1258">
        <f>J141-'Au Cal Leaching Tank'!$T$30-SUM(H139:H140)</f>
        <v>224.68662499999982</v>
      </c>
      <c r="I141" s="1250">
        <f t="shared" ref="I141:I142" si="207">H141/P141</f>
        <v>21.398726190476175</v>
      </c>
      <c r="J141" s="1250">
        <f t="shared" ref="J141:J142" si="208">3.14*Z141*((10.7/2)^2)</f>
        <v>736.97212999999977</v>
      </c>
      <c r="K141" s="1261">
        <v>1.24</v>
      </c>
      <c r="L141" s="1257">
        <v>0.8</v>
      </c>
      <c r="M141" s="1251">
        <f>(J141*K141*G141)-'Au Cal Leaching Tank'!$U$34-SUM(M139:M140)</f>
        <v>94.787198368999952</v>
      </c>
      <c r="N141" s="1723">
        <f>SUM(M141:M142)</f>
        <v>95.678754897000033</v>
      </c>
      <c r="O141" s="1250">
        <f>M141/P141</f>
        <v>9.0273522256190439</v>
      </c>
      <c r="P141" s="1250">
        <f t="shared" ref="P141:P142" si="209">Q141/60</f>
        <v>10.5</v>
      </c>
      <c r="Q141" s="1250">
        <f t="shared" ref="Q141:Q142" si="210">(720-R141)</f>
        <v>630</v>
      </c>
      <c r="R141" s="1250">
        <f>'Milling Down Time Hours'!G123</f>
        <v>90</v>
      </c>
      <c r="S141" s="1726"/>
      <c r="T141" s="1250"/>
      <c r="U141" s="1250"/>
      <c r="V141" s="1252"/>
      <c r="W141" s="1253"/>
      <c r="X141" s="1250"/>
      <c r="Y141" s="1250"/>
      <c r="Z141" s="1254">
        <f>(1.2*6)+1</f>
        <v>8.1999999999999993</v>
      </c>
      <c r="AA141" s="446"/>
      <c r="AB141" s="1369"/>
    </row>
    <row r="142" spans="1:28" ht="15" customHeight="1" thickBot="1" x14ac:dyDescent="0.35">
      <c r="A142" s="1725"/>
      <c r="B142" s="1739">
        <v>46323</v>
      </c>
      <c r="C142" s="1734"/>
      <c r="D142" s="1247" t="s">
        <v>792</v>
      </c>
      <c r="E142" s="1247" t="s">
        <v>1002</v>
      </c>
      <c r="F142" s="1254" t="s">
        <v>13</v>
      </c>
      <c r="G142" s="1257">
        <v>0.36</v>
      </c>
      <c r="H142" s="1258">
        <f>J142-'Au Cal Leaching Tank'!$T$30-SUM(H139:H141)</f>
        <v>22.468662500000278</v>
      </c>
      <c r="I142" s="1250">
        <f t="shared" si="207"/>
        <v>1.8723885416666899</v>
      </c>
      <c r="J142" s="1250">
        <f t="shared" si="208"/>
        <v>759.44079250000004</v>
      </c>
      <c r="K142" s="1261">
        <v>1.24</v>
      </c>
      <c r="L142" s="1257">
        <v>0.8</v>
      </c>
      <c r="M142" s="1251">
        <f>(J142*K142*G142)-'Au Cal Leaching Tank'!$U$34-SUM(M139:M141)</f>
        <v>0.89155652800008056</v>
      </c>
      <c r="N142" s="1724"/>
      <c r="O142" s="1250">
        <f t="shared" ref="O142" si="211">M142/P142</f>
        <v>7.4296377333340047E-2</v>
      </c>
      <c r="P142" s="1250">
        <f t="shared" si="209"/>
        <v>12</v>
      </c>
      <c r="Q142" s="1250">
        <f t="shared" si="210"/>
        <v>720</v>
      </c>
      <c r="R142" s="1250">
        <f>'Milling Down Time Hours'!G124</f>
        <v>0</v>
      </c>
      <c r="S142" s="1724"/>
      <c r="T142" s="1250"/>
      <c r="U142" s="1250"/>
      <c r="V142" s="1252"/>
      <c r="W142" s="1253"/>
      <c r="X142" s="1250"/>
      <c r="Y142" s="1250"/>
      <c r="Z142" s="1422">
        <f>(1.2*7)+0.05</f>
        <v>8.4500000000000011</v>
      </c>
      <c r="AA142" s="446"/>
      <c r="AB142" s="1369"/>
    </row>
    <row r="143" spans="1:28" ht="15" customHeight="1" thickBot="1" x14ac:dyDescent="0.35">
      <c r="A143" s="1413">
        <v>28</v>
      </c>
      <c r="B143" s="1727">
        <v>46324</v>
      </c>
      <c r="C143" s="1728"/>
      <c r="D143" s="451" t="s">
        <v>792</v>
      </c>
      <c r="E143" s="451" t="s">
        <v>1005</v>
      </c>
      <c r="F143" s="977" t="s">
        <v>12</v>
      </c>
      <c r="G143" s="934"/>
      <c r="H143" s="673"/>
      <c r="I143" s="931"/>
      <c r="J143" s="931"/>
      <c r="K143" s="450"/>
      <c r="L143" s="934"/>
      <c r="M143" s="1031"/>
      <c r="N143" s="1032"/>
      <c r="O143" s="931"/>
      <c r="P143" s="931"/>
      <c r="Q143" s="931"/>
      <c r="R143" s="931"/>
      <c r="S143" s="1032"/>
      <c r="T143" s="931"/>
      <c r="U143" s="931"/>
      <c r="V143" s="939"/>
      <c r="W143" s="976"/>
      <c r="X143" s="931"/>
      <c r="Y143" s="931"/>
      <c r="Z143" s="977"/>
      <c r="AA143" s="446"/>
      <c r="AB143" s="1369"/>
    </row>
    <row r="144" spans="1:28" ht="15" customHeight="1" thickBot="1" x14ac:dyDescent="0.35">
      <c r="A144" s="1413"/>
      <c r="B144" s="1411"/>
      <c r="C144" s="1412"/>
      <c r="D144" s="451"/>
      <c r="E144" s="451"/>
      <c r="F144" s="977" t="s">
        <v>13</v>
      </c>
      <c r="G144" s="934"/>
      <c r="H144" s="673"/>
      <c r="I144" s="931"/>
      <c r="J144" s="931"/>
      <c r="K144" s="450"/>
      <c r="L144" s="934"/>
      <c r="M144" s="1031"/>
      <c r="N144" s="1032"/>
      <c r="O144" s="931"/>
      <c r="P144" s="931"/>
      <c r="Q144" s="931"/>
      <c r="R144" s="931"/>
      <c r="S144" s="1032"/>
      <c r="T144" s="931"/>
      <c r="U144" s="931"/>
      <c r="V144" s="939"/>
      <c r="W144" s="976"/>
      <c r="X144" s="931"/>
      <c r="Y144" s="931"/>
      <c r="Z144" s="977"/>
      <c r="AA144" s="446"/>
      <c r="AB144" s="1369"/>
    </row>
    <row r="145" spans="1:28" ht="15" customHeight="1" thickBot="1" x14ac:dyDescent="0.35">
      <c r="A145" s="1413"/>
      <c r="B145" s="1411"/>
      <c r="C145" s="1412"/>
      <c r="D145" s="451"/>
      <c r="E145" s="451"/>
      <c r="F145" s="977" t="s">
        <v>12</v>
      </c>
      <c r="G145" s="934"/>
      <c r="H145" s="673"/>
      <c r="I145" s="931"/>
      <c r="J145" s="931"/>
      <c r="K145" s="450"/>
      <c r="L145" s="934"/>
      <c r="M145" s="1031"/>
      <c r="N145" s="1032"/>
      <c r="O145" s="931"/>
      <c r="P145" s="931"/>
      <c r="Q145" s="931"/>
      <c r="R145" s="931"/>
      <c r="S145" s="1032"/>
      <c r="T145" s="931"/>
      <c r="U145" s="931"/>
      <c r="V145" s="939"/>
      <c r="W145" s="976"/>
      <c r="X145" s="931"/>
      <c r="Y145" s="931"/>
      <c r="Z145" s="977"/>
      <c r="AA145" s="446"/>
      <c r="AB145" s="1369"/>
    </row>
    <row r="146" spans="1:28" ht="15" customHeight="1" thickBot="1" x14ac:dyDescent="0.35">
      <c r="A146" s="1390"/>
      <c r="B146" s="1386"/>
      <c r="C146" s="1387"/>
      <c r="D146" s="13"/>
      <c r="E146" s="13"/>
      <c r="F146" s="745" t="s">
        <v>13</v>
      </c>
      <c r="G146" s="879"/>
      <c r="H146" s="39"/>
      <c r="I146" s="154"/>
      <c r="J146" s="154"/>
      <c r="K146" s="233"/>
      <c r="L146" s="879"/>
      <c r="M146" s="882"/>
      <c r="N146" s="792"/>
      <c r="O146" s="154"/>
      <c r="P146" s="154"/>
      <c r="Q146" s="154"/>
      <c r="R146" s="154"/>
      <c r="S146" s="792"/>
      <c r="T146" s="154"/>
      <c r="U146" s="154"/>
      <c r="V146" s="418"/>
      <c r="W146" s="159"/>
      <c r="X146" s="154"/>
      <c r="Y146" s="154"/>
      <c r="Z146" s="745"/>
      <c r="AA146" s="446"/>
      <c r="AB146" s="1369"/>
    </row>
    <row r="147" spans="1:28" ht="15" customHeight="1" thickBot="1" x14ac:dyDescent="0.35">
      <c r="A147" s="1390"/>
      <c r="B147" s="1386"/>
      <c r="C147" s="1387"/>
      <c r="D147" s="13"/>
      <c r="E147" s="13"/>
      <c r="F147" s="745" t="s">
        <v>12</v>
      </c>
      <c r="G147" s="879"/>
      <c r="H147" s="39"/>
      <c r="I147" s="154"/>
      <c r="J147" s="154"/>
      <c r="K147" s="233"/>
      <c r="L147" s="879"/>
      <c r="M147" s="882"/>
      <c r="N147" s="792"/>
      <c r="O147" s="154"/>
      <c r="P147" s="154"/>
      <c r="Q147" s="154"/>
      <c r="R147" s="154"/>
      <c r="S147" s="792"/>
      <c r="T147" s="154"/>
      <c r="U147" s="154"/>
      <c r="V147" s="418"/>
      <c r="W147" s="159"/>
      <c r="X147" s="154"/>
      <c r="Y147" s="154"/>
      <c r="Z147" s="745"/>
      <c r="AA147" s="446"/>
      <c r="AB147" s="1369"/>
    </row>
    <row r="148" spans="1:28" ht="15" customHeight="1" thickBot="1" x14ac:dyDescent="0.35">
      <c r="A148" s="1390"/>
      <c r="B148" s="1386"/>
      <c r="C148" s="1387"/>
      <c r="D148" s="13"/>
      <c r="E148" s="13"/>
      <c r="F148" s="745" t="s">
        <v>13</v>
      </c>
      <c r="G148" s="879"/>
      <c r="H148" s="39"/>
      <c r="I148" s="154"/>
      <c r="J148" s="154"/>
      <c r="K148" s="233"/>
      <c r="L148" s="879"/>
      <c r="M148" s="882"/>
      <c r="N148" s="792"/>
      <c r="O148" s="154"/>
      <c r="P148" s="154"/>
      <c r="Q148" s="154"/>
      <c r="R148" s="154"/>
      <c r="S148" s="792"/>
      <c r="T148" s="154"/>
      <c r="U148" s="154"/>
      <c r="V148" s="418"/>
      <c r="W148" s="159"/>
      <c r="X148" s="154"/>
      <c r="Y148" s="154"/>
      <c r="Z148" s="745"/>
      <c r="AA148" s="446"/>
      <c r="AB148" s="1369"/>
    </row>
    <row r="149" spans="1:28" ht="15" customHeight="1" thickBot="1" x14ac:dyDescent="0.35">
      <c r="A149" s="1390"/>
      <c r="B149" s="1386"/>
      <c r="C149" s="1387"/>
      <c r="D149" s="13"/>
      <c r="E149" s="13"/>
      <c r="F149" s="745" t="s">
        <v>12</v>
      </c>
      <c r="G149" s="879"/>
      <c r="H149" s="39"/>
      <c r="I149" s="154"/>
      <c r="J149" s="154"/>
      <c r="K149" s="233"/>
      <c r="L149" s="879"/>
      <c r="M149" s="882"/>
      <c r="N149" s="792"/>
      <c r="O149" s="154"/>
      <c r="P149" s="154"/>
      <c r="Q149" s="154"/>
      <c r="R149" s="154"/>
      <c r="S149" s="792"/>
      <c r="T149" s="154"/>
      <c r="U149" s="154"/>
      <c r="V149" s="418"/>
      <c r="W149" s="159"/>
      <c r="X149" s="154"/>
      <c r="Y149" s="154"/>
      <c r="Z149" s="745"/>
      <c r="AA149" s="446"/>
      <c r="AB149" s="1369"/>
    </row>
    <row r="150" spans="1:28" ht="15" customHeight="1" thickBot="1" x14ac:dyDescent="0.35">
      <c r="A150" s="1390"/>
      <c r="B150" s="1386"/>
      <c r="C150" s="1387"/>
      <c r="D150" s="13"/>
      <c r="E150" s="13"/>
      <c r="F150" s="745" t="s">
        <v>13</v>
      </c>
      <c r="G150" s="879"/>
      <c r="H150" s="39"/>
      <c r="I150" s="154"/>
      <c r="J150" s="154"/>
      <c r="K150" s="233"/>
      <c r="L150" s="879"/>
      <c r="M150" s="882"/>
      <c r="N150" s="792"/>
      <c r="O150" s="154"/>
      <c r="P150" s="154"/>
      <c r="Q150" s="154"/>
      <c r="R150" s="154"/>
      <c r="S150" s="792"/>
      <c r="T150" s="154"/>
      <c r="U150" s="154"/>
      <c r="V150" s="418"/>
      <c r="W150" s="159"/>
      <c r="X150" s="154"/>
      <c r="Y150" s="154"/>
      <c r="Z150" s="745"/>
      <c r="AA150" s="446"/>
      <c r="AB150" s="1369"/>
    </row>
    <row r="151" spans="1:28" ht="15" customHeight="1" thickBot="1" x14ac:dyDescent="0.35">
      <c r="A151" s="1390"/>
      <c r="B151" s="1386"/>
      <c r="C151" s="1387"/>
      <c r="D151" s="13"/>
      <c r="E151" s="13"/>
      <c r="F151" s="745" t="s">
        <v>12</v>
      </c>
      <c r="G151" s="879"/>
      <c r="H151" s="39"/>
      <c r="I151" s="154"/>
      <c r="J151" s="154"/>
      <c r="K151" s="233"/>
      <c r="L151" s="879"/>
      <c r="M151" s="882"/>
      <c r="N151" s="792"/>
      <c r="O151" s="154"/>
      <c r="P151" s="154"/>
      <c r="Q151" s="154"/>
      <c r="R151" s="154"/>
      <c r="S151" s="792"/>
      <c r="T151" s="154"/>
      <c r="U151" s="154"/>
      <c r="V151" s="418"/>
      <c r="W151" s="159"/>
      <c r="X151" s="154"/>
      <c r="Y151" s="154"/>
      <c r="Z151" s="745"/>
      <c r="AA151" s="446"/>
      <c r="AB151" s="1369"/>
    </row>
    <row r="152" spans="1:28" ht="15" customHeight="1" thickBot="1" x14ac:dyDescent="0.35">
      <c r="A152" s="1390"/>
      <c r="B152" s="1386"/>
      <c r="C152" s="1387"/>
      <c r="D152" s="13"/>
      <c r="E152" s="13"/>
      <c r="F152" s="745" t="s">
        <v>13</v>
      </c>
      <c r="G152" s="879"/>
      <c r="H152" s="39"/>
      <c r="I152" s="154"/>
      <c r="J152" s="154"/>
      <c r="K152" s="233"/>
      <c r="L152" s="879"/>
      <c r="M152" s="882"/>
      <c r="N152" s="792"/>
      <c r="O152" s="154"/>
      <c r="P152" s="154"/>
      <c r="Q152" s="154"/>
      <c r="R152" s="154"/>
      <c r="S152" s="792"/>
      <c r="T152" s="154"/>
      <c r="U152" s="154"/>
      <c r="V152" s="418"/>
      <c r="W152" s="159"/>
      <c r="X152" s="154"/>
      <c r="Y152" s="154"/>
      <c r="Z152" s="745"/>
      <c r="AA152" s="446"/>
      <c r="AB152" s="1369"/>
    </row>
    <row r="153" spans="1:28" ht="15" customHeight="1" thickBot="1" x14ac:dyDescent="0.35">
      <c r="A153" s="1390"/>
      <c r="B153" s="1386"/>
      <c r="C153" s="1387"/>
      <c r="D153" s="13"/>
      <c r="E153" s="13"/>
      <c r="F153" s="745" t="s">
        <v>12</v>
      </c>
      <c r="G153" s="879"/>
      <c r="H153" s="39"/>
      <c r="I153" s="154"/>
      <c r="J153" s="154"/>
      <c r="K153" s="233"/>
      <c r="L153" s="879"/>
      <c r="M153" s="882"/>
      <c r="N153" s="792"/>
      <c r="O153" s="154"/>
      <c r="P153" s="154"/>
      <c r="Q153" s="154"/>
      <c r="R153" s="154"/>
      <c r="S153" s="792"/>
      <c r="T153" s="154"/>
      <c r="U153" s="154"/>
      <c r="V153" s="418"/>
      <c r="W153" s="159"/>
      <c r="X153" s="154"/>
      <c r="Y153" s="154"/>
      <c r="Z153" s="745"/>
      <c r="AA153" s="446"/>
      <c r="AB153" s="1369"/>
    </row>
    <row r="154" spans="1:28" ht="15" customHeight="1" thickBot="1" x14ac:dyDescent="0.35">
      <c r="A154" s="1385"/>
      <c r="B154" s="1729"/>
      <c r="C154" s="1730"/>
      <c r="D154" s="13"/>
      <c r="E154" s="13"/>
      <c r="F154" s="745" t="s">
        <v>13</v>
      </c>
      <c r="G154" s="233"/>
      <c r="H154" s="13"/>
      <c r="I154" s="233"/>
      <c r="J154" s="154"/>
      <c r="K154" s="233"/>
      <c r="L154" s="233"/>
      <c r="M154" s="882"/>
      <c r="N154" s="233"/>
      <c r="O154" s="871"/>
      <c r="P154" s="154"/>
      <c r="Q154" s="154"/>
      <c r="R154" s="154"/>
      <c r="S154" s="13"/>
      <c r="T154" s="154"/>
      <c r="U154" s="154"/>
      <c r="V154" s="418"/>
      <c r="W154" s="159"/>
      <c r="X154" s="154"/>
      <c r="Y154" s="154"/>
      <c r="Z154" s="745"/>
      <c r="AA154" s="446"/>
      <c r="AB154" s="1369"/>
    </row>
    <row r="155" spans="1:28" ht="15" thickBot="1" x14ac:dyDescent="0.35">
      <c r="B155" s="1729"/>
      <c r="C155" s="1730"/>
      <c r="D155" s="34"/>
      <c r="E155" s="34"/>
      <c r="F155" s="745" t="s">
        <v>12</v>
      </c>
      <c r="G155" s="878"/>
      <c r="H155" s="13"/>
      <c r="I155" s="233"/>
      <c r="J155" s="154"/>
      <c r="K155" s="233"/>
      <c r="L155" s="879"/>
      <c r="M155" s="882"/>
      <c r="N155" s="879"/>
      <c r="O155" s="871"/>
      <c r="P155" s="154"/>
      <c r="Q155" s="154"/>
      <c r="R155" s="154"/>
      <c r="S155" s="13"/>
      <c r="T155" s="154"/>
      <c r="U155" s="154"/>
      <c r="V155" s="418"/>
      <c r="W155" s="159"/>
      <c r="X155" s="154"/>
      <c r="Y155" s="154"/>
      <c r="Z155" s="745"/>
      <c r="AA155" s="446"/>
      <c r="AB155" s="1369"/>
    </row>
    <row r="156" spans="1:28" ht="15" thickBot="1" x14ac:dyDescent="0.35">
      <c r="B156" s="1729"/>
      <c r="C156" s="1730"/>
      <c r="D156" s="13"/>
      <c r="E156" s="13"/>
      <c r="F156" s="745" t="s">
        <v>13</v>
      </c>
      <c r="G156" s="233"/>
      <c r="H156" s="13"/>
      <c r="I156" s="233"/>
      <c r="J156" s="154"/>
      <c r="K156" s="233"/>
      <c r="L156" s="233"/>
      <c r="M156" s="882">
        <f t="shared" ref="M156" si="212">H156*K156*G156</f>
        <v>0</v>
      </c>
      <c r="N156" s="233"/>
      <c r="O156" s="871"/>
      <c r="P156" s="154"/>
      <c r="Q156" s="154"/>
      <c r="R156" s="154"/>
      <c r="S156" s="13"/>
      <c r="T156" s="154"/>
      <c r="U156" s="154"/>
      <c r="V156" s="418"/>
      <c r="W156" s="159">
        <f t="shared" ref="W156" si="213">T156*M156</f>
        <v>0</v>
      </c>
      <c r="X156" s="154">
        <f t="shared" ref="X156" si="214">M156*U156</f>
        <v>0</v>
      </c>
      <c r="Y156" s="154">
        <f t="shared" ref="Y156" si="215">M156*V156</f>
        <v>0</v>
      </c>
      <c r="Z156" s="745"/>
      <c r="AA156" s="446"/>
      <c r="AB156" s="1369"/>
    </row>
    <row r="157" spans="1:28" ht="18" x14ac:dyDescent="0.35">
      <c r="B157" s="1375" t="s">
        <v>121</v>
      </c>
      <c r="C157" s="1376"/>
      <c r="D157" s="465"/>
      <c r="E157" s="465"/>
      <c r="F157" s="872"/>
      <c r="G157" s="872"/>
      <c r="H157" s="465"/>
      <c r="I157" s="930">
        <f>AVERAGE(I75:I126)</f>
        <v>24.458952901842075</v>
      </c>
      <c r="J157" s="872"/>
      <c r="K157" s="872"/>
      <c r="L157" s="880">
        <f>AVERAGE(L5:L104)</f>
        <v>0.72694915254237302</v>
      </c>
      <c r="M157" s="883">
        <f>SUM(M5:M126)</f>
        <v>7305.5027538672475</v>
      </c>
      <c r="N157" s="880"/>
      <c r="O157" s="930" t="e">
        <f>AVERAGE(O5:O106)</f>
        <v>#DIV/0!</v>
      </c>
      <c r="P157" s="930">
        <f>SUM(P5:P106)</f>
        <v>632.40138888888885</v>
      </c>
      <c r="Q157" s="930">
        <f>SUM(Q5:Q106)</f>
        <v>36534.083333333328</v>
      </c>
      <c r="R157" s="930">
        <f>SUM(R5:R106)</f>
        <v>13936.574305555552</v>
      </c>
      <c r="S157" s="1093">
        <f>SUM(S5:S106)</f>
        <v>5375.3734428672497</v>
      </c>
      <c r="T157" s="118">
        <f>AVERAGE(T5:T43)</f>
        <v>0.65487096774193554</v>
      </c>
      <c r="U157" s="118">
        <f>AVERAGE(U5:U43)</f>
        <v>0.6632580645161289</v>
      </c>
      <c r="V157" s="118">
        <f>AVERAGE(V5:V43)</f>
        <v>8.9542903225806452</v>
      </c>
      <c r="W157" s="119" t="e">
        <f>SUM(W5:W102)</f>
        <v>#VALUE!</v>
      </c>
      <c r="X157" s="119">
        <f>SUM(X5:X16)</f>
        <v>421.51466277143334</v>
      </c>
      <c r="Y157" s="119">
        <f>SUM(Y5:Y16)</f>
        <v>5120.844159414587</v>
      </c>
      <c r="Z157" s="745"/>
      <c r="AB157" s="1213"/>
    </row>
    <row r="158" spans="1:28" x14ac:dyDescent="0.3">
      <c r="E158" s="12" t="s">
        <v>505</v>
      </c>
      <c r="M158" s="884"/>
    </row>
    <row r="159" spans="1:28" x14ac:dyDescent="0.3">
      <c r="Z159" s="584" t="s">
        <v>202</v>
      </c>
      <c r="AA159" s="1">
        <f>MIN(Z5:Z102)</f>
        <v>0</v>
      </c>
    </row>
    <row r="160" spans="1:28" x14ac:dyDescent="0.3">
      <c r="L160" s="332"/>
      <c r="M160" s="884"/>
      <c r="N160" s="332"/>
      <c r="O160" s="432"/>
      <c r="P160" s="332"/>
      <c r="Q160" s="432"/>
      <c r="R160" s="12"/>
      <c r="S160" s="1"/>
      <c r="T160" s="1">
        <v>0.52966666666666662</v>
      </c>
      <c r="W160" s="12"/>
      <c r="Y160" s="584" t="s">
        <v>201</v>
      </c>
      <c r="Z160" s="136">
        <f>MAX(Z5:Z102)</f>
        <v>11.3</v>
      </c>
      <c r="AA160" s="921"/>
      <c r="AB160" s="1"/>
    </row>
    <row r="161" spans="6:28" x14ac:dyDescent="0.3">
      <c r="L161" s="332"/>
      <c r="M161" s="884"/>
      <c r="N161" s="332"/>
      <c r="O161" s="432"/>
      <c r="P161" s="332"/>
      <c r="Q161" s="432"/>
      <c r="R161" s="12"/>
      <c r="S161" s="1"/>
      <c r="T161" s="1">
        <v>0.38100000000000001</v>
      </c>
      <c r="V161" s="29">
        <f>_xlfn.STDEV.P(T160:T181)</f>
        <v>9.7206466218263274E-2</v>
      </c>
      <c r="W161" s="12"/>
      <c r="Y161" s="584"/>
      <c r="Z161" s="1"/>
      <c r="AA161" s="921"/>
      <c r="AB161" s="1"/>
    </row>
    <row r="162" spans="6:28" x14ac:dyDescent="0.3">
      <c r="L162" s="332"/>
      <c r="M162" s="432"/>
      <c r="N162" s="332"/>
      <c r="O162" s="432"/>
      <c r="P162" s="332"/>
      <c r="Q162" s="432"/>
      <c r="R162" s="12"/>
      <c r="S162" s="1"/>
      <c r="T162" s="1">
        <v>0.64166666666666672</v>
      </c>
      <c r="W162" s="12"/>
      <c r="Y162" s="584"/>
      <c r="Z162" s="1"/>
      <c r="AA162" s="921"/>
      <c r="AB162" s="1"/>
    </row>
    <row r="163" spans="6:28" x14ac:dyDescent="0.3">
      <c r="L163" s="332"/>
      <c r="M163" s="432"/>
      <c r="N163" s="332"/>
      <c r="O163" s="432"/>
      <c r="P163" s="332">
        <v>80</v>
      </c>
      <c r="Q163" s="432"/>
      <c r="R163" s="12"/>
      <c r="S163" s="1"/>
      <c r="T163" s="1">
        <v>0.54266666666666674</v>
      </c>
      <c r="W163" s="12"/>
      <c r="Y163" s="584"/>
      <c r="Z163" s="1"/>
      <c r="AA163" s="921"/>
      <c r="AB163" s="1"/>
    </row>
    <row r="164" spans="6:28" x14ac:dyDescent="0.3">
      <c r="K164" s="432">
        <v>84</v>
      </c>
      <c r="L164" s="332"/>
      <c r="M164" s="432"/>
      <c r="N164" s="332"/>
      <c r="O164" s="432"/>
      <c r="P164" s="332">
        <v>82</v>
      </c>
      <c r="Q164" s="432"/>
      <c r="R164" s="12"/>
      <c r="S164" s="1"/>
      <c r="T164" s="1">
        <v>0.54266666666666674</v>
      </c>
      <c r="W164" s="12"/>
      <c r="Y164" s="584"/>
      <c r="Z164" s="1"/>
      <c r="AA164" s="921"/>
      <c r="AB164" s="1"/>
    </row>
    <row r="165" spans="6:28" x14ac:dyDescent="0.3">
      <c r="F165" s="584">
        <v>86</v>
      </c>
      <c r="K165" s="432">
        <v>82</v>
      </c>
      <c r="L165" s="332"/>
      <c r="M165" s="432"/>
      <c r="N165" s="332"/>
      <c r="O165" s="432"/>
      <c r="P165" s="332">
        <v>84</v>
      </c>
      <c r="Q165" s="432"/>
      <c r="R165" s="12"/>
      <c r="S165" s="1"/>
      <c r="T165" s="1">
        <v>0.32100000000000001</v>
      </c>
      <c r="W165" s="12"/>
      <c r="Y165" s="584"/>
      <c r="Z165" s="1"/>
      <c r="AA165" s="921"/>
      <c r="AB165" s="1"/>
    </row>
    <row r="166" spans="6:28" x14ac:dyDescent="0.3">
      <c r="F166" s="584">
        <v>83</v>
      </c>
      <c r="K166" s="432">
        <v>76</v>
      </c>
      <c r="L166" s="332"/>
      <c r="M166" s="432"/>
      <c r="N166" s="332"/>
      <c r="O166" s="432"/>
      <c r="P166" s="332">
        <v>84</v>
      </c>
      <c r="Q166" s="432"/>
      <c r="R166" s="12"/>
      <c r="S166" s="1"/>
      <c r="T166" s="1">
        <v>0.47433333333333333</v>
      </c>
      <c r="W166" s="12"/>
      <c r="Y166" s="584"/>
      <c r="Z166" s="1"/>
      <c r="AA166" s="921"/>
      <c r="AB166" s="1"/>
    </row>
    <row r="167" spans="6:28" x14ac:dyDescent="0.3">
      <c r="F167" s="584">
        <v>84</v>
      </c>
      <c r="K167" s="432">
        <v>83</v>
      </c>
      <c r="L167" s="332">
        <v>79</v>
      </c>
      <c r="M167" s="432">
        <v>81</v>
      </c>
      <c r="N167" s="332"/>
      <c r="O167" s="432"/>
      <c r="P167" s="332">
        <v>83</v>
      </c>
      <c r="Q167" s="432"/>
      <c r="R167" s="12"/>
      <c r="S167" s="1"/>
      <c r="T167" s="1">
        <v>0.4326666666666667</v>
      </c>
      <c r="W167" s="12"/>
      <c r="Y167" s="584"/>
      <c r="Z167" s="1"/>
      <c r="AA167" s="921"/>
      <c r="AB167" s="1"/>
    </row>
    <row r="168" spans="6:28" x14ac:dyDescent="0.3">
      <c r="F168" s="584">
        <v>83</v>
      </c>
      <c r="I168" s="432">
        <v>83</v>
      </c>
      <c r="J168" s="432">
        <v>78</v>
      </c>
      <c r="K168" s="432">
        <v>75</v>
      </c>
      <c r="L168" s="332">
        <v>79</v>
      </c>
      <c r="M168" s="432">
        <v>76</v>
      </c>
      <c r="N168" s="332"/>
      <c r="O168" s="432"/>
      <c r="P168" s="332">
        <v>80</v>
      </c>
      <c r="Q168" s="432"/>
      <c r="R168" s="12"/>
      <c r="S168" s="1"/>
      <c r="T168" s="1">
        <v>0.39733333333333337</v>
      </c>
      <c r="W168" s="12"/>
      <c r="Y168" s="584"/>
      <c r="Z168" s="1"/>
      <c r="AA168" s="921"/>
      <c r="AB168" s="1"/>
    </row>
    <row r="169" spans="6:28" x14ac:dyDescent="0.3">
      <c r="F169" s="584">
        <v>85</v>
      </c>
      <c r="H169" s="12">
        <v>78</v>
      </c>
      <c r="I169" s="432">
        <v>86</v>
      </c>
      <c r="J169" s="432">
        <v>79</v>
      </c>
      <c r="K169" s="432">
        <v>76</v>
      </c>
      <c r="L169" s="332">
        <v>79</v>
      </c>
      <c r="M169" s="432">
        <v>76</v>
      </c>
      <c r="N169" s="332"/>
      <c r="O169" s="432"/>
      <c r="P169" s="332">
        <v>86</v>
      </c>
      <c r="Q169" s="432"/>
      <c r="R169" s="12"/>
      <c r="S169" s="1"/>
      <c r="T169" s="1">
        <v>0.373</v>
      </c>
      <c r="W169" s="12"/>
      <c r="Y169" s="584"/>
      <c r="Z169" s="1"/>
      <c r="AA169" s="921"/>
      <c r="AB169" s="1"/>
    </row>
    <row r="170" spans="6:28" x14ac:dyDescent="0.3">
      <c r="F170" s="584">
        <v>86</v>
      </c>
      <c r="H170" s="12">
        <v>81</v>
      </c>
      <c r="I170" s="432">
        <v>79</v>
      </c>
      <c r="J170" s="432">
        <v>82</v>
      </c>
      <c r="K170" s="432">
        <v>69</v>
      </c>
      <c r="L170" s="332">
        <v>79</v>
      </c>
      <c r="M170" s="432">
        <v>78</v>
      </c>
      <c r="N170" s="332"/>
      <c r="O170" s="432"/>
      <c r="P170" s="332">
        <v>83</v>
      </c>
      <c r="Q170" s="432"/>
      <c r="R170" s="12"/>
      <c r="S170" s="1"/>
      <c r="T170" s="1">
        <v>0.373</v>
      </c>
      <c r="W170" s="12"/>
      <c r="Y170" s="584"/>
      <c r="Z170" s="1"/>
      <c r="AA170" s="921"/>
      <c r="AB170" s="1"/>
    </row>
    <row r="171" spans="6:28" x14ac:dyDescent="0.3">
      <c r="F171" s="584">
        <v>86</v>
      </c>
      <c r="H171" s="12">
        <v>79</v>
      </c>
      <c r="I171" s="432">
        <v>80</v>
      </c>
      <c r="J171" s="432">
        <v>80</v>
      </c>
      <c r="K171" s="432">
        <v>66</v>
      </c>
      <c r="L171" s="332">
        <v>76</v>
      </c>
      <c r="M171" s="432">
        <v>76</v>
      </c>
      <c r="N171" s="332"/>
      <c r="O171" s="432"/>
      <c r="P171" s="332">
        <v>82</v>
      </c>
      <c r="Q171" s="432"/>
      <c r="R171" s="12"/>
      <c r="S171" s="1"/>
      <c r="T171" s="1">
        <v>0.52566666666666673</v>
      </c>
      <c r="W171" s="12"/>
      <c r="Y171" s="584"/>
      <c r="Z171" s="1"/>
      <c r="AA171" s="921"/>
      <c r="AB171" s="1"/>
    </row>
    <row r="172" spans="6:28" x14ac:dyDescent="0.3">
      <c r="F172" s="584">
        <v>85</v>
      </c>
      <c r="H172" s="12">
        <v>80</v>
      </c>
      <c r="I172" s="432">
        <v>86</v>
      </c>
      <c r="J172" s="432">
        <v>76</v>
      </c>
      <c r="K172" s="432">
        <v>73</v>
      </c>
      <c r="L172" s="332">
        <v>85</v>
      </c>
      <c r="M172" s="432">
        <v>79</v>
      </c>
      <c r="N172" s="332"/>
      <c r="O172" s="432"/>
      <c r="P172" s="332">
        <v>80</v>
      </c>
      <c r="Q172" s="432"/>
      <c r="R172" s="12"/>
      <c r="S172" s="1"/>
      <c r="T172" s="1">
        <v>0.41</v>
      </c>
      <c r="W172" s="12"/>
      <c r="Y172" s="584"/>
      <c r="Z172" s="1"/>
      <c r="AA172" s="921"/>
      <c r="AB172" s="1"/>
    </row>
    <row r="173" spans="6:28" x14ac:dyDescent="0.3">
      <c r="F173" s="584">
        <v>85</v>
      </c>
      <c r="H173" s="12">
        <v>76</v>
      </c>
      <c r="I173" s="432">
        <v>79</v>
      </c>
      <c r="J173" s="432">
        <v>79</v>
      </c>
      <c r="K173" s="432">
        <v>71</v>
      </c>
      <c r="L173" s="332">
        <v>78</v>
      </c>
      <c r="M173" s="432">
        <v>85</v>
      </c>
      <c r="N173" s="332"/>
      <c r="O173" s="432"/>
      <c r="P173" s="332">
        <v>82</v>
      </c>
      <c r="Q173" s="432"/>
      <c r="R173" s="12"/>
      <c r="S173" s="1"/>
      <c r="T173" s="1">
        <v>0.65566666666666673</v>
      </c>
      <c r="W173" s="12"/>
      <c r="Y173" s="584"/>
      <c r="Z173" s="1"/>
      <c r="AA173" s="921"/>
      <c r="AB173" s="1"/>
    </row>
    <row r="174" spans="6:28" x14ac:dyDescent="0.3">
      <c r="F174" s="584">
        <v>84</v>
      </c>
      <c r="H174" s="12">
        <v>84</v>
      </c>
      <c r="I174" s="432">
        <v>87</v>
      </c>
      <c r="J174" s="432">
        <v>82</v>
      </c>
      <c r="K174" s="432">
        <v>66</v>
      </c>
      <c r="L174" s="332">
        <v>79</v>
      </c>
      <c r="M174" s="432">
        <v>78</v>
      </c>
      <c r="N174" s="332"/>
      <c r="O174" s="432"/>
      <c r="P174" s="332">
        <v>83</v>
      </c>
      <c r="Q174" s="432"/>
      <c r="R174" s="12"/>
      <c r="S174" s="1"/>
      <c r="T174" s="1">
        <v>0.35966666666666663</v>
      </c>
      <c r="W174" s="12"/>
      <c r="Y174" s="584"/>
      <c r="Z174" s="1"/>
      <c r="AA174" s="921"/>
      <c r="AB174" s="1"/>
    </row>
    <row r="175" spans="6:28" x14ac:dyDescent="0.3">
      <c r="F175" s="584">
        <v>88</v>
      </c>
      <c r="H175" s="12">
        <v>83</v>
      </c>
      <c r="I175" s="432">
        <v>82</v>
      </c>
      <c r="J175" s="432">
        <v>76</v>
      </c>
      <c r="K175" s="432">
        <v>73</v>
      </c>
      <c r="L175" s="332">
        <v>79</v>
      </c>
      <c r="M175" s="432">
        <v>81</v>
      </c>
      <c r="N175" s="332"/>
      <c r="O175" s="432"/>
      <c r="P175" s="332">
        <v>72</v>
      </c>
      <c r="Q175" s="432"/>
      <c r="R175" s="12"/>
      <c r="S175" s="1"/>
      <c r="T175" s="1">
        <v>0.34266666666666667</v>
      </c>
      <c r="W175" s="12"/>
      <c r="Y175" s="584"/>
      <c r="Z175" s="1"/>
      <c r="AA175" s="921"/>
      <c r="AB175" s="1"/>
    </row>
    <row r="176" spans="6:28" x14ac:dyDescent="0.3">
      <c r="F176" s="584">
        <v>85</v>
      </c>
      <c r="H176" s="12">
        <v>76</v>
      </c>
      <c r="I176" s="432">
        <v>80</v>
      </c>
      <c r="J176" s="432">
        <v>76</v>
      </c>
      <c r="K176" s="432">
        <v>84</v>
      </c>
      <c r="L176" s="332">
        <v>76</v>
      </c>
      <c r="M176" s="432">
        <v>76</v>
      </c>
      <c r="N176" s="332"/>
      <c r="O176" s="432"/>
      <c r="P176" s="332">
        <v>82</v>
      </c>
      <c r="Q176" s="432"/>
      <c r="R176" s="12"/>
      <c r="S176" s="1"/>
      <c r="T176" s="1">
        <v>0.39900000000000002</v>
      </c>
      <c r="W176" s="12"/>
      <c r="Y176" s="584"/>
      <c r="Z176" s="1"/>
      <c r="AA176" s="921"/>
      <c r="AB176" s="1"/>
    </row>
    <row r="177" spans="6:28" x14ac:dyDescent="0.3">
      <c r="F177" s="584">
        <v>83</v>
      </c>
      <c r="H177" s="12">
        <v>83</v>
      </c>
      <c r="I177" s="432">
        <v>87</v>
      </c>
      <c r="J177" s="432">
        <v>76</v>
      </c>
      <c r="K177" s="432">
        <v>76</v>
      </c>
      <c r="L177" s="332">
        <v>75</v>
      </c>
      <c r="M177" s="432">
        <v>88</v>
      </c>
      <c r="N177" s="332"/>
      <c r="O177" s="432"/>
      <c r="P177" s="332">
        <v>82</v>
      </c>
      <c r="Q177" s="432"/>
      <c r="R177" s="12"/>
      <c r="S177" s="1"/>
      <c r="T177" s="1">
        <v>0.39900000000000002</v>
      </c>
      <c r="W177" s="12"/>
      <c r="Y177" s="584"/>
      <c r="Z177" s="1"/>
      <c r="AA177" s="921"/>
      <c r="AB177" s="1"/>
    </row>
    <row r="178" spans="6:28" x14ac:dyDescent="0.3">
      <c r="F178" s="584">
        <v>85</v>
      </c>
      <c r="H178" s="12">
        <v>83</v>
      </c>
      <c r="I178" s="432">
        <v>80</v>
      </c>
      <c r="J178" s="432">
        <v>81</v>
      </c>
      <c r="K178" s="432">
        <v>74</v>
      </c>
      <c r="L178" s="332">
        <v>83</v>
      </c>
      <c r="M178" s="432">
        <v>82</v>
      </c>
      <c r="N178" s="332"/>
      <c r="O178" s="432"/>
      <c r="P178" s="332">
        <v>84</v>
      </c>
      <c r="Q178" s="432"/>
      <c r="R178" s="12"/>
      <c r="S178" s="1"/>
      <c r="T178" s="1">
        <v>0.35066666666666668</v>
      </c>
      <c r="W178" s="12"/>
      <c r="Y178" s="584"/>
      <c r="Z178" s="1"/>
      <c r="AA178" s="921"/>
      <c r="AB178" s="1"/>
    </row>
    <row r="179" spans="6:28" x14ac:dyDescent="0.3">
      <c r="F179" s="584">
        <v>84</v>
      </c>
      <c r="H179" s="12">
        <v>76</v>
      </c>
      <c r="I179" s="432">
        <v>80</v>
      </c>
      <c r="J179" s="432">
        <v>74</v>
      </c>
      <c r="K179" s="432">
        <v>82</v>
      </c>
      <c r="L179" s="332">
        <v>82</v>
      </c>
      <c r="M179" s="432">
        <v>78</v>
      </c>
      <c r="N179" s="332"/>
      <c r="O179" s="432"/>
      <c r="P179" s="332">
        <v>85</v>
      </c>
      <c r="Q179" s="432"/>
      <c r="R179" s="12"/>
      <c r="S179" s="1"/>
      <c r="T179" s="1">
        <v>0.43533333333333335</v>
      </c>
      <c r="W179" s="12"/>
      <c r="Y179" s="584"/>
      <c r="Z179" s="1"/>
      <c r="AA179" s="921"/>
      <c r="AB179" s="1"/>
    </row>
    <row r="180" spans="6:28" x14ac:dyDescent="0.3">
      <c r="F180" s="584">
        <v>76</v>
      </c>
      <c r="H180" s="12">
        <v>84</v>
      </c>
      <c r="I180" s="432">
        <v>85</v>
      </c>
      <c r="J180" s="432">
        <v>75</v>
      </c>
      <c r="K180" s="432">
        <v>82</v>
      </c>
      <c r="L180" s="332">
        <v>74</v>
      </c>
      <c r="M180" s="432">
        <v>76</v>
      </c>
      <c r="N180" s="332"/>
      <c r="O180" s="432"/>
      <c r="P180" s="332">
        <v>82</v>
      </c>
      <c r="Q180" s="432"/>
      <c r="R180" s="12"/>
      <c r="S180" s="1"/>
      <c r="T180" s="1">
        <v>0.28733333333333333</v>
      </c>
      <c r="W180" s="12"/>
      <c r="Y180" s="584"/>
      <c r="Z180" s="1"/>
      <c r="AA180" s="921"/>
      <c r="AB180" s="1"/>
    </row>
    <row r="181" spans="6:28" x14ac:dyDescent="0.3">
      <c r="F181" s="584">
        <v>85</v>
      </c>
      <c r="H181" s="12">
        <v>79</v>
      </c>
      <c r="I181" s="432">
        <v>85</v>
      </c>
      <c r="J181" s="432">
        <v>73</v>
      </c>
      <c r="K181" s="432">
        <v>75</v>
      </c>
      <c r="L181" s="332">
        <v>76</v>
      </c>
      <c r="M181" s="432">
        <v>84</v>
      </c>
      <c r="N181" s="332"/>
      <c r="O181" s="432"/>
      <c r="P181" s="332">
        <v>78</v>
      </c>
      <c r="Q181" s="432"/>
      <c r="R181" s="12"/>
      <c r="S181" s="1"/>
      <c r="T181" s="1">
        <v>0.37828571428571428</v>
      </c>
      <c r="W181" s="12"/>
      <c r="Y181" s="584"/>
      <c r="Z181" s="1"/>
      <c r="AA181" s="921"/>
      <c r="AB181" s="1"/>
    </row>
    <row r="182" spans="6:28" x14ac:dyDescent="0.3">
      <c r="F182" s="584">
        <v>84</v>
      </c>
      <c r="H182" s="12">
        <v>78</v>
      </c>
      <c r="I182" s="432">
        <v>85</v>
      </c>
      <c r="J182" s="432">
        <v>80</v>
      </c>
      <c r="K182" s="432">
        <v>62</v>
      </c>
      <c r="L182" s="332">
        <v>85</v>
      </c>
      <c r="M182" s="432">
        <v>84</v>
      </c>
      <c r="N182" s="332"/>
      <c r="O182" s="432"/>
      <c r="P182" s="332">
        <v>72</v>
      </c>
      <c r="Q182" s="432"/>
      <c r="R182" s="12"/>
      <c r="S182" s="1"/>
      <c r="W182" s="12"/>
      <c r="Y182" s="584"/>
      <c r="Z182" s="1"/>
      <c r="AA182" s="921"/>
      <c r="AB182" s="1"/>
    </row>
    <row r="183" spans="6:28" x14ac:dyDescent="0.3">
      <c r="F183" s="584">
        <v>82</v>
      </c>
      <c r="H183" s="12">
        <v>73</v>
      </c>
      <c r="I183" s="432">
        <v>85</v>
      </c>
      <c r="J183" s="432">
        <v>78</v>
      </c>
      <c r="K183" s="432">
        <v>65</v>
      </c>
      <c r="L183" s="432">
        <v>79</v>
      </c>
      <c r="M183" s="332">
        <v>76</v>
      </c>
      <c r="Q183" s="332">
        <v>72</v>
      </c>
    </row>
    <row r="184" spans="6:28" x14ac:dyDescent="0.3">
      <c r="F184" s="584">
        <v>81</v>
      </c>
      <c r="H184" s="12">
        <v>84</v>
      </c>
      <c r="I184" s="432">
        <v>83</v>
      </c>
      <c r="J184" s="432">
        <v>76</v>
      </c>
      <c r="K184" s="432">
        <v>64</v>
      </c>
      <c r="M184" s="332">
        <v>84</v>
      </c>
      <c r="Q184" s="332">
        <v>75</v>
      </c>
    </row>
    <row r="185" spans="6:28" x14ac:dyDescent="0.3">
      <c r="F185" s="584">
        <v>76</v>
      </c>
      <c r="H185" s="12">
        <v>84</v>
      </c>
      <c r="J185" s="432">
        <v>81</v>
      </c>
      <c r="K185" s="432">
        <v>73</v>
      </c>
      <c r="M185" s="332">
        <v>80</v>
      </c>
      <c r="Q185" s="332">
        <v>72</v>
      </c>
    </row>
    <row r="186" spans="6:28" x14ac:dyDescent="0.3">
      <c r="F186" s="584">
        <v>83</v>
      </c>
      <c r="J186" s="432">
        <v>81</v>
      </c>
      <c r="K186" s="432">
        <v>75</v>
      </c>
      <c r="M186" s="332">
        <v>84</v>
      </c>
      <c r="Q186" s="332">
        <v>60</v>
      </c>
    </row>
    <row r="187" spans="6:28" x14ac:dyDescent="0.3">
      <c r="F187" s="584">
        <v>80</v>
      </c>
      <c r="J187" s="432">
        <v>81</v>
      </c>
      <c r="K187" s="432">
        <v>82</v>
      </c>
      <c r="M187" s="332">
        <v>84</v>
      </c>
    </row>
    <row r="188" spans="6:28" x14ac:dyDescent="0.3">
      <c r="F188" s="584">
        <v>82</v>
      </c>
      <c r="M188" s="332">
        <v>74</v>
      </c>
    </row>
    <row r="189" spans="6:28" x14ac:dyDescent="0.3">
      <c r="M189" s="332">
        <v>80</v>
      </c>
    </row>
    <row r="190" spans="6:28" x14ac:dyDescent="0.3">
      <c r="M190" s="332">
        <v>80</v>
      </c>
    </row>
  </sheetData>
  <mergeCells count="247"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B48:C49"/>
    <mergeCell ref="B50:C51"/>
    <mergeCell ref="B52:C53"/>
    <mergeCell ref="B54:C56"/>
    <mergeCell ref="B57:C58"/>
    <mergeCell ref="B61:C6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A16:A19"/>
    <mergeCell ref="A20:A23"/>
    <mergeCell ref="O54:O56"/>
    <mergeCell ref="N48:N49"/>
    <mergeCell ref="N42:N43"/>
    <mergeCell ref="N57:N58"/>
    <mergeCell ref="N50:N51"/>
    <mergeCell ref="N36:N37"/>
    <mergeCell ref="N27:N28"/>
    <mergeCell ref="B28:C28"/>
    <mergeCell ref="S5:S8"/>
    <mergeCell ref="B7:C8"/>
    <mergeCell ref="N7:N8"/>
    <mergeCell ref="P7:P8"/>
    <mergeCell ref="B15:C15"/>
    <mergeCell ref="B16:C16"/>
    <mergeCell ref="S16:S19"/>
    <mergeCell ref="B17:C18"/>
    <mergeCell ref="N17:N18"/>
    <mergeCell ref="B19:C19"/>
    <mergeCell ref="N19:N20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N9:N10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38:N39"/>
    <mergeCell ref="S35:S37"/>
    <mergeCell ref="P9:P10"/>
    <mergeCell ref="B11:C12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B117:C117"/>
    <mergeCell ref="A115:A117"/>
    <mergeCell ref="B111:C111"/>
    <mergeCell ref="B112:C112"/>
    <mergeCell ref="B118:C118"/>
    <mergeCell ref="N119:N120"/>
    <mergeCell ref="A118:A120"/>
    <mergeCell ref="N121:N122"/>
    <mergeCell ref="A121:A124"/>
    <mergeCell ref="N123:N124"/>
    <mergeCell ref="B141:C141"/>
    <mergeCell ref="B142:C142"/>
    <mergeCell ref="S112:S114"/>
    <mergeCell ref="A112:A114"/>
    <mergeCell ref="S115:S117"/>
    <mergeCell ref="S118:S120"/>
    <mergeCell ref="S121:S124"/>
    <mergeCell ref="S130:S132"/>
    <mergeCell ref="N125:N126"/>
    <mergeCell ref="N127:N128"/>
    <mergeCell ref="N129:N130"/>
    <mergeCell ref="A125:A126"/>
    <mergeCell ref="N131:N132"/>
    <mergeCell ref="A130:A132"/>
    <mergeCell ref="A127:A129"/>
    <mergeCell ref="B130:C130"/>
    <mergeCell ref="B131:C131"/>
    <mergeCell ref="B132:C132"/>
    <mergeCell ref="B127:C128"/>
    <mergeCell ref="B129:C129"/>
    <mergeCell ref="S125:S126"/>
    <mergeCell ref="S127:S129"/>
    <mergeCell ref="N141:N142"/>
    <mergeCell ref="A139:A142"/>
    <mergeCell ref="S139:S142"/>
    <mergeCell ref="B143:C143"/>
    <mergeCell ref="B154:C154"/>
    <mergeCell ref="B155:C155"/>
    <mergeCell ref="B156:C156"/>
    <mergeCell ref="B133:C133"/>
    <mergeCell ref="N133:N134"/>
    <mergeCell ref="S133:S135"/>
    <mergeCell ref="B139:C139"/>
    <mergeCell ref="S136:S138"/>
    <mergeCell ref="A133:A135"/>
    <mergeCell ref="A136:A138"/>
    <mergeCell ref="B134:C134"/>
    <mergeCell ref="N135:N136"/>
    <mergeCell ref="B137:C137"/>
    <mergeCell ref="D137:E137"/>
    <mergeCell ref="B138:C138"/>
    <mergeCell ref="N137:N138"/>
    <mergeCell ref="B140:C140"/>
    <mergeCell ref="B135:C135"/>
    <mergeCell ref="B136:C136"/>
    <mergeCell ref="N139:N140"/>
  </mergeCells>
  <phoneticPr fontId="118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G26" sqref="G26:G3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546" t="s">
        <v>269</v>
      </c>
      <c r="B3" s="1547"/>
      <c r="C3" s="1547"/>
      <c r="D3" s="1547"/>
      <c r="E3" s="1547"/>
      <c r="F3" s="1547"/>
      <c r="G3" s="1548"/>
      <c r="I3" s="1">
        <f>I2/2</f>
        <v>720</v>
      </c>
    </row>
    <row r="4" spans="1:14" ht="15" thickBot="1" x14ac:dyDescent="0.35">
      <c r="A4" s="1549" t="s">
        <v>0</v>
      </c>
      <c r="B4" s="1550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858">
        <v>46268</v>
      </c>
      <c r="B5" s="1542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858">
        <v>46269</v>
      </c>
      <c r="B6" s="1542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858">
        <v>46270</v>
      </c>
      <c r="B7" s="1542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858">
        <v>46271</v>
      </c>
      <c r="B8" s="1542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858">
        <v>46272</v>
      </c>
      <c r="B9" s="1542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858">
        <v>46273</v>
      </c>
      <c r="B10" s="1542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858">
        <v>46274</v>
      </c>
      <c r="B11" s="1542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858">
        <v>46275</v>
      </c>
      <c r="B12" s="1542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858">
        <v>46276</v>
      </c>
      <c r="B13" s="1542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858">
        <v>46277</v>
      </c>
      <c r="B14" s="1542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858">
        <v>46278</v>
      </c>
      <c r="B15" s="1542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858">
        <v>46279</v>
      </c>
      <c r="B16" s="1542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858">
        <v>46280</v>
      </c>
      <c r="B17" s="1542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858">
        <v>46281</v>
      </c>
      <c r="B18" s="1542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858">
        <v>46282</v>
      </c>
      <c r="B19" s="1542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858">
        <v>46283</v>
      </c>
      <c r="B20" s="1542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858">
        <v>46284</v>
      </c>
      <c r="B21" s="1542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858">
        <v>46285</v>
      </c>
      <c r="B22" s="1542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858">
        <v>46286</v>
      </c>
      <c r="B23" s="1542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858">
        <v>46287</v>
      </c>
      <c r="B24" s="1542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858">
        <v>46288</v>
      </c>
      <c r="B25" s="1542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858">
        <v>46289</v>
      </c>
      <c r="B26" s="1542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858">
        <v>46290</v>
      </c>
      <c r="B27" s="1542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858">
        <v>46291</v>
      </c>
      <c r="B28" s="1542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858">
        <v>46292</v>
      </c>
      <c r="B29" s="1542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858">
        <v>46293</v>
      </c>
      <c r="B30" s="1542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858">
        <v>46294</v>
      </c>
      <c r="B31" s="1542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858">
        <v>46295</v>
      </c>
      <c r="B32" s="1542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858">
        <v>46296</v>
      </c>
      <c r="B33" s="1542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858">
        <v>46297</v>
      </c>
      <c r="B34" s="1542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858">
        <v>46298</v>
      </c>
      <c r="B35" s="1542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858">
        <v>46299</v>
      </c>
      <c r="B36" s="1542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858">
        <v>46300</v>
      </c>
      <c r="B37" s="1542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858">
        <v>46301</v>
      </c>
      <c r="B38" s="1542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858">
        <v>46302</v>
      </c>
      <c r="B39" s="1542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858">
        <v>46303</v>
      </c>
      <c r="B40" s="1542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858">
        <v>46304</v>
      </c>
      <c r="B41" s="1542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858">
        <v>46305</v>
      </c>
      <c r="B42" s="1542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858">
        <v>46306</v>
      </c>
      <c r="B43" s="1542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858">
        <v>46307</v>
      </c>
      <c r="B44" s="1542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858">
        <v>46308</v>
      </c>
      <c r="B45" s="1542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858">
        <v>46309</v>
      </c>
      <c r="B46" s="1542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858">
        <v>46310</v>
      </c>
      <c r="B47" s="1542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858">
        <v>46311</v>
      </c>
      <c r="B48" s="1542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858">
        <v>46312</v>
      </c>
      <c r="B49" s="1542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858">
        <v>46313</v>
      </c>
      <c r="B50" s="1542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858">
        <v>46314</v>
      </c>
      <c r="B51" s="1542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858">
        <v>46315</v>
      </c>
      <c r="B52" s="1542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858">
        <v>46316</v>
      </c>
      <c r="B53" s="1542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858">
        <v>46317</v>
      </c>
      <c r="B54" s="1542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858">
        <v>46318</v>
      </c>
      <c r="B55" s="1542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858">
        <v>46319</v>
      </c>
      <c r="B56" s="1542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858">
        <v>46320</v>
      </c>
      <c r="B57" s="1542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858">
        <v>46321</v>
      </c>
      <c r="B58" s="1542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858">
        <v>46322</v>
      </c>
      <c r="B59" s="1542"/>
      <c r="C59" s="64"/>
      <c r="D59" s="67"/>
      <c r="E59" s="67"/>
      <c r="F59" s="61">
        <f t="shared" si="5"/>
        <v>0</v>
      </c>
      <c r="G59" s="65"/>
    </row>
    <row r="60" spans="1:18" x14ac:dyDescent="0.3">
      <c r="A60" s="1858">
        <v>46323</v>
      </c>
      <c r="B60" s="1542"/>
      <c r="C60" s="64"/>
      <c r="D60" s="67"/>
      <c r="E60" s="67"/>
      <c r="F60" s="61">
        <f t="shared" si="5"/>
        <v>0</v>
      </c>
      <c r="G60" s="65"/>
    </row>
    <row r="61" spans="1:18" x14ac:dyDescent="0.3">
      <c r="A61" s="1858">
        <v>46324</v>
      </c>
      <c r="B61" s="1542"/>
      <c r="C61" s="64"/>
      <c r="D61" s="67"/>
      <c r="E61" s="67"/>
      <c r="F61" s="61">
        <f t="shared" si="5"/>
        <v>0</v>
      </c>
      <c r="G61" s="65"/>
    </row>
    <row r="62" spans="1:18" x14ac:dyDescent="0.3">
      <c r="A62" s="1858">
        <v>46325</v>
      </c>
      <c r="B62" s="1542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4"/>
  <sheetViews>
    <sheetView topLeftCell="A55" zoomScale="71" zoomScaleNormal="50" workbookViewId="0">
      <pane xSplit="2" topLeftCell="AN1" activePane="topRight" state="frozen"/>
      <selection pane="topRight" activeCell="BB69" sqref="BB69"/>
    </sheetView>
  </sheetViews>
  <sheetFormatPr defaultColWidth="8.88671875"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0" width="15" style="12" customWidth="1"/>
    <col min="11" max="11" width="11.44140625" style="12" bestFit="1" customWidth="1"/>
    <col min="12" max="12" width="30.109375" style="12" bestFit="1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446" t="s">
        <v>242</v>
      </c>
      <c r="F2" s="1447"/>
      <c r="G2" s="1447"/>
      <c r="H2" s="1447"/>
      <c r="I2" s="1447"/>
      <c r="J2" s="1447"/>
      <c r="K2" s="1447"/>
      <c r="L2" s="1447"/>
      <c r="M2" s="1447"/>
      <c r="N2" s="1447"/>
      <c r="O2" s="1447"/>
      <c r="P2" s="1447"/>
      <c r="Q2" s="1447"/>
      <c r="R2" s="1447"/>
      <c r="S2" s="1447"/>
      <c r="T2" s="1447"/>
      <c r="U2" s="1447"/>
      <c r="V2" s="1447"/>
      <c r="W2" s="1447"/>
      <c r="X2" s="1447"/>
      <c r="Y2" s="1447"/>
      <c r="Z2" s="1447"/>
      <c r="AA2" s="1447"/>
      <c r="AB2" s="1447"/>
      <c r="AC2" s="1447"/>
      <c r="AD2" s="1447"/>
      <c r="AE2" s="1447"/>
      <c r="AF2" s="1448"/>
    </row>
    <row r="3" spans="1:68" ht="24" thickBot="1" x14ac:dyDescent="0.5">
      <c r="E3" s="1446" t="s">
        <v>197</v>
      </c>
      <c r="F3" s="1447"/>
      <c r="G3" s="1447"/>
      <c r="H3" s="1447"/>
      <c r="I3" s="1447"/>
      <c r="J3" s="1447"/>
      <c r="K3" s="1447"/>
      <c r="L3" s="1447"/>
      <c r="M3" s="1447"/>
      <c r="N3" s="1447"/>
      <c r="O3" s="1447"/>
      <c r="P3" s="1447"/>
      <c r="Q3" s="1447"/>
      <c r="R3" s="1447"/>
      <c r="S3" s="1447"/>
      <c r="T3" s="1447"/>
      <c r="U3" s="1447"/>
      <c r="V3" s="1447"/>
      <c r="W3" s="1447"/>
      <c r="X3" s="1447"/>
      <c r="Y3" s="1447"/>
      <c r="Z3" s="1447"/>
      <c r="AA3" s="1447"/>
      <c r="AB3" s="1447"/>
      <c r="AC3" s="1447"/>
      <c r="AD3" s="1447"/>
      <c r="AE3" s="1447"/>
      <c r="AF3" s="1448"/>
      <c r="AJ3" s="136"/>
      <c r="AO3" s="2"/>
    </row>
    <row r="4" spans="1:68" ht="24" thickBot="1" x14ac:dyDescent="0.5">
      <c r="E4" s="1451" t="s">
        <v>535</v>
      </c>
      <c r="F4" s="1452"/>
      <c r="G4" s="1452"/>
      <c r="H4" s="1452"/>
      <c r="I4" s="1452"/>
      <c r="J4" s="1452"/>
      <c r="K4" s="1452"/>
      <c r="L4" s="1452"/>
      <c r="M4" s="1452"/>
      <c r="N4" s="1452"/>
      <c r="O4" s="1452"/>
      <c r="P4" s="1452"/>
      <c r="Q4" s="1452"/>
      <c r="R4" s="1452"/>
      <c r="S4" s="1452"/>
      <c r="T4" s="1452"/>
      <c r="U4" s="1452"/>
      <c r="V4" s="1452"/>
      <c r="W4" s="1452"/>
      <c r="X4" s="1452"/>
      <c r="Y4" s="1452"/>
      <c r="Z4" s="1452"/>
      <c r="AA4" s="1452"/>
      <c r="AB4" s="1452"/>
      <c r="AC4" s="1452"/>
      <c r="AD4" s="1452"/>
      <c r="AE4" s="1452"/>
      <c r="AF4" s="1453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457" t="s">
        <v>843</v>
      </c>
      <c r="G6" s="1457"/>
      <c r="H6" s="1457" t="s">
        <v>844</v>
      </c>
      <c r="I6" s="1457"/>
      <c r="K6" s="244"/>
      <c r="L6" s="244"/>
      <c r="O6" s="29"/>
      <c r="V6" s="946"/>
      <c r="W6" s="10"/>
      <c r="Y6" s="10"/>
      <c r="Z6" s="117"/>
      <c r="AA6" s="117"/>
      <c r="AB6" s="117"/>
      <c r="AD6" s="1107"/>
      <c r="AE6" s="1145"/>
      <c r="AG6" s="2"/>
      <c r="AI6" s="10"/>
      <c r="AL6" s="43"/>
      <c r="AO6" s="10"/>
      <c r="AS6" s="10"/>
    </row>
    <row r="7" spans="1:68" x14ac:dyDescent="0.3">
      <c r="B7" s="1433" t="s">
        <v>258</v>
      </c>
      <c r="C7" s="205" t="s">
        <v>324</v>
      </c>
      <c r="D7" s="205" t="s">
        <v>704</v>
      </c>
      <c r="E7" s="1433" t="s">
        <v>243</v>
      </c>
      <c r="F7" s="1433" t="s">
        <v>244</v>
      </c>
      <c r="G7" s="1433" t="s">
        <v>245</v>
      </c>
      <c r="H7" s="1433" t="s">
        <v>246</v>
      </c>
      <c r="I7" s="1433" t="s">
        <v>247</v>
      </c>
      <c r="J7" s="1449" t="s">
        <v>144</v>
      </c>
      <c r="K7" s="1454" t="s">
        <v>678</v>
      </c>
      <c r="L7" s="1454" t="s">
        <v>934</v>
      </c>
      <c r="M7" s="1433" t="s">
        <v>249</v>
      </c>
      <c r="N7" s="1441" t="s">
        <v>248</v>
      </c>
      <c r="O7" s="224" t="s">
        <v>248</v>
      </c>
      <c r="P7" s="1441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433" t="s">
        <v>250</v>
      </c>
      <c r="W7" s="205" t="s">
        <v>302</v>
      </c>
      <c r="X7" s="1433" t="s">
        <v>259</v>
      </c>
      <c r="Y7" s="1433"/>
      <c r="Z7" s="1433"/>
      <c r="AA7" s="1423" t="s">
        <v>261</v>
      </c>
      <c r="AB7" s="1423"/>
      <c r="AC7" s="1423"/>
      <c r="AD7" s="1433" t="s">
        <v>268</v>
      </c>
      <c r="AE7" s="1433" t="s">
        <v>289</v>
      </c>
      <c r="AF7" s="1423" t="s">
        <v>255</v>
      </c>
      <c r="AG7" s="1423"/>
      <c r="AH7" s="1423"/>
      <c r="AI7" s="1423"/>
      <c r="AJ7" s="1423"/>
      <c r="AK7" s="1423"/>
      <c r="AL7" s="1423" t="s">
        <v>265</v>
      </c>
      <c r="AM7" s="1423"/>
      <c r="AN7" s="1423"/>
      <c r="AO7" s="1423" t="s">
        <v>266</v>
      </c>
      <c r="AP7" s="1423"/>
      <c r="AQ7" s="1423"/>
      <c r="AR7" s="131"/>
      <c r="AS7" s="247" t="s">
        <v>329</v>
      </c>
      <c r="AT7" s="1435" t="s">
        <v>272</v>
      </c>
      <c r="AU7" s="1436"/>
      <c r="AV7" s="1437"/>
      <c r="AW7" s="1443" t="s">
        <v>299</v>
      </c>
      <c r="AX7" s="1148"/>
      <c r="AY7" s="1441" t="s">
        <v>300</v>
      </c>
      <c r="AZ7" s="1423" t="s">
        <v>659</v>
      </c>
      <c r="BA7" s="1423"/>
      <c r="BB7" s="1423"/>
      <c r="BC7" s="131" t="s">
        <v>292</v>
      </c>
      <c r="BD7" s="1423" t="s">
        <v>276</v>
      </c>
      <c r="BE7" s="1423"/>
      <c r="BF7" s="1423"/>
      <c r="BG7" s="1423" t="s">
        <v>759</v>
      </c>
      <c r="BH7" s="1423"/>
      <c r="BI7" s="1423"/>
      <c r="BJ7" s="1423" t="s">
        <v>761</v>
      </c>
      <c r="BK7" s="1423"/>
      <c r="BL7" s="1423"/>
    </row>
    <row r="8" spans="1:68" x14ac:dyDescent="0.3">
      <c r="B8" s="1433"/>
      <c r="C8" s="205" t="s">
        <v>295</v>
      </c>
      <c r="D8" s="205" t="s">
        <v>36</v>
      </c>
      <c r="E8" s="1433"/>
      <c r="F8" s="1433"/>
      <c r="G8" s="1433"/>
      <c r="H8" s="1433"/>
      <c r="I8" s="1433"/>
      <c r="J8" s="1449"/>
      <c r="K8" s="1455"/>
      <c r="L8" s="1455"/>
      <c r="M8" s="1433"/>
      <c r="N8" s="1450"/>
      <c r="O8" s="225" t="s">
        <v>315</v>
      </c>
      <c r="P8" s="1450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433"/>
      <c r="W8" s="205" t="s">
        <v>184</v>
      </c>
      <c r="X8" s="1433" t="s">
        <v>260</v>
      </c>
      <c r="Y8" s="1433"/>
      <c r="Z8" s="1433"/>
      <c r="AA8" s="1423" t="s">
        <v>464</v>
      </c>
      <c r="AB8" s="1423"/>
      <c r="AC8" s="1423"/>
      <c r="AD8" s="1433"/>
      <c r="AE8" s="1433"/>
      <c r="AF8" s="1423" t="s">
        <v>262</v>
      </c>
      <c r="AG8" s="1423"/>
      <c r="AH8" s="1423"/>
      <c r="AI8" s="1423" t="s">
        <v>263</v>
      </c>
      <c r="AJ8" s="1423"/>
      <c r="AK8" s="1423"/>
      <c r="AL8" s="1423" t="s">
        <v>264</v>
      </c>
      <c r="AM8" s="1423"/>
      <c r="AN8" s="1423"/>
      <c r="AO8" s="1423" t="s">
        <v>256</v>
      </c>
      <c r="AP8" s="1423"/>
      <c r="AQ8" s="1423"/>
      <c r="AR8" s="131" t="s">
        <v>257</v>
      </c>
      <c r="AS8" s="248" t="s">
        <v>293</v>
      </c>
      <c r="AT8" s="1438"/>
      <c r="AU8" s="1439"/>
      <c r="AV8" s="1440"/>
      <c r="AW8" s="1444"/>
      <c r="AX8" s="1149"/>
      <c r="AY8" s="1442"/>
      <c r="AZ8" s="1423" t="s">
        <v>260</v>
      </c>
      <c r="BA8" s="1423"/>
      <c r="BB8" s="1423"/>
      <c r="BC8" s="131" t="s">
        <v>293</v>
      </c>
      <c r="BD8" s="1423" t="s">
        <v>40</v>
      </c>
      <c r="BE8" s="1423"/>
      <c r="BF8" s="1423"/>
      <c r="BG8" s="1423" t="s">
        <v>760</v>
      </c>
      <c r="BH8" s="1423"/>
      <c r="BI8" s="1423"/>
      <c r="BJ8" s="1423" t="s">
        <v>40</v>
      </c>
      <c r="BK8" s="1423"/>
      <c r="BL8" s="1423"/>
    </row>
    <row r="9" spans="1:68" x14ac:dyDescent="0.3">
      <c r="B9" s="1433"/>
      <c r="C9" s="205" t="s">
        <v>296</v>
      </c>
      <c r="D9" s="205" t="s">
        <v>741</v>
      </c>
      <c r="E9" s="1433"/>
      <c r="F9" s="1433"/>
      <c r="G9" s="1433"/>
      <c r="H9" s="1433"/>
      <c r="I9" s="1433"/>
      <c r="J9" s="1449"/>
      <c r="K9" s="1456"/>
      <c r="L9" s="1456"/>
      <c r="M9" s="1433"/>
      <c r="N9" s="1442"/>
      <c r="O9" s="204" t="s">
        <v>314</v>
      </c>
      <c r="P9" s="1442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433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433"/>
      <c r="AE9" s="1433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445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19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U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>(AY20*1000)/J20</f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 t="shared" si="70"/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3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 t="shared" si="70"/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8" si="87"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0.1122840915979775</v>
      </c>
      <c r="AW24" s="1346">
        <v>2</v>
      </c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 t="shared" si="70"/>
        <v>0.80259000000000003</v>
      </c>
      <c r="M26" s="1140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4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3">
        <f t="shared" si="26"/>
        <v>0.42962103217546338</v>
      </c>
      <c r="AU26" s="1023">
        <f t="shared" si="27"/>
        <v>0.46341463414634138</v>
      </c>
      <c r="AV26" s="1023">
        <f>IFERROR((AN26-AQ26)/AN26,"")</f>
        <v>0.2655606868818986</v>
      </c>
      <c r="AW26" s="1346">
        <v>2</v>
      </c>
      <c r="AX26" s="1026"/>
      <c r="AY26" s="451">
        <v>1</v>
      </c>
      <c r="AZ26" s="673">
        <f>(BD22+BD24+BD26)/AY26</f>
        <v>241.11396801111113</v>
      </c>
      <c r="BA26" s="452"/>
      <c r="BB26" s="1025"/>
      <c r="BC26" s="1123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 t="shared" si="70"/>
        <v>0.74217999999999995</v>
      </c>
      <c r="M28" s="1140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 t="shared" ref="U28:U35" si="101"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4">
        <f>AVERAGE('Milling and Leach Feed'!T115:T117)</f>
        <v>0.38615873015873015</v>
      </c>
      <c r="Y28" s="1144">
        <f>AVERAGE('Milling and Leach Feed'!U115:U117)</f>
        <v>0.44349206349206344</v>
      </c>
      <c r="Z28" s="1144">
        <f>AVERAGE('Milling and Leach Feed'!V115:V117)</f>
        <v>13.407365079365078</v>
      </c>
      <c r="AA28" s="1144">
        <f>SUM('Milling and Leach Feed'!W115:W117)/$O$28</f>
        <v>0.38543603769508356</v>
      </c>
      <c r="AB28" s="1144">
        <f>SUM('Milling and Leach Feed'!X115:X117)/$O$28</f>
        <v>0.44544284064316592</v>
      </c>
      <c r="AC28" s="1144">
        <f>SUM('Milling and Leach Feed'!Y115:Y117)/$O$28</f>
        <v>13.412935945620669</v>
      </c>
      <c r="AD28" s="1144">
        <f>X28-AA28</f>
        <v>7.2269246364659034E-4</v>
      </c>
      <c r="AE28" s="1342">
        <f>((X28-AA28)/(X28+AA28)/2)</f>
        <v>4.6831088918393985E-4</v>
      </c>
      <c r="AF28" s="1144">
        <f>'LT Floculation'!G24</f>
        <v>0.15962500000000002</v>
      </c>
      <c r="AG28" s="1144">
        <f>'LT Floculation'!H24</f>
        <v>0.21625</v>
      </c>
      <c r="AH28" s="1144">
        <f>'LT Floculation'!I24</f>
        <v>10.736250000000002</v>
      </c>
      <c r="AI28" s="1144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3">
        <f t="shared" si="26"/>
        <v>0.377208817360633</v>
      </c>
      <c r="AU28" s="1023">
        <f t="shared" si="27"/>
        <v>0.51239262705798128</v>
      </c>
      <c r="AV28" s="1023">
        <f t="shared" si="28"/>
        <v>0.19956003342389822</v>
      </c>
      <c r="AW28" s="1346">
        <v>2</v>
      </c>
      <c r="AX28" s="1026"/>
      <c r="AY28" s="451"/>
      <c r="AZ28" s="452"/>
      <c r="BA28" s="452"/>
      <c r="BB28" s="1025"/>
      <c r="BC28" s="1123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">
      <c r="A29" s="1246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 t="shared" ref="L29:L33" si="102">(K29*J29)/1000</f>
        <v>0.90800000000000003</v>
      </c>
      <c r="M29" s="40">
        <v>0.36</v>
      </c>
      <c r="N29" s="39">
        <f t="shared" si="96"/>
        <v>403.69680000000005</v>
      </c>
      <c r="O29" s="39">
        <f t="shared" ref="O29:O34" si="103"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 t="shared" si="101"/>
        <v>46.494</v>
      </c>
      <c r="V29" s="39">
        <f t="shared" si="45"/>
        <v>717.68320000000017</v>
      </c>
      <c r="W29" s="39">
        <f>W28+O29</f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9">
        <f>((X29-AA29)/(X29+AA29)/2)</f>
        <v>3.8786901804691389E-3</v>
      </c>
      <c r="AF29" s="133">
        <f>'LT Floculation'!G25</f>
        <v>7.5166666666666659E-2</v>
      </c>
      <c r="AG29" s="133">
        <f>'LT Floculation'!H25</f>
        <v>0.23333333333333331</v>
      </c>
      <c r="AH29" s="133">
        <f>'LT Floculation'!I25</f>
        <v>9.793333333333333</v>
      </c>
      <c r="AI29" s="6">
        <v>0.04</v>
      </c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26.849743799999999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28.707328000000008</v>
      </c>
      <c r="AS29" s="39">
        <v>20</v>
      </c>
      <c r="AT29" s="38">
        <f t="shared" si="26"/>
        <v>0.77189269850083575</v>
      </c>
      <c r="AU29" s="38">
        <f t="shared" si="27"/>
        <v>0.57351746547522342</v>
      </c>
      <c r="AV29" s="38">
        <f>IFERROR((AN29-AQ29)/AN29,"")</f>
        <v>-0.15959992239787943</v>
      </c>
      <c r="AW29" s="231">
        <v>3</v>
      </c>
      <c r="AX29" s="227"/>
      <c r="AY29" s="13"/>
      <c r="AZ29" s="6"/>
      <c r="BA29" s="6"/>
      <c r="BB29" s="215"/>
      <c r="BC29" s="935">
        <v>20</v>
      </c>
      <c r="BD29" s="39">
        <f>IFERROR((AL29-AO29-AR29),"")</f>
        <v>187.99967291999997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">
      <c r="A30" s="1197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7">
        <v>46314</v>
      </c>
      <c r="G30" s="1138">
        <v>1.3888888888888888E-2</v>
      </c>
      <c r="H30" s="1137">
        <v>46315</v>
      </c>
      <c r="I30" s="1138">
        <v>0.625</v>
      </c>
      <c r="J30" s="451">
        <v>755</v>
      </c>
      <c r="K30" s="451">
        <v>1.6</v>
      </c>
      <c r="L30" s="1144">
        <f t="shared" si="102"/>
        <v>1.208</v>
      </c>
      <c r="M30" s="1140">
        <v>0.36</v>
      </c>
      <c r="N30" s="673">
        <f>M30*J30*P30</f>
        <v>337.03200000000004</v>
      </c>
      <c r="O30" s="673">
        <f t="shared" si="103"/>
        <v>290.91600000000005</v>
      </c>
      <c r="P30" s="451">
        <v>1.24</v>
      </c>
      <c r="Q30" s="451">
        <v>2</v>
      </c>
      <c r="R30" s="1140">
        <v>0.35</v>
      </c>
      <c r="S30" s="451">
        <v>1.23</v>
      </c>
      <c r="T30" s="451">
        <v>108</v>
      </c>
      <c r="U30" s="673">
        <f t="shared" si="101"/>
        <v>46.494</v>
      </c>
      <c r="V30" s="673">
        <f>IFERROR(N30*((1-M30)/M30),"")</f>
        <v>599.16800000000012</v>
      </c>
      <c r="W30" s="673">
        <f>W29+N30</f>
        <v>7064.7804803100007</v>
      </c>
      <c r="X30" s="1144">
        <f>AVERAGE('Milling and Leach Feed'!T121:T124)</f>
        <v>0.42383333333333334</v>
      </c>
      <c r="Y30" s="1144">
        <f>AVERAGE('Milling and Leach Feed'!U121:U124)</f>
        <v>0.40491666666666665</v>
      </c>
      <c r="Z30" s="1144">
        <f>AVERAGE('Milling and Leach Feed'!V121:V124)</f>
        <v>11.380666666666666</v>
      </c>
      <c r="AA30" s="1144">
        <f>SUM('Milling and Leach Feed'!W121:W124)/'Au Cal Leaching Tank'!$O$30</f>
        <v>0.41978980252404685</v>
      </c>
      <c r="AB30" s="1144">
        <f>SUM('Milling and Leach Feed'!X121:X124)/'Au Cal Leaching Tank'!$O$30</f>
        <v>0.40813185581910444</v>
      </c>
      <c r="AC30" s="1144">
        <f>SUM('Milling and Leach Feed'!Y121:Y124)/'Au Cal Leaching Tank'!$O$30</f>
        <v>11.102428731199707</v>
      </c>
      <c r="AD30" s="1144">
        <f>X30-AA30</f>
        <v>4.0435308092864886E-3</v>
      </c>
      <c r="AE30" s="1383">
        <f>((X30-AA30)/(X30+AA30)/2)</f>
        <v>2.3965267412782718E-3</v>
      </c>
      <c r="AF30" s="1409">
        <f>'LT Floculation'!G26</f>
        <v>0.14933333333333335</v>
      </c>
      <c r="AG30" s="1409">
        <f>'LT Floculation'!H26</f>
        <v>0.39666666666666667</v>
      </c>
      <c r="AH30" s="1409">
        <f>'LT Floculation'!I26</f>
        <v>14.963333333333333</v>
      </c>
      <c r="AI30" s="1287">
        <v>0.04</v>
      </c>
      <c r="AJ30" s="452"/>
      <c r="AK30" s="452"/>
      <c r="AL30" s="673">
        <f t="shared" si="97"/>
        <v>123.29989800000003</v>
      </c>
      <c r="AM30" s="673">
        <f>$O30*Y30</f>
        <v>117.79673700000002</v>
      </c>
      <c r="AN30" s="673">
        <f t="shared" si="99"/>
        <v>3229.8741567656944</v>
      </c>
      <c r="AO30" s="673">
        <f t="shared" si="78"/>
        <v>43.443456000000012</v>
      </c>
      <c r="AP30" s="673">
        <f>AG30*$O30</f>
        <v>115.39668000000002</v>
      </c>
      <c r="AQ30" s="673">
        <f t="shared" si="80"/>
        <v>4353.073080000001</v>
      </c>
      <c r="AR30" s="673">
        <f t="shared" si="81"/>
        <v>23.966720000000006</v>
      </c>
      <c r="AS30" s="673">
        <v>21</v>
      </c>
      <c r="AT30" s="1023">
        <f t="shared" si="26"/>
        <v>0.45328279184788939</v>
      </c>
      <c r="AU30" s="1023">
        <f>IFERROR((AM30-AP30)/AM30,"")</f>
        <v>2.0374562667215507E-2</v>
      </c>
      <c r="AV30" s="1023">
        <f t="shared" si="28"/>
        <v>-0.34775315344144758</v>
      </c>
      <c r="AW30" s="1024">
        <v>2</v>
      </c>
      <c r="AX30" s="1026"/>
      <c r="AY30" s="451"/>
      <c r="AZ30" s="452"/>
      <c r="BA30" s="452"/>
      <c r="BB30" s="1025"/>
      <c r="BC30" s="1123">
        <v>21</v>
      </c>
      <c r="BD30" s="673">
        <f t="shared" si="83"/>
        <v>55.889722000000006</v>
      </c>
      <c r="BE30" s="673">
        <f>(AM30-AP30)</f>
        <v>2.4000570000000039</v>
      </c>
      <c r="BF30" s="673">
        <f t="shared" si="86"/>
        <v>-1123.1989232343067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39">
        <f>SUM('Milling and Leach Feed'!P125:P126)+6</f>
        <v>25.666666666666664</v>
      </c>
      <c r="D31" s="39">
        <f>O31/C31</f>
        <v>10.390129870129874</v>
      </c>
      <c r="E31" s="13">
        <v>3</v>
      </c>
      <c r="F31" s="73">
        <v>46316</v>
      </c>
      <c r="G31" s="102">
        <v>0.1875</v>
      </c>
      <c r="H31" s="73">
        <v>46316</v>
      </c>
      <c r="I31" s="102">
        <v>0.79166666666666663</v>
      </c>
      <c r="J31" s="13">
        <v>755</v>
      </c>
      <c r="K31" s="13">
        <v>1.6</v>
      </c>
      <c r="L31" s="13">
        <f t="shared" si="102"/>
        <v>1.208</v>
      </c>
      <c r="M31" s="40">
        <v>0.34</v>
      </c>
      <c r="N31" s="39">
        <f t="shared" si="96"/>
        <v>313.17400000000004</v>
      </c>
      <c r="O31" s="39">
        <f t="shared" si="103"/>
        <v>266.68000000000006</v>
      </c>
      <c r="P31" s="13">
        <v>1.22</v>
      </c>
      <c r="Q31" s="13">
        <v>3</v>
      </c>
      <c r="R31" s="40">
        <v>0.35</v>
      </c>
      <c r="S31" s="13">
        <v>1.22</v>
      </c>
      <c r="T31" s="13">
        <v>108</v>
      </c>
      <c r="U31" s="39">
        <f t="shared" si="101"/>
        <v>46.115999999999993</v>
      </c>
      <c r="V31" s="39">
        <f>IFERROR(N31*((1-M31)/M31),"")</f>
        <v>607.92599999999993</v>
      </c>
      <c r="W31" s="39">
        <f>O31+W30</f>
        <v>7331.460480310001</v>
      </c>
      <c r="X31" s="133">
        <f>AVERAGE('Milling and Leach Feed'!T125:T126)</f>
        <v>0.49551111111111101</v>
      </c>
      <c r="Y31" s="133">
        <f>AVERAGE('Milling and Leach Feed'!U125:U126)</f>
        <v>0.45855555555555561</v>
      </c>
      <c r="Z31" s="133">
        <f>AVERAGE('Milling and Leach Feed'!V125:V126)</f>
        <v>15.227111111111114</v>
      </c>
      <c r="AA31" s="133">
        <f>SUM('Milling and Leach Feed'!W125:W126)/$O$31</f>
        <v>0.48492653637839328</v>
      </c>
      <c r="AB31" s="133">
        <f>SUM('Milling and Leach Feed'!X125:X126)/$O$31</f>
        <v>0.44214791413641796</v>
      </c>
      <c r="AC31" s="133">
        <f>SUM('Milling and Leach Feed'!Y125:Y126)/$O$31</f>
        <v>17.124513209093664</v>
      </c>
      <c r="AD31" s="133">
        <f>X31-AA31</f>
        <v>1.0584574732717733E-2</v>
      </c>
      <c r="AE31" s="1329">
        <f>((X31-AA31)/(X31+AA31)/2)</f>
        <v>5.3978826495598448E-3</v>
      </c>
      <c r="AF31" s="133">
        <f>'LT Floculation'!G27</f>
        <v>0.16366666666666665</v>
      </c>
      <c r="AG31" s="133">
        <f>'LT Floculation'!H27</f>
        <v>0.45333333333333337</v>
      </c>
      <c r="AH31" s="133">
        <f>'LT Floculation'!I27</f>
        <v>14.996666666666668</v>
      </c>
      <c r="AI31" s="6">
        <v>3.2000000000000001E-2</v>
      </c>
      <c r="AJ31" s="6"/>
      <c r="AK31" s="6"/>
      <c r="AL31" s="39">
        <f t="shared" si="97"/>
        <v>132.14290311111111</v>
      </c>
      <c r="AM31" s="39">
        <f t="shared" si="98"/>
        <v>122.2875955555556</v>
      </c>
      <c r="AN31" s="39">
        <f t="shared" si="99"/>
        <v>4566.7651826010997</v>
      </c>
      <c r="AO31" s="39">
        <f t="shared" si="78"/>
        <v>43.646626666666677</v>
      </c>
      <c r="AP31" s="39">
        <f>AG31*$O31</f>
        <v>120.89493333333337</v>
      </c>
      <c r="AQ31" s="39">
        <f t="shared" si="80"/>
        <v>3999.311066666668</v>
      </c>
      <c r="AR31" s="39">
        <f t="shared" si="81"/>
        <v>19.453631999999999</v>
      </c>
      <c r="AS31" s="39">
        <v>22</v>
      </c>
      <c r="AT31" s="38">
        <f t="shared" si="26"/>
        <v>0.52248469512123996</v>
      </c>
      <c r="AU31" s="38">
        <f>IFERROR((AM31-AP31)/AM31,"")</f>
        <v>1.13884177368549E-2</v>
      </c>
      <c r="AV31" s="38">
        <f t="shared" si="28"/>
        <v>0.12425734480423317</v>
      </c>
      <c r="AW31" s="979">
        <v>3</v>
      </c>
      <c r="AX31" s="227"/>
      <c r="AY31" s="13"/>
      <c r="AZ31" s="6"/>
      <c r="BA31" s="6"/>
      <c r="BB31" s="215"/>
      <c r="BC31" s="935">
        <v>22</v>
      </c>
      <c r="BD31" s="39">
        <f t="shared" si="83"/>
        <v>69.042644444444434</v>
      </c>
      <c r="BE31" s="39">
        <f t="shared" si="69"/>
        <v>1.3926622222222278</v>
      </c>
      <c r="BF31" s="39">
        <f t="shared" si="86"/>
        <v>567.45411593443168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673">
        <f>SUM('Milling and Leach Feed'!P127:P129)</f>
        <v>30.333333333333336</v>
      </c>
      <c r="D32" s="673">
        <f>O32/C32</f>
        <v>9.5781758241758244</v>
      </c>
      <c r="E32" s="451">
        <v>2</v>
      </c>
      <c r="F32" s="1137">
        <v>46317</v>
      </c>
      <c r="G32" s="1138">
        <v>0.68888888888888888</v>
      </c>
      <c r="H32" s="1137">
        <v>46318</v>
      </c>
      <c r="I32" s="1138">
        <v>0.79166666666666663</v>
      </c>
      <c r="J32" s="451">
        <v>755</v>
      </c>
      <c r="K32" s="451">
        <v>1.6</v>
      </c>
      <c r="L32" s="451">
        <f t="shared" si="102"/>
        <v>1.208</v>
      </c>
      <c r="M32" s="1140">
        <v>0.36</v>
      </c>
      <c r="N32" s="673">
        <f>M32*J32*P32</f>
        <v>337.03200000000004</v>
      </c>
      <c r="O32" s="673">
        <f t="shared" si="103"/>
        <v>290.53800000000001</v>
      </c>
      <c r="P32" s="451">
        <v>1.24</v>
      </c>
      <c r="Q32" s="451">
        <v>2</v>
      </c>
      <c r="R32" s="1140">
        <v>0.36</v>
      </c>
      <c r="S32" s="451">
        <v>1.24</v>
      </c>
      <c r="T32" s="451">
        <v>108</v>
      </c>
      <c r="U32" s="673">
        <f t="shared" si="101"/>
        <v>48.211199999999991</v>
      </c>
      <c r="V32" s="673">
        <f t="shared" si="45"/>
        <v>599.16800000000012</v>
      </c>
      <c r="W32" s="673">
        <f>O32+W31</f>
        <v>7621.9984803100015</v>
      </c>
      <c r="X32" s="1144">
        <f>AVERAGE('Milling and Leach Feed'!T127:T129)</f>
        <v>0.56241111111111108</v>
      </c>
      <c r="Y32" s="1144">
        <f>AVERAGE('Milling and Leach Feed'!U127:U129)</f>
        <v>0.63960000000000006</v>
      </c>
      <c r="Z32" s="1144">
        <f>AVERAGE('Milling and Leach Feed'!V127:V129)</f>
        <v>16.466111111111115</v>
      </c>
      <c r="AA32" s="1144">
        <f>SUM('Milling and Leach Feed'!W127:W129)/'Au Cal Leaching Tank'!$O$32</f>
        <v>0.58029348382248158</v>
      </c>
      <c r="AB32" s="1144">
        <f>SUM('Milling and Leach Feed'!X127:X129)/'Au Cal Leaching Tank'!$O$32</f>
        <v>0.64126248532239027</v>
      </c>
      <c r="AC32" s="1144">
        <f>SUM('Milling and Leach Feed'!Y127:Y129)/'Au Cal Leaching Tank'!$O$32</f>
        <v>16.05372690828413</v>
      </c>
      <c r="AD32" s="1144">
        <f>X32-AA32</f>
        <v>-1.7882372711370498E-2</v>
      </c>
      <c r="AE32" s="1023">
        <f>((X32-AA32)/(X32+AA32)/2)</f>
        <v>-7.824582482058591E-3</v>
      </c>
      <c r="AF32" s="1409">
        <f>'LT Floculation'!G28</f>
        <v>5.1700000000000003E-2</v>
      </c>
      <c r="AG32" s="1409">
        <f>'LT Floculation'!H28</f>
        <v>0.35400000000000004</v>
      </c>
      <c r="AH32" s="1409">
        <f>'LT Floculation'!I28</f>
        <v>15.597</v>
      </c>
      <c r="AI32" s="1287">
        <v>0.11899999999999999</v>
      </c>
      <c r="AJ32" s="452"/>
      <c r="AK32" s="452"/>
      <c r="AL32" s="673">
        <f t="shared" si="97"/>
        <v>163.40179939999999</v>
      </c>
      <c r="AM32" s="673">
        <f t="shared" si="98"/>
        <v>185.82810480000003</v>
      </c>
      <c r="AN32" s="673">
        <f t="shared" si="99"/>
        <v>4664.2177084790546</v>
      </c>
      <c r="AO32" s="673">
        <f t="shared" si="78"/>
        <v>15.020814600000001</v>
      </c>
      <c r="AP32" s="673">
        <f t="shared" si="79"/>
        <v>102.85045200000002</v>
      </c>
      <c r="AQ32" s="673">
        <f t="shared" si="80"/>
        <v>4531.5211859999999</v>
      </c>
      <c r="AR32" s="673">
        <f t="shared" si="81"/>
        <v>71.300992000000008</v>
      </c>
      <c r="AS32" s="673">
        <v>23</v>
      </c>
      <c r="AT32" s="1023">
        <f t="shared" si="26"/>
        <v>0.47172058742946738</v>
      </c>
      <c r="AU32" s="1023">
        <f t="shared" si="27"/>
        <v>0.44652908067542213</v>
      </c>
      <c r="AV32" s="1023">
        <f t="shared" si="28"/>
        <v>2.844989894829018E-2</v>
      </c>
      <c r="AW32" s="1024">
        <v>2</v>
      </c>
      <c r="AX32" s="1026"/>
      <c r="AY32" s="451"/>
      <c r="AZ32" s="452"/>
      <c r="BA32" s="452"/>
      <c r="BB32" s="1025"/>
      <c r="BC32" s="1123">
        <v>23</v>
      </c>
      <c r="BD32" s="673">
        <f t="shared" si="83"/>
        <v>77.079992799999985</v>
      </c>
      <c r="BE32" s="673">
        <f t="shared" si="69"/>
        <v>82.977652800000016</v>
      </c>
      <c r="BF32" s="673">
        <f t="shared" si="86"/>
        <v>132.69652247905469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39">
        <f>SUM('Milling and Leach Feed'!P130:P132)</f>
        <v>25.516666666666666</v>
      </c>
      <c r="D33" s="39">
        <f>O33/C33</f>
        <v>11.401018941868063</v>
      </c>
      <c r="E33" s="13">
        <v>3</v>
      </c>
      <c r="F33" s="73">
        <v>46319</v>
      </c>
      <c r="G33" s="102">
        <v>0.25</v>
      </c>
      <c r="H33" s="73">
        <v>46319</v>
      </c>
      <c r="I33" s="102">
        <v>0.875</v>
      </c>
      <c r="J33" s="13">
        <v>755</v>
      </c>
      <c r="K33" s="13">
        <v>1.4</v>
      </c>
      <c r="L33" s="13">
        <f t="shared" si="102"/>
        <v>1.0569999999999999</v>
      </c>
      <c r="M33" s="40">
        <v>0.36</v>
      </c>
      <c r="N33" s="39">
        <f>M33*J33*P33</f>
        <v>337.03200000000004</v>
      </c>
      <c r="O33" s="39">
        <f t="shared" si="103"/>
        <v>290.91600000000005</v>
      </c>
      <c r="P33" s="13">
        <v>1.24</v>
      </c>
      <c r="Q33" s="13">
        <v>3</v>
      </c>
      <c r="R33" s="40">
        <v>0.35</v>
      </c>
      <c r="S33" s="13">
        <v>1.23</v>
      </c>
      <c r="T33" s="13">
        <v>108</v>
      </c>
      <c r="U33" s="39">
        <f t="shared" si="101"/>
        <v>46.494</v>
      </c>
      <c r="V33" s="39">
        <f>IFERROR(N33*((1-M33)/M33),"")</f>
        <v>599.16800000000012</v>
      </c>
      <c r="W33" s="39">
        <f>O33+W32</f>
        <v>7912.9144803100016</v>
      </c>
      <c r="X33" s="133">
        <f>AVERAGE('Milling and Leach Feed'!T130:T132)</f>
        <v>0.66025</v>
      </c>
      <c r="Y33" s="133">
        <f>AVERAGE('Milling and Leach Feed'!U130:U132)</f>
        <v>0.63666666666666671</v>
      </c>
      <c r="Z33" s="133">
        <f>AVERAGE('Milling and Leach Feed'!V130:V132)</f>
        <v>15.279166666666667</v>
      </c>
      <c r="AA33" s="133">
        <f>SUM('Milling and Leach Feed'!W130:W132)/'Au Cal Leaching Tank'!$O$33</f>
        <v>0.68939277020110235</v>
      </c>
      <c r="AB33" s="133">
        <f>SUM('Milling and Leach Feed'!X130:X132)/'Au Cal Leaching Tank'!$O$33</f>
        <v>0.66289422935665243</v>
      </c>
      <c r="AC33" s="133">
        <f>SUM('Milling and Leach Feed'!Y130:Y132)/'Au Cal Leaching Tank'!$O$33</f>
        <v>15.589278638104462</v>
      </c>
      <c r="AD33" s="1144">
        <f t="shared" ref="AD33:AD34" si="104">X33-AA33</f>
        <v>-2.9142770201102342E-2</v>
      </c>
      <c r="AE33" s="1023">
        <f t="shared" ref="AE33:AE34" si="105">((X33-AA33)/(X33+AA33)/2)</f>
        <v>-1.079647549875733E-2</v>
      </c>
      <c r="AF33" s="133">
        <f>'LT Floculation'!G29</f>
        <v>5.5499999999999994E-2</v>
      </c>
      <c r="AG33" s="133">
        <f>'LT Floculation'!H29</f>
        <v>0.42500000000000004</v>
      </c>
      <c r="AH33" s="133">
        <f>'LT Floculation'!I29</f>
        <v>13.166666666666664</v>
      </c>
      <c r="AI33" s="6">
        <v>5.2999999999999999E-2</v>
      </c>
      <c r="AJ33" s="6"/>
      <c r="AK33" s="6"/>
      <c r="AL33" s="39">
        <f t="shared" si="97"/>
        <v>192.07728900000004</v>
      </c>
      <c r="AM33" s="39">
        <f t="shared" si="98"/>
        <v>185.21652000000006</v>
      </c>
      <c r="AN33" s="39">
        <f t="shared" si="99"/>
        <v>4535.1705842827987</v>
      </c>
      <c r="AO33" s="39">
        <f t="shared" si="78"/>
        <v>16.145838000000001</v>
      </c>
      <c r="AP33" s="39">
        <f t="shared" si="79"/>
        <v>123.63930000000003</v>
      </c>
      <c r="AQ33" s="39">
        <f t="shared" si="80"/>
        <v>3830.3940000000002</v>
      </c>
      <c r="AR33" s="39">
        <f t="shared" si="81"/>
        <v>31.755904000000005</v>
      </c>
      <c r="AS33" s="39">
        <v>24</v>
      </c>
      <c r="AT33" s="38">
        <f>IFERROR(((AL33-(AO33+AR33))/AL33),"")</f>
        <v>0.75061215071605891</v>
      </c>
      <c r="AU33" s="38">
        <f t="shared" si="27"/>
        <v>0.33246073298429324</v>
      </c>
      <c r="AV33" s="38">
        <f t="shared" si="28"/>
        <v>0.15540244213200929</v>
      </c>
      <c r="AW33" s="979">
        <v>3</v>
      </c>
      <c r="AX33" s="227"/>
      <c r="AY33" s="13"/>
      <c r="AZ33" s="6"/>
      <c r="BA33" s="6"/>
      <c r="BB33" s="215"/>
      <c r="BC33" s="935">
        <v>24</v>
      </c>
      <c r="BD33" s="39">
        <f t="shared" si="83"/>
        <v>144.17554700000002</v>
      </c>
      <c r="BE33" s="39">
        <f t="shared" si="69"/>
        <v>61.577220000000025</v>
      </c>
      <c r="BF33" s="39">
        <f t="shared" si="86"/>
        <v>704.77658428279847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673">
        <f>SUM('Milling and Leach Feed'!P133:P135)</f>
        <v>36</v>
      </c>
      <c r="D34" s="673">
        <f>O34/C34</f>
        <v>8.0579999999999998</v>
      </c>
      <c r="E34" s="451">
        <v>2</v>
      </c>
      <c r="F34" s="1137">
        <v>46320</v>
      </c>
      <c r="G34" s="1138">
        <v>0.56319444444444444</v>
      </c>
      <c r="H34" s="1137">
        <v>46321</v>
      </c>
      <c r="I34" s="1138">
        <v>0.35416666666666669</v>
      </c>
      <c r="J34" s="451">
        <v>764</v>
      </c>
      <c r="K34" s="451">
        <v>1.6</v>
      </c>
      <c r="L34" s="1144">
        <f>(K34*J34)/1000</f>
        <v>1.2224000000000002</v>
      </c>
      <c r="M34" s="1140">
        <v>0.36</v>
      </c>
      <c r="N34" s="673">
        <f>M34*J34*P34</f>
        <v>338.29919999999993</v>
      </c>
      <c r="O34" s="673">
        <f t="shared" si="103"/>
        <v>290.08799999999997</v>
      </c>
      <c r="P34" s="451">
        <v>1.23</v>
      </c>
      <c r="Q34" s="451">
        <v>2</v>
      </c>
      <c r="R34" s="1140">
        <v>0.31</v>
      </c>
      <c r="S34" s="1144">
        <v>1.2</v>
      </c>
      <c r="T34" s="451">
        <v>108</v>
      </c>
      <c r="U34" s="673">
        <f t="shared" si="101"/>
        <v>40.175999999999995</v>
      </c>
      <c r="V34" s="673">
        <f t="shared" si="45"/>
        <v>601.42079999999987</v>
      </c>
      <c r="W34" s="673">
        <f>O34+W33</f>
        <v>8203.0024803100023</v>
      </c>
      <c r="X34" s="451"/>
      <c r="Y34" s="452"/>
      <c r="Z34" s="452"/>
      <c r="AA34" s="452"/>
      <c r="AB34" s="452"/>
      <c r="AC34" s="452"/>
      <c r="AD34" s="1144">
        <f t="shared" si="104"/>
        <v>0</v>
      </c>
      <c r="AE34" s="1023" t="e">
        <f t="shared" si="105"/>
        <v>#DIV/0!</v>
      </c>
      <c r="AF34" s="1409">
        <f>'LT Floculation'!G30</f>
        <v>5.9199999999999996E-2</v>
      </c>
      <c r="AG34" s="1409">
        <f>'LT Floculation'!H30</f>
        <v>0.55400000000000005</v>
      </c>
      <c r="AH34" s="1409">
        <f>'LT Floculation'!I30</f>
        <v>17.962</v>
      </c>
      <c r="AI34" s="452">
        <v>0.14699999999999999</v>
      </c>
      <c r="AJ34" s="452"/>
      <c r="AK34" s="452"/>
      <c r="AL34" s="673">
        <f t="shared" si="97"/>
        <v>0</v>
      </c>
      <c r="AM34" s="673">
        <f t="shared" si="98"/>
        <v>0</v>
      </c>
      <c r="AN34" s="673">
        <f t="shared" si="99"/>
        <v>0</v>
      </c>
      <c r="AO34" s="673">
        <f t="shared" si="78"/>
        <v>17.173209599999996</v>
      </c>
      <c r="AP34" s="673">
        <f t="shared" si="79"/>
        <v>160.708752</v>
      </c>
      <c r="AQ34" s="673">
        <f t="shared" si="80"/>
        <v>5210.5606559999997</v>
      </c>
      <c r="AR34" s="673">
        <f t="shared" si="81"/>
        <v>88.408857599999976</v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4">
        <v>2</v>
      </c>
      <c r="AX34" s="1026"/>
      <c r="AY34" s="451"/>
      <c r="AZ34" s="452"/>
      <c r="BA34" s="452"/>
      <c r="BB34" s="1025"/>
      <c r="BC34" s="1123">
        <v>25</v>
      </c>
      <c r="BD34" s="673">
        <f t="shared" si="83"/>
        <v>-105.58206719999997</v>
      </c>
      <c r="BE34" s="673">
        <f t="shared" si="69"/>
        <v>-160.708752</v>
      </c>
      <c r="BF34" s="673">
        <f t="shared" si="86"/>
        <v>-5210.5606559999997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73">
        <v>46322</v>
      </c>
      <c r="G35" s="102">
        <v>0.25694444444444442</v>
      </c>
      <c r="H35" s="73">
        <v>46323</v>
      </c>
      <c r="I35" s="102">
        <v>4.1666666666666664E-2</v>
      </c>
      <c r="J35" s="13">
        <v>800</v>
      </c>
      <c r="K35" s="13">
        <v>1.05</v>
      </c>
      <c r="L35" s="133">
        <f>(K35*J35)/1000</f>
        <v>0.84</v>
      </c>
      <c r="M35" s="40">
        <v>0.35</v>
      </c>
      <c r="N35" s="39">
        <f>M35*J35*P35</f>
        <v>344.4</v>
      </c>
      <c r="O35" s="39">
        <f>N35-U33</f>
        <v>297.90599999999995</v>
      </c>
      <c r="P35" s="13">
        <v>1.23</v>
      </c>
      <c r="Q35" s="13">
        <v>3</v>
      </c>
      <c r="R35" s="40">
        <v>0.35</v>
      </c>
      <c r="S35" s="13">
        <v>1.23</v>
      </c>
      <c r="T35" s="13">
        <v>108</v>
      </c>
      <c r="U35" s="39">
        <f t="shared" si="101"/>
        <v>46.494</v>
      </c>
      <c r="V35" s="39">
        <f t="shared" si="45"/>
        <v>639.6</v>
      </c>
      <c r="W35" s="39">
        <f>O35+W34</f>
        <v>8500.9084803100013</v>
      </c>
      <c r="X35" s="13"/>
      <c r="Y35" s="6"/>
      <c r="Z35" s="6"/>
      <c r="AA35" s="6"/>
      <c r="AB35" s="6"/>
      <c r="AC35" s="6"/>
      <c r="AD35" s="6"/>
      <c r="AE35" s="6"/>
      <c r="AF35" s="133">
        <f>'LT Floculation'!G31</f>
        <v>0</v>
      </c>
      <c r="AG35" s="133">
        <f>'LT Floculation'!H31</f>
        <v>0</v>
      </c>
      <c r="AH35" s="133">
        <f>'LT Floculation'!I31</f>
        <v>0</v>
      </c>
      <c r="AI35" s="6">
        <f>0.143</f>
        <v>0.14299999999999999</v>
      </c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>
        <f t="shared" si="81"/>
        <v>91.462800000000001</v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3"/>
      <c r="AZ35" s="6"/>
      <c r="BA35" s="6"/>
      <c r="BB35" s="215"/>
      <c r="BC35" s="935">
        <v>26</v>
      </c>
      <c r="BD35" s="39">
        <f t="shared" si="83"/>
        <v>-91.462800000000001</v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452"/>
      <c r="D36" s="452"/>
      <c r="E36" s="451">
        <v>2</v>
      </c>
      <c r="F36" s="1137">
        <v>46323</v>
      </c>
      <c r="G36" s="1138">
        <v>0.875</v>
      </c>
      <c r="H36" s="1137">
        <v>46324</v>
      </c>
      <c r="I36" s="1138">
        <v>0.66666666666666663</v>
      </c>
      <c r="J36" s="451">
        <v>759</v>
      </c>
      <c r="K36" s="451">
        <v>1.6</v>
      </c>
      <c r="L36" s="1144">
        <f>(K36*J36)/1000</f>
        <v>1.2144000000000001</v>
      </c>
      <c r="M36" s="1140">
        <v>0.36</v>
      </c>
      <c r="N36" s="673">
        <f>M36*J36*P36</f>
        <v>338.81760000000003</v>
      </c>
      <c r="O36" s="673">
        <f>N36-U34</f>
        <v>298.64160000000004</v>
      </c>
      <c r="P36" s="451">
        <v>1.24</v>
      </c>
      <c r="Q36" s="451">
        <v>2</v>
      </c>
      <c r="R36" s="451"/>
      <c r="S36" s="451"/>
      <c r="T36" s="451">
        <v>108</v>
      </c>
      <c r="U36" s="452"/>
      <c r="V36" s="673">
        <f t="shared" si="45"/>
        <v>602.34240000000011</v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/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>
        <f t="shared" si="81"/>
        <v>0</v>
      </c>
      <c r="AS36" s="673">
        <v>27</v>
      </c>
      <c r="AT36" s="1023" t="str">
        <f t="shared" si="26"/>
        <v/>
      </c>
      <c r="AU36" s="1023" t="str">
        <f t="shared" si="27"/>
        <v/>
      </c>
      <c r="AV36" s="1023" t="str">
        <f t="shared" si="28"/>
        <v/>
      </c>
      <c r="AW36" s="1024">
        <v>2</v>
      </c>
      <c r="AX36" s="1026"/>
      <c r="AY36" s="451"/>
      <c r="AZ36" s="452"/>
      <c r="BA36" s="452"/>
      <c r="BB36" s="1025"/>
      <c r="BC36" s="1123">
        <v>27</v>
      </c>
      <c r="BD36" s="673">
        <f t="shared" si="83"/>
        <v>0</v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3" t="str">
        <f t="shared" si="26"/>
        <v/>
      </c>
      <c r="AU38" s="1023" t="str">
        <f t="shared" si="27"/>
        <v/>
      </c>
      <c r="AV38" s="1023" t="str">
        <f t="shared" si="28"/>
        <v/>
      </c>
      <c r="AW38" s="1026"/>
      <c r="AX38" s="1026"/>
      <c r="AY38" s="451"/>
      <c r="AZ38" s="452"/>
      <c r="BA38" s="452"/>
      <c r="BB38" s="1025"/>
      <c r="BC38" s="1123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3" t="str">
        <f t="shared" si="26"/>
        <v/>
      </c>
      <c r="AU40" s="1023" t="str">
        <f t="shared" si="27"/>
        <v/>
      </c>
      <c r="AV40" s="1023" t="str">
        <f t="shared" si="28"/>
        <v/>
      </c>
      <c r="AW40" s="1026"/>
      <c r="AX40" s="1026"/>
      <c r="AY40" s="451"/>
      <c r="AZ40" s="452"/>
      <c r="BA40" s="452"/>
      <c r="BB40" s="1025"/>
      <c r="BC40" s="1025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3" t="str">
        <f t="shared" si="26"/>
        <v/>
      </c>
      <c r="AU42" s="1023" t="str">
        <f t="shared" si="27"/>
        <v/>
      </c>
      <c r="AV42" s="1023" t="str">
        <f t="shared" si="28"/>
        <v/>
      </c>
      <c r="AW42" s="1026"/>
      <c r="AX42" s="1026"/>
      <c r="AY42" s="451"/>
      <c r="AZ42" s="452"/>
      <c r="BA42" s="452"/>
      <c r="BB42" s="1025"/>
      <c r="BC42" s="1025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35.868666666666662</v>
      </c>
      <c r="D60" s="135">
        <f>AVERAGE(D10:D59)</f>
        <v>9.4847832042620173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196.82417960119997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0.58756190476190462</v>
      </c>
      <c r="Y60" s="207">
        <f>AVERAGE(Y10:Y59)</f>
        <v>0.71930327380952386</v>
      </c>
      <c r="Z60" s="207">
        <f>AVERAGE(Z10:Z59)</f>
        <v>12.114518683862434</v>
      </c>
      <c r="AA60" s="207">
        <f>AVERAGE(AA10:AA59)</f>
        <v>0.58024657498161925</v>
      </c>
      <c r="AB60" s="207">
        <f t="shared" ref="AB60:AC60" si="106">AVERAGE(AB10:AB59)</f>
        <v>0.75509157630109469</v>
      </c>
      <c r="AC60" s="207">
        <f t="shared" si="106"/>
        <v>12.094310922068766</v>
      </c>
      <c r="AD60" s="134"/>
      <c r="AE60" s="134"/>
      <c r="AF60" s="207">
        <f>AVERAGE(AF10:AF59)</f>
        <v>9.717756410256409E-2</v>
      </c>
      <c r="AG60" s="207">
        <f t="shared" ref="AG60:AI60" si="107">AVERAGE(AG10:AG59)</f>
        <v>0.33048931623931621</v>
      </c>
      <c r="AH60" s="207">
        <f t="shared" si="107"/>
        <v>10.720930555555555</v>
      </c>
      <c r="AI60" s="207">
        <f t="shared" si="107"/>
        <v>4.2730769230769239E-2</v>
      </c>
      <c r="AJ60" s="134"/>
      <c r="AK60" s="134"/>
      <c r="AL60" s="135">
        <f>SUM(AL10:AL59)</f>
        <v>4639.6342082023975</v>
      </c>
      <c r="AM60" s="135">
        <f t="shared" ref="AM60:AN60" si="108">SUM(AM10:AM59)</f>
        <v>5952.6131187976562</v>
      </c>
      <c r="AN60" s="135">
        <f t="shared" si="108"/>
        <v>97543.923007956677</v>
      </c>
      <c r="AO60" s="135">
        <f>SUM(AO10:AO59)</f>
        <v>830.7728202555827</v>
      </c>
      <c r="AP60" s="135">
        <f t="shared" ref="AP60:AR60" si="109">SUM(AP10:AP59)</f>
        <v>2862.7415374835555</v>
      </c>
      <c r="AQ60" s="135">
        <f t="shared" si="109"/>
        <v>91940.396475605361</v>
      </c>
      <c r="AR60" s="135">
        <f t="shared" si="109"/>
        <v>704.89069701890003</v>
      </c>
      <c r="AS60" s="134"/>
      <c r="AT60" s="232">
        <f>AVERAGE(AT10:AT59)</f>
        <v>0.67806385027067406</v>
      </c>
      <c r="AU60" s="232">
        <f t="shared" ref="AU60:AV60" si="110">AVERAGE(AU10:AU59)</f>
        <v>0.48842630026779826</v>
      </c>
      <c r="AV60" s="232">
        <f t="shared" si="110"/>
        <v>0.10249951645150211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896.71666666666658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8753.4340803100022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3103.9706909279153</v>
      </c>
      <c r="BE61" s="981">
        <f>SUM(BE10:BE59)</f>
        <v>3089.8715813141016</v>
      </c>
      <c r="BF61" s="981">
        <f>SUM(BF10:BF59)</f>
        <v>5603.526532351314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0.5804583333333333</v>
      </c>
      <c r="Y62" s="244">
        <f t="shared" ref="Y62:Z62" si="111">MEDIAN(Y10:Y59)</f>
        <v>0.61250000000000004</v>
      </c>
      <c r="Z62" s="244">
        <f t="shared" si="111"/>
        <v>10.778333333333332</v>
      </c>
      <c r="AA62" s="244">
        <f>MEDIAN(AA10:AA59)</f>
        <v>0.57717979923836205</v>
      </c>
      <c r="AB62" s="244">
        <f t="shared" ref="AB62:AC62" si="112">MEDIAN(AB10:AB59)</f>
        <v>0.61772392688530164</v>
      </c>
      <c r="AC62" s="244">
        <f t="shared" si="112"/>
        <v>10.908779635798162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3103.9706909279148</v>
      </c>
      <c r="BD63" s="10">
        <f>BD61*0.8</f>
        <v>2483.1765527423322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434" t="s">
        <v>309</v>
      </c>
      <c r="AP65" s="1434"/>
      <c r="AQ65" s="1434"/>
      <c r="AR65" s="1434"/>
      <c r="AS65" s="249"/>
      <c r="AT65" s="131" t="s">
        <v>329</v>
      </c>
      <c r="AU65" s="1423" t="s">
        <v>259</v>
      </c>
      <c r="AV65" s="1423"/>
      <c r="AW65" s="1423"/>
      <c r="AX65" s="429"/>
      <c r="AY65" s="1424" t="s">
        <v>255</v>
      </c>
      <c r="AZ65" s="1425"/>
      <c r="BA65" s="1425"/>
      <c r="BB65" s="1425"/>
      <c r="BC65" s="1425"/>
      <c r="BD65" s="1426"/>
      <c r="BE65" s="1427" t="s">
        <v>276</v>
      </c>
      <c r="BF65" s="1428"/>
      <c r="BG65" s="1429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423" t="s">
        <v>260</v>
      </c>
      <c r="AV66" s="1423"/>
      <c r="AW66" s="1423"/>
      <c r="AX66" s="429"/>
      <c r="AY66" s="1424" t="s">
        <v>262</v>
      </c>
      <c r="AZ66" s="1425"/>
      <c r="BA66" s="1426"/>
      <c r="BB66" s="1424" t="s">
        <v>263</v>
      </c>
      <c r="BC66" s="1425"/>
      <c r="BD66" s="1426"/>
      <c r="BE66" s="1424" t="s">
        <v>40</v>
      </c>
      <c r="BF66" s="1425"/>
      <c r="BG66" s="1426"/>
    </row>
    <row r="67" spans="5:60" x14ac:dyDescent="0.3">
      <c r="F67" s="43"/>
      <c r="J67" s="39">
        <f>SUM(C10:C59)</f>
        <v>896.71666666666658</v>
      </c>
      <c r="K67" s="39"/>
      <c r="L67" s="39"/>
      <c r="M67" s="39">
        <f>'Milling Down Time Hours'!P60</f>
        <v>421.38333333333333</v>
      </c>
      <c r="N67" s="39">
        <f>N61/J67</f>
        <v>9.7616498116945181</v>
      </c>
      <c r="O67" s="39"/>
      <c r="P67" s="39">
        <f>(N61/J68)</f>
        <v>234.27959548066846</v>
      </c>
      <c r="Q67" s="39"/>
      <c r="R67" s="39"/>
      <c r="S67" s="39"/>
      <c r="T67" s="39"/>
      <c r="U67" s="39">
        <f>(J67+M67)/24</f>
        <v>54.920833333333327</v>
      </c>
      <c r="AO67" s="13" t="s">
        <v>328</v>
      </c>
      <c r="AP67" s="133">
        <f>AVERAGE(X10:X15)</f>
        <v>0.7364814814814814</v>
      </c>
      <c r="AQ67" s="133">
        <f t="shared" ref="AQ67:AR67" si="113">AVERAGE(Y10:Y15)</f>
        <v>0.64749537037037042</v>
      </c>
      <c r="AR67" s="133">
        <f t="shared" si="113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37.363194444444439</v>
      </c>
      <c r="K68" s="43"/>
      <c r="L68" s="43"/>
      <c r="M68" s="43">
        <f>M67/24</f>
        <v>17.557638888888889</v>
      </c>
      <c r="AD68" s="1423" t="s">
        <v>259</v>
      </c>
      <c r="AE68" s="1423"/>
      <c r="AF68" s="1423"/>
      <c r="AG68" s="1423"/>
      <c r="AH68" s="1423"/>
      <c r="AO68" s="13" t="s">
        <v>200</v>
      </c>
      <c r="AP68" s="133">
        <f>MEDIAN(X10:X15)</f>
        <v>0.69599999999999995</v>
      </c>
      <c r="AQ68" s="133">
        <f t="shared" ref="AQ68:AR68" si="114">MEDIAN(Y10:Y15)</f>
        <v>0.66361111111111115</v>
      </c>
      <c r="AR68" s="133">
        <f t="shared" si="114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35">
      <c r="F69" s="43"/>
      <c r="AD69" s="1433" t="s">
        <v>258</v>
      </c>
      <c r="AE69" s="1433" t="s">
        <v>485</v>
      </c>
      <c r="AF69" s="1423" t="s">
        <v>260</v>
      </c>
      <c r="AG69" s="1423"/>
      <c r="AH69" s="1423"/>
      <c r="AO69" s="13" t="s">
        <v>202</v>
      </c>
      <c r="AP69" s="133">
        <f>MIN(X10:X15)</f>
        <v>0.57608333333333328</v>
      </c>
      <c r="AQ69" s="133">
        <f t="shared" ref="AQ69:AR69" si="115">MIN(Y10:Y15)</f>
        <v>0.49666666666666665</v>
      </c>
      <c r="AR69" s="133">
        <f t="shared" si="115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896.71666666666658</v>
      </c>
      <c r="O70" s="1469" t="s">
        <v>890</v>
      </c>
      <c r="P70" s="1462" t="s">
        <v>935</v>
      </c>
      <c r="Q70" s="1460" t="s">
        <v>936</v>
      </c>
      <c r="R70" s="1460"/>
      <c r="S70" s="1461"/>
      <c r="AD70" s="1433"/>
      <c r="AE70" s="1433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16">MAX(Y10:Y15)</f>
        <v>0.79333333333333333</v>
      </c>
      <c r="AR70" s="133">
        <f t="shared" si="116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35">
      <c r="F71" s="43"/>
      <c r="J71" s="223" t="s">
        <v>305</v>
      </c>
      <c r="K71" s="223"/>
      <c r="L71" s="223"/>
      <c r="M71" s="39">
        <f>M67</f>
        <v>421.38333333333333</v>
      </c>
      <c r="O71" s="1470"/>
      <c r="P71" s="1463"/>
      <c r="Q71" s="1350" t="s">
        <v>337</v>
      </c>
      <c r="R71" s="1351" t="s">
        <v>338</v>
      </c>
      <c r="S71" s="1358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1318.1</v>
      </c>
      <c r="O72" s="1464">
        <v>46266</v>
      </c>
      <c r="P72" s="24">
        <v>1</v>
      </c>
      <c r="Q72" s="1352">
        <f>X10</f>
        <v>0.70799999999999996</v>
      </c>
      <c r="R72" s="1352">
        <f t="shared" ref="R72:S87" si="117">Y10</f>
        <v>0.53525</v>
      </c>
      <c r="S72" s="1353">
        <f t="shared" si="117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0.68031004223250635</v>
      </c>
      <c r="O73" s="1465"/>
      <c r="P73" s="13">
        <v>2</v>
      </c>
      <c r="Q73" s="133">
        <f t="shared" ref="Q73:Q91" si="118">X11</f>
        <v>0.68400000000000005</v>
      </c>
      <c r="R73" s="133">
        <f t="shared" si="117"/>
        <v>0.79333333333333333</v>
      </c>
      <c r="S73" s="1354">
        <f t="shared" si="117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9.7616498116945181</v>
      </c>
      <c r="O74" s="1465"/>
      <c r="P74" s="13">
        <v>3</v>
      </c>
      <c r="Q74" s="133">
        <f t="shared" si="118"/>
        <v>0.93455555555555547</v>
      </c>
      <c r="R74" s="133">
        <f t="shared" si="117"/>
        <v>0.65888888888888886</v>
      </c>
      <c r="S74" s="1354">
        <f t="shared" si="117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234.27959548066846</v>
      </c>
      <c r="O75" s="1465"/>
      <c r="P75" s="13">
        <v>4</v>
      </c>
      <c r="Q75" s="133">
        <f t="shared" si="118"/>
        <v>0.92891666666666661</v>
      </c>
      <c r="R75" s="133">
        <f t="shared" si="117"/>
        <v>0.73249999999999993</v>
      </c>
      <c r="S75" s="1354">
        <f t="shared" si="117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54.920833333333327</v>
      </c>
      <c r="O76" s="1465"/>
      <c r="P76" s="13">
        <v>5</v>
      </c>
      <c r="Q76" s="133">
        <f t="shared" si="118"/>
        <v>0.58733333333333337</v>
      </c>
      <c r="R76" s="133">
        <f t="shared" si="117"/>
        <v>0.49666666666666665</v>
      </c>
      <c r="S76" s="1354">
        <f t="shared" si="117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0.31968995776749365</v>
      </c>
      <c r="O77" s="1465"/>
      <c r="P77" s="13">
        <v>6</v>
      </c>
      <c r="Q77" s="133">
        <f t="shared" si="118"/>
        <v>0.57608333333333328</v>
      </c>
      <c r="R77" s="133">
        <f t="shared" si="117"/>
        <v>0.66833333333333333</v>
      </c>
      <c r="S77" s="1354">
        <f t="shared" si="117"/>
        <v>7.58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O78" s="1465"/>
      <c r="P78" s="13">
        <v>7</v>
      </c>
      <c r="Q78" s="133">
        <f t="shared" si="118"/>
        <v>0.53555555555555556</v>
      </c>
      <c r="R78" s="133">
        <f t="shared" si="117"/>
        <v>0.53555555555555556</v>
      </c>
      <c r="S78" s="1354">
        <f t="shared" si="117"/>
        <v>9.8144444444444439</v>
      </c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O79" s="1465"/>
      <c r="P79" s="13">
        <v>8</v>
      </c>
      <c r="Q79" s="133">
        <f t="shared" si="118"/>
        <v>0.58483333333333321</v>
      </c>
      <c r="R79" s="133">
        <f t="shared" si="117"/>
        <v>0.58833333333333337</v>
      </c>
      <c r="S79" s="1354">
        <f t="shared" si="117"/>
        <v>10.3775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19">AVERAGE(AV68:AV78)</f>
        <v>0.75587049062049061</v>
      </c>
      <c r="AW79" s="133">
        <f t="shared" si="119"/>
        <v>11.159588383838383</v>
      </c>
      <c r="AX79" s="207"/>
      <c r="AY79" s="133">
        <f>AVERAGE(AY68:AY78)</f>
        <v>9.6350505050505048E-2</v>
      </c>
      <c r="AZ79" s="133">
        <f t="shared" ref="AZ79:BB79" si="120">AVERAGE(AZ68:AZ78)</f>
        <v>0.38267676767676767</v>
      </c>
      <c r="BA79" s="133">
        <f t="shared" si="120"/>
        <v>10.193287878787878</v>
      </c>
      <c r="BB79" s="133">
        <f t="shared" si="120"/>
        <v>2.5727272727272724E-2</v>
      </c>
      <c r="BC79" s="6"/>
      <c r="BD79" s="6"/>
      <c r="BE79" s="6"/>
      <c r="BF79" s="6"/>
      <c r="BG79" s="6"/>
    </row>
    <row r="80" spans="5:60" x14ac:dyDescent="0.3">
      <c r="O80" s="1465"/>
      <c r="P80" s="13">
        <v>9</v>
      </c>
      <c r="Q80" s="133">
        <f t="shared" si="118"/>
        <v>0.60575000000000001</v>
      </c>
      <c r="R80" s="133">
        <f t="shared" si="117"/>
        <v>0.86333333333333329</v>
      </c>
      <c r="S80" s="1354">
        <f t="shared" si="117"/>
        <v>14.675833333333332</v>
      </c>
      <c r="AR80" s="10"/>
      <c r="AS80" s="10"/>
      <c r="AT80" s="1151" t="s">
        <v>17</v>
      </c>
      <c r="AU80" s="1430"/>
      <c r="AV80" s="1431"/>
      <c r="AW80" s="1431"/>
      <c r="AX80" s="1431"/>
      <c r="AY80" s="1431"/>
      <c r="AZ80" s="1431"/>
      <c r="BA80" s="1431"/>
      <c r="BB80" s="1431"/>
      <c r="BC80" s="1431"/>
      <c r="BD80" s="1432"/>
      <c r="BE80" s="1152">
        <f>SUM(BE68:BE79)</f>
        <v>2023.4684999216388</v>
      </c>
      <c r="BF80" s="1152">
        <f t="shared" ref="BF80:BG80" si="121">SUM(BF68:BF79)</f>
        <v>1374.7770814606047</v>
      </c>
      <c r="BG80" s="1152">
        <f t="shared" si="121"/>
        <v>3002.5736707038232</v>
      </c>
    </row>
    <row r="81" spans="10:45" x14ac:dyDescent="0.3">
      <c r="O81" s="1465"/>
      <c r="P81" s="13">
        <v>10</v>
      </c>
      <c r="Q81" s="133">
        <f t="shared" si="118"/>
        <v>0.82590476190476192</v>
      </c>
      <c r="R81" s="133">
        <f t="shared" si="117"/>
        <v>1.1390476190476191</v>
      </c>
      <c r="S81" s="1354">
        <f t="shared" si="117"/>
        <v>17.893333333333334</v>
      </c>
      <c r="AR81" s="10"/>
      <c r="AS81" s="10"/>
    </row>
    <row r="82" spans="10:45" x14ac:dyDescent="0.3">
      <c r="O82" s="1465"/>
      <c r="P82" s="13">
        <v>11</v>
      </c>
      <c r="Q82" s="133">
        <f t="shared" si="118"/>
        <v>0.7294666666666666</v>
      </c>
      <c r="R82" s="133">
        <f t="shared" si="117"/>
        <v>1.3033333333333335</v>
      </c>
      <c r="S82" s="1354">
        <f t="shared" si="117"/>
        <v>18.880000000000003</v>
      </c>
      <c r="AR82" s="10"/>
    </row>
    <row r="83" spans="10:45" ht="15" thickBot="1" x14ac:dyDescent="0.35">
      <c r="O83" s="1465"/>
      <c r="P83" s="95">
        <v>12</v>
      </c>
      <c r="Q83" s="1343">
        <f t="shared" si="118"/>
        <v>0.58996666666666664</v>
      </c>
      <c r="R83" s="1343">
        <f t="shared" si="117"/>
        <v>1.3809999999999998</v>
      </c>
      <c r="S83" s="1357">
        <f t="shared" si="117"/>
        <v>16.069666666666667</v>
      </c>
      <c r="AR83" s="10"/>
      <c r="AS83" s="10"/>
    </row>
    <row r="84" spans="10:45" x14ac:dyDescent="0.3">
      <c r="O84" s="1466" t="s">
        <v>937</v>
      </c>
      <c r="P84" s="24">
        <v>13</v>
      </c>
      <c r="Q84" s="1352">
        <f t="shared" si="118"/>
        <v>0.52375000000000005</v>
      </c>
      <c r="R84" s="1352">
        <f t="shared" si="117"/>
        <v>0.7929166666666666</v>
      </c>
      <c r="S84" s="1353">
        <f t="shared" si="117"/>
        <v>20.323666666666668</v>
      </c>
    </row>
    <row r="85" spans="10:45" x14ac:dyDescent="0.3">
      <c r="O85" s="1467"/>
      <c r="P85" s="13">
        <v>14</v>
      </c>
      <c r="Q85" s="133">
        <f t="shared" si="118"/>
        <v>0.44266666666666671</v>
      </c>
      <c r="R85" s="133">
        <f t="shared" si="117"/>
        <v>2.0333333333333332</v>
      </c>
      <c r="S85" s="1354">
        <f t="shared" si="117"/>
        <v>11.179166666666667</v>
      </c>
    </row>
    <row r="86" spans="10:45" x14ac:dyDescent="0.3">
      <c r="O86" s="1467"/>
      <c r="P86" s="13">
        <v>15</v>
      </c>
      <c r="Q86" s="133">
        <f t="shared" si="118"/>
        <v>0.38111111111111112</v>
      </c>
      <c r="R86" s="133">
        <f t="shared" si="117"/>
        <v>0.41888888888888887</v>
      </c>
      <c r="S86" s="1354">
        <f t="shared" si="117"/>
        <v>9.163333333333334</v>
      </c>
    </row>
    <row r="87" spans="10:45" x14ac:dyDescent="0.3">
      <c r="O87" s="1467"/>
      <c r="P87" s="13">
        <v>16</v>
      </c>
      <c r="Q87" s="133">
        <f t="shared" si="118"/>
        <v>0.48775000000000002</v>
      </c>
      <c r="R87" s="133">
        <f t="shared" si="117"/>
        <v>0.47666666666666674</v>
      </c>
      <c r="S87" s="1354">
        <f t="shared" si="117"/>
        <v>12.970833333333335</v>
      </c>
    </row>
    <row r="88" spans="10:45" x14ac:dyDescent="0.3">
      <c r="O88" s="1467"/>
      <c r="P88" s="13">
        <v>17</v>
      </c>
      <c r="Q88" s="133">
        <f t="shared" si="118"/>
        <v>0.37083333333333335</v>
      </c>
      <c r="R88" s="133">
        <f t="shared" ref="R88:R91" si="122">Y26</f>
        <v>0.41</v>
      </c>
      <c r="S88" s="1354">
        <f t="shared" ref="S88:S91" si="123">Z26</f>
        <v>10.078333333333333</v>
      </c>
    </row>
    <row r="89" spans="10:45" x14ac:dyDescent="0.3">
      <c r="O89" s="1467"/>
      <c r="P89" s="13">
        <v>18</v>
      </c>
      <c r="Q89" s="133">
        <f t="shared" si="118"/>
        <v>0.39500000000000002</v>
      </c>
      <c r="R89" s="133">
        <f t="shared" si="122"/>
        <v>0.30555555555555552</v>
      </c>
      <c r="S89" s="1354">
        <f t="shared" si="123"/>
        <v>7.7222222222222223</v>
      </c>
    </row>
    <row r="90" spans="10:45" x14ac:dyDescent="0.3">
      <c r="O90" s="1467"/>
      <c r="P90" s="13">
        <v>19</v>
      </c>
      <c r="Q90" s="133">
        <f t="shared" si="118"/>
        <v>0.38615873015873015</v>
      </c>
      <c r="R90" s="133">
        <f t="shared" si="122"/>
        <v>0.44349206349206344</v>
      </c>
      <c r="S90" s="1354">
        <f t="shared" si="123"/>
        <v>13.407365079365078</v>
      </c>
    </row>
    <row r="91" spans="10:45" ht="15" thickBot="1" x14ac:dyDescent="0.35">
      <c r="O91" s="1468"/>
      <c r="P91" s="28">
        <v>20</v>
      </c>
      <c r="Q91" s="1355">
        <f t="shared" si="118"/>
        <v>0.68184444444444436</v>
      </c>
      <c r="R91" s="1355">
        <f t="shared" si="122"/>
        <v>0.5471111111111111</v>
      </c>
      <c r="S91" s="1356">
        <f t="shared" si="123"/>
        <v>8.7253333333333334</v>
      </c>
    </row>
    <row r="92" spans="10:45" ht="15" thickBot="1" x14ac:dyDescent="0.35">
      <c r="O92" s="1359"/>
      <c r="P92" s="1360" t="s">
        <v>321</v>
      </c>
      <c r="Q92" s="1361">
        <f>AVERAGE(Q72:Q91)</f>
        <v>0.59797400793650779</v>
      </c>
      <c r="R92" s="1361">
        <f t="shared" ref="R92:S92" si="124">AVERAGE(R72:R91)</f>
        <v>0.75617698412698409</v>
      </c>
      <c r="S92" s="1362">
        <f t="shared" si="124"/>
        <v>11.619769642857143</v>
      </c>
    </row>
    <row r="93" spans="10:45" x14ac:dyDescent="0.3">
      <c r="Q93" s="117"/>
      <c r="R93" s="117"/>
      <c r="S93" s="117"/>
    </row>
    <row r="94" spans="10:45" x14ac:dyDescent="0.3">
      <c r="J94" s="131" t="s">
        <v>258</v>
      </c>
      <c r="K94" s="131"/>
      <c r="L94" s="131"/>
      <c r="M94" s="131" t="s">
        <v>292</v>
      </c>
      <c r="N94" s="1458" t="s">
        <v>317</v>
      </c>
      <c r="O94" s="1423" t="s">
        <v>631</v>
      </c>
      <c r="P94" s="1423"/>
      <c r="Q94" s="1423"/>
      <c r="R94" s="429"/>
      <c r="S94" s="429"/>
      <c r="T94" s="429"/>
      <c r="U94" s="1424" t="s">
        <v>323</v>
      </c>
      <c r="V94" s="1425"/>
      <c r="W94" s="1426"/>
    </row>
    <row r="95" spans="10:45" x14ac:dyDescent="0.3">
      <c r="J95" s="131" t="s">
        <v>320</v>
      </c>
      <c r="K95" s="131"/>
      <c r="L95" s="131"/>
      <c r="M95" s="131" t="s">
        <v>632</v>
      </c>
      <c r="N95" s="1459"/>
      <c r="O95" s="131" t="s">
        <v>252</v>
      </c>
      <c r="P95" s="131" t="s">
        <v>253</v>
      </c>
      <c r="Q95" s="131" t="s">
        <v>254</v>
      </c>
      <c r="R95" s="131"/>
      <c r="S95" s="131"/>
      <c r="T95" s="131"/>
      <c r="U95" s="131" t="s">
        <v>252</v>
      </c>
      <c r="V95" s="131" t="s">
        <v>253</v>
      </c>
      <c r="W95" s="131" t="s">
        <v>254</v>
      </c>
    </row>
    <row r="96" spans="10:45" x14ac:dyDescent="0.3">
      <c r="J96" s="13">
        <v>1</v>
      </c>
      <c r="K96" s="13"/>
      <c r="L96" s="13"/>
      <c r="M96" s="13">
        <v>1</v>
      </c>
      <c r="N96" s="39">
        <f>N10</f>
        <v>292.31359999999995</v>
      </c>
      <c r="O96" s="133">
        <f t="shared" ref="O96:Q102" si="125">X10</f>
        <v>0.70799999999999996</v>
      </c>
      <c r="P96" s="133">
        <f t="shared" si="125"/>
        <v>0.53525</v>
      </c>
      <c r="Q96" s="133">
        <f t="shared" si="125"/>
        <v>7.2224166666666676</v>
      </c>
      <c r="R96" s="133"/>
      <c r="S96" s="133"/>
      <c r="T96" s="133"/>
      <c r="U96" s="133">
        <f t="shared" ref="U96:W100" si="126">AF10</f>
        <v>5.5750000000000001E-2</v>
      </c>
      <c r="V96" s="133">
        <f t="shared" si="126"/>
        <v>0.17</v>
      </c>
      <c r="W96" s="133">
        <f t="shared" si="126"/>
        <v>6.55</v>
      </c>
    </row>
    <row r="97" spans="10:23" x14ac:dyDescent="0.3">
      <c r="J97" s="13">
        <v>2</v>
      </c>
      <c r="K97" s="13"/>
      <c r="L97" s="13"/>
      <c r="M97" s="13">
        <v>2</v>
      </c>
      <c r="N97" s="39">
        <f>N11</f>
        <v>300.14215000000002</v>
      </c>
      <c r="O97" s="133">
        <f t="shared" si="125"/>
        <v>0.68400000000000005</v>
      </c>
      <c r="P97" s="133">
        <f t="shared" si="125"/>
        <v>0.79333333333333333</v>
      </c>
      <c r="Q97" s="133">
        <f t="shared" si="125"/>
        <v>9.051111111111112</v>
      </c>
      <c r="R97" s="133"/>
      <c r="S97" s="133"/>
      <c r="T97" s="133"/>
      <c r="U97" s="133">
        <f t="shared" si="126"/>
        <v>5.5749999999999994E-2</v>
      </c>
      <c r="V97" s="133">
        <f t="shared" si="126"/>
        <v>0.25</v>
      </c>
      <c r="W97" s="133">
        <f t="shared" si="126"/>
        <v>8.3524999999999991</v>
      </c>
    </row>
    <row r="98" spans="10:23" x14ac:dyDescent="0.3">
      <c r="J98" s="13">
        <v>3</v>
      </c>
      <c r="K98" s="13"/>
      <c r="L98" s="13"/>
      <c r="M98" s="13">
        <v>3</v>
      </c>
      <c r="N98" s="39">
        <f>O12</f>
        <v>326.97083025000006</v>
      </c>
      <c r="O98" s="133">
        <f t="shared" si="125"/>
        <v>0.93455555555555547</v>
      </c>
      <c r="P98" s="133">
        <f t="shared" si="125"/>
        <v>0.65888888888888886</v>
      </c>
      <c r="Q98" s="133">
        <f t="shared" si="125"/>
        <v>9.0688888888888908</v>
      </c>
      <c r="R98" s="133"/>
      <c r="S98" s="133"/>
      <c r="T98" s="133"/>
      <c r="U98" s="133">
        <f t="shared" si="126"/>
        <v>9.816666666666668E-2</v>
      </c>
      <c r="V98" s="133">
        <f t="shared" si="126"/>
        <v>0.23333333333333331</v>
      </c>
      <c r="W98" s="133">
        <f t="shared" si="126"/>
        <v>8.9633333333333329</v>
      </c>
    </row>
    <row r="99" spans="10:23" x14ac:dyDescent="0.3">
      <c r="J99" s="13">
        <v>4</v>
      </c>
      <c r="K99" s="13"/>
      <c r="L99" s="13"/>
      <c r="M99" s="13">
        <v>4</v>
      </c>
      <c r="N99" s="39">
        <f>O13</f>
        <v>316.93530000000004</v>
      </c>
      <c r="O99" s="133">
        <f t="shared" si="125"/>
        <v>0.92891666666666661</v>
      </c>
      <c r="P99" s="133">
        <f t="shared" si="125"/>
        <v>0.73249999999999993</v>
      </c>
      <c r="Q99" s="133">
        <f t="shared" si="125"/>
        <v>9.1508333333333347</v>
      </c>
      <c r="R99" s="133"/>
      <c r="S99" s="133"/>
      <c r="T99" s="133"/>
      <c r="U99" s="133">
        <f t="shared" si="126"/>
        <v>0.10916666666666668</v>
      </c>
      <c r="V99" s="133">
        <f t="shared" si="126"/>
        <v>0.24</v>
      </c>
      <c r="W99" s="133">
        <f t="shared" si="126"/>
        <v>5.1633333333333331</v>
      </c>
    </row>
    <row r="100" spans="10:23" x14ac:dyDescent="0.3">
      <c r="J100" s="13">
        <v>5</v>
      </c>
      <c r="K100" s="13"/>
      <c r="L100" s="13"/>
      <c r="M100" s="13">
        <v>5</v>
      </c>
      <c r="N100" s="39">
        <f>O14</f>
        <v>266.98580000000004</v>
      </c>
      <c r="O100" s="133">
        <f t="shared" si="125"/>
        <v>0.58733333333333337</v>
      </c>
      <c r="P100" s="133">
        <f t="shared" si="125"/>
        <v>0.49666666666666665</v>
      </c>
      <c r="Q100" s="133">
        <f t="shared" si="125"/>
        <v>9.0411111111111087</v>
      </c>
      <c r="R100" s="133"/>
      <c r="S100" s="133"/>
      <c r="T100" s="133"/>
      <c r="U100" s="133">
        <f t="shared" si="126"/>
        <v>0.12466666666666666</v>
      </c>
      <c r="V100" s="133">
        <f t="shared" si="126"/>
        <v>0.37833333333333335</v>
      </c>
      <c r="W100" s="133">
        <f t="shared" si="126"/>
        <v>7.5183333333333335</v>
      </c>
    </row>
    <row r="101" spans="10:23" x14ac:dyDescent="0.3">
      <c r="J101" s="13">
        <v>6</v>
      </c>
      <c r="K101" s="13"/>
      <c r="L101" s="13"/>
      <c r="M101" s="13">
        <v>6</v>
      </c>
      <c r="N101" s="39">
        <f>O15</f>
        <v>277.03691250000003</v>
      </c>
      <c r="O101" s="133">
        <f t="shared" si="125"/>
        <v>0.57608333333333328</v>
      </c>
      <c r="P101" s="133">
        <f t="shared" si="125"/>
        <v>0.66833333333333333</v>
      </c>
      <c r="Q101" s="133">
        <f t="shared" si="125"/>
        <v>7.58</v>
      </c>
      <c r="R101" s="133"/>
      <c r="S101" s="133"/>
      <c r="T101" s="133"/>
      <c r="U101" s="133"/>
      <c r="V101" s="133"/>
      <c r="W101" s="133"/>
    </row>
    <row r="102" spans="10:23" x14ac:dyDescent="0.3">
      <c r="J102" s="13">
        <v>7</v>
      </c>
      <c r="K102" s="13"/>
      <c r="L102" s="13"/>
      <c r="M102" s="13">
        <v>7</v>
      </c>
      <c r="N102" s="39">
        <f>O16</f>
        <v>246.07747500000002</v>
      </c>
      <c r="O102" s="133">
        <f t="shared" si="125"/>
        <v>0.53555555555555556</v>
      </c>
      <c r="P102" s="133">
        <f t="shared" si="125"/>
        <v>0.53555555555555556</v>
      </c>
      <c r="Q102" s="133">
        <f t="shared" si="125"/>
        <v>9.8144444444444439</v>
      </c>
      <c r="R102" s="133"/>
      <c r="S102" s="133"/>
      <c r="T102" s="133"/>
      <c r="U102" s="133"/>
      <c r="V102" s="133"/>
      <c r="W102" s="133"/>
    </row>
    <row r="103" spans="10:23" x14ac:dyDescent="0.3">
      <c r="J103" s="14" t="s">
        <v>321</v>
      </c>
      <c r="K103" s="14"/>
      <c r="L103" s="14"/>
      <c r="M103" s="14"/>
      <c r="N103" s="234">
        <f>AVERAGE(N96:N102)</f>
        <v>289.49458110714284</v>
      </c>
      <c r="O103" s="242">
        <f>AVERAGE(O96:O102)</f>
        <v>0.70777777777777773</v>
      </c>
      <c r="P103" s="242">
        <f t="shared" ref="P103:Q103" si="127">AVERAGE(P96:P102)</f>
        <v>0.63150396825396826</v>
      </c>
      <c r="Q103" s="242">
        <f t="shared" si="127"/>
        <v>8.7041150793650797</v>
      </c>
      <c r="R103" s="242"/>
      <c r="S103" s="242"/>
      <c r="T103" s="242"/>
      <c r="U103" s="242">
        <f>AVERAGE(U96:U100)</f>
        <v>8.8700000000000001E-2</v>
      </c>
      <c r="V103" s="242">
        <f t="shared" ref="V103:W103" si="128">AVERAGE(V96:V100)</f>
        <v>0.25433333333333336</v>
      </c>
      <c r="W103" s="242">
        <f t="shared" si="128"/>
        <v>7.3094999999999999</v>
      </c>
    </row>
    <row r="104" spans="10:23" x14ac:dyDescent="0.3">
      <c r="J104" s="14" t="s">
        <v>322</v>
      </c>
      <c r="K104" s="14"/>
      <c r="L104" s="14"/>
      <c r="M104" s="14"/>
      <c r="N104" s="234">
        <f>SUM(N96:N102)</f>
        <v>2026.46206775</v>
      </c>
      <c r="O104" s="14"/>
      <c r="P104" s="14"/>
      <c r="Q104" s="14"/>
      <c r="R104" s="14"/>
      <c r="S104" s="14"/>
      <c r="T104" s="14"/>
      <c r="U104" s="14"/>
      <c r="V104" s="14"/>
      <c r="W104" s="14"/>
    </row>
  </sheetData>
  <mergeCells count="63">
    <mergeCell ref="F6:G6"/>
    <mergeCell ref="H6:I6"/>
    <mergeCell ref="N94:N95"/>
    <mergeCell ref="U94:W94"/>
    <mergeCell ref="O94:Q94"/>
    <mergeCell ref="I7:I9"/>
    <mergeCell ref="Q70:S70"/>
    <mergeCell ref="P70:P71"/>
    <mergeCell ref="O72:O83"/>
    <mergeCell ref="O84:O91"/>
    <mergeCell ref="O70:O71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B7:B9"/>
    <mergeCell ref="E7:E9"/>
    <mergeCell ref="F7:F9"/>
    <mergeCell ref="G7:G9"/>
    <mergeCell ref="H7:H9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F69:AH69"/>
    <mergeCell ref="AD68:AH68"/>
    <mergeCell ref="AD69:AD70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10870-3D82-41BF-A5C2-4614BC3951BC}">
  <dimension ref="A5:N23"/>
  <sheetViews>
    <sheetView zoomScale="130" zoomScaleNormal="130" workbookViewId="0">
      <selection activeCell="P7" sqref="P7"/>
    </sheetView>
  </sheetViews>
  <sheetFormatPr defaultRowHeight="14.4" x14ac:dyDescent="0.3"/>
  <cols>
    <col min="2" max="2" width="10.5546875" bestFit="1" customWidth="1"/>
    <col min="3" max="3" width="13.21875" style="50" bestFit="1" customWidth="1"/>
    <col min="4" max="4" width="8.88671875" style="50"/>
    <col min="5" max="5" width="13.33203125" style="50" bestFit="1" customWidth="1"/>
    <col min="6" max="6" width="11.88671875" style="50" bestFit="1" customWidth="1"/>
    <col min="7" max="7" width="8.88671875" style="50"/>
    <col min="10" max="10" width="15.88671875" bestFit="1" customWidth="1"/>
    <col min="13" max="13" width="16" bestFit="1" customWidth="1"/>
    <col min="14" max="14" width="16.109375" bestFit="1" customWidth="1"/>
  </cols>
  <sheetData>
    <row r="5" spans="1:14" x14ac:dyDescent="0.3">
      <c r="A5" s="1293" t="s">
        <v>542</v>
      </c>
      <c r="B5" s="1293" t="s">
        <v>989</v>
      </c>
      <c r="C5" s="1414" t="s">
        <v>997</v>
      </c>
      <c r="D5" s="1414" t="s">
        <v>995</v>
      </c>
      <c r="E5" s="1414" t="s">
        <v>998</v>
      </c>
      <c r="F5" s="1414" t="s">
        <v>999</v>
      </c>
      <c r="G5" s="1414" t="s">
        <v>1000</v>
      </c>
      <c r="H5" s="1414" t="s">
        <v>1001</v>
      </c>
      <c r="I5" s="1414" t="s">
        <v>990</v>
      </c>
      <c r="J5" s="1414" t="s">
        <v>991</v>
      </c>
      <c r="K5" s="1414" t="s">
        <v>993</v>
      </c>
      <c r="L5" s="1414" t="s">
        <v>994</v>
      </c>
      <c r="M5" s="1414" t="s">
        <v>22</v>
      </c>
      <c r="N5" s="1415" t="s">
        <v>996</v>
      </c>
    </row>
    <row r="6" spans="1:14" x14ac:dyDescent="0.3">
      <c r="A6" s="18"/>
      <c r="B6" s="1859" t="s">
        <v>992</v>
      </c>
      <c r="C6" s="1859">
        <v>981</v>
      </c>
      <c r="D6" s="1859">
        <v>2.5</v>
      </c>
      <c r="E6" s="1859">
        <v>0.01</v>
      </c>
      <c r="F6" s="120">
        <v>1100</v>
      </c>
      <c r="G6" s="120"/>
      <c r="H6" s="18"/>
      <c r="I6" s="120">
        <v>0</v>
      </c>
      <c r="J6" s="120"/>
      <c r="K6" s="120">
        <v>15</v>
      </c>
      <c r="L6" s="18"/>
      <c r="M6" s="120">
        <f>(K6-L6)/K6</f>
        <v>1</v>
      </c>
      <c r="N6" s="1418">
        <f>AVERAGE(M7:M23)</f>
        <v>0.63250030097130294</v>
      </c>
    </row>
    <row r="7" spans="1:14" x14ac:dyDescent="0.3">
      <c r="A7" s="18"/>
      <c r="B7" s="1859"/>
      <c r="C7" s="1859"/>
      <c r="D7" s="1859"/>
      <c r="E7" s="1859"/>
      <c r="F7" s="120">
        <v>600</v>
      </c>
      <c r="G7" s="120"/>
      <c r="H7" s="18"/>
      <c r="I7" s="120">
        <v>1</v>
      </c>
      <c r="J7" s="120">
        <v>1</v>
      </c>
      <c r="K7" s="120">
        <v>13.573</v>
      </c>
      <c r="L7" s="120">
        <v>8.4960000000000004</v>
      </c>
      <c r="M7" s="1416">
        <f>(K7-L7)/K7</f>
        <v>0.37405142562440136</v>
      </c>
    </row>
    <row r="8" spans="1:14" x14ac:dyDescent="0.3">
      <c r="A8" s="18"/>
      <c r="B8" s="1859"/>
      <c r="C8" s="1859"/>
      <c r="D8" s="1859"/>
      <c r="E8" s="1859"/>
      <c r="F8" s="120">
        <v>400</v>
      </c>
      <c r="G8" s="120"/>
      <c r="H8" s="18"/>
      <c r="I8" s="120">
        <v>2</v>
      </c>
      <c r="J8" s="120">
        <v>2</v>
      </c>
      <c r="K8" s="120">
        <v>6.6920000000000002</v>
      </c>
      <c r="L8" s="120">
        <v>2.827</v>
      </c>
      <c r="M8" s="1416">
        <f t="shared" ref="M8:M23" si="0">(K8-L8)/K8</f>
        <v>0.57755528989838611</v>
      </c>
    </row>
    <row r="9" spans="1:14" x14ac:dyDescent="0.3">
      <c r="A9" s="18"/>
      <c r="B9" s="1859"/>
      <c r="C9" s="1859"/>
      <c r="D9" s="1859"/>
      <c r="E9" s="1859"/>
      <c r="F9" s="120">
        <v>400</v>
      </c>
      <c r="G9" s="120"/>
      <c r="H9" s="18"/>
      <c r="I9" s="1127">
        <v>3</v>
      </c>
      <c r="J9" s="1127">
        <v>3</v>
      </c>
      <c r="K9" s="1127">
        <v>5.4580000000000002</v>
      </c>
      <c r="L9" s="1127">
        <v>6.4930000000000003</v>
      </c>
      <c r="M9" s="1417">
        <f t="shared" si="0"/>
        <v>-0.18962990106266034</v>
      </c>
    </row>
    <row r="10" spans="1:14" x14ac:dyDescent="0.3">
      <c r="A10" s="18"/>
      <c r="B10" s="1859"/>
      <c r="C10" s="1859"/>
      <c r="D10" s="1859"/>
      <c r="E10" s="1859"/>
      <c r="F10" s="120">
        <v>400</v>
      </c>
      <c r="G10" s="120"/>
      <c r="H10" s="18"/>
      <c r="I10" s="13">
        <v>4</v>
      </c>
      <c r="J10" s="13">
        <v>4</v>
      </c>
      <c r="K10" s="13">
        <v>15.085000000000001</v>
      </c>
      <c r="L10" s="13">
        <v>2.0830000000000002</v>
      </c>
      <c r="M10" s="1416">
        <f t="shared" si="0"/>
        <v>0.86191581040768972</v>
      </c>
    </row>
    <row r="11" spans="1:14" x14ac:dyDescent="0.3">
      <c r="A11" s="18"/>
      <c r="B11" s="1859"/>
      <c r="C11" s="1859"/>
      <c r="D11" s="1859"/>
      <c r="E11" s="1859"/>
      <c r="F11" s="120">
        <v>400</v>
      </c>
      <c r="G11" s="120"/>
      <c r="H11" s="18"/>
      <c r="I11" s="120">
        <v>5</v>
      </c>
      <c r="J11" s="120">
        <v>5</v>
      </c>
      <c r="K11" s="120">
        <v>9.6219999999999999</v>
      </c>
      <c r="L11" s="120">
        <v>1.6120000000000001</v>
      </c>
      <c r="M11" s="1416">
        <f t="shared" si="0"/>
        <v>0.83246726252338388</v>
      </c>
    </row>
    <row r="12" spans="1:14" x14ac:dyDescent="0.3">
      <c r="A12" s="18"/>
      <c r="B12" s="1859"/>
      <c r="C12" s="1859"/>
      <c r="D12" s="1859"/>
      <c r="E12" s="1859"/>
      <c r="F12" s="120">
        <v>400</v>
      </c>
      <c r="G12" s="120"/>
      <c r="H12" s="18"/>
      <c r="I12" s="120">
        <v>6</v>
      </c>
      <c r="J12" s="120">
        <v>6</v>
      </c>
      <c r="K12" s="120">
        <v>6.5759999999999996</v>
      </c>
      <c r="L12" s="120">
        <v>1.1599999999999999</v>
      </c>
      <c r="M12" s="1416">
        <f t="shared" si="0"/>
        <v>0.82360097323600967</v>
      </c>
    </row>
    <row r="13" spans="1:14" x14ac:dyDescent="0.3">
      <c r="A13" s="18"/>
      <c r="B13" s="1859"/>
      <c r="C13" s="1859"/>
      <c r="D13" s="1859"/>
      <c r="E13" s="1859"/>
      <c r="F13" s="120">
        <v>400</v>
      </c>
      <c r="G13" s="120"/>
      <c r="H13" s="18"/>
      <c r="I13" s="120">
        <v>7</v>
      </c>
      <c r="J13" s="120">
        <v>7</v>
      </c>
      <c r="K13" s="120">
        <v>5.3010000000000002</v>
      </c>
      <c r="L13" s="120">
        <v>0.74199999999999999</v>
      </c>
      <c r="M13" s="1416">
        <f t="shared" si="0"/>
        <v>0.86002641011129977</v>
      </c>
    </row>
    <row r="14" spans="1:14" x14ac:dyDescent="0.3">
      <c r="A14" s="18"/>
      <c r="B14" s="1859"/>
      <c r="C14" s="1859"/>
      <c r="D14" s="1859"/>
      <c r="E14" s="1859"/>
      <c r="F14" s="120">
        <v>400</v>
      </c>
      <c r="G14" s="120"/>
      <c r="H14" s="18"/>
      <c r="I14" s="120">
        <v>8</v>
      </c>
      <c r="J14" s="120">
        <v>8</v>
      </c>
      <c r="K14" s="120">
        <v>5.95</v>
      </c>
      <c r="L14" s="120">
        <v>1.2450000000000001</v>
      </c>
      <c r="M14" s="1416">
        <f t="shared" si="0"/>
        <v>0.79075630252100837</v>
      </c>
    </row>
    <row r="15" spans="1:14" x14ac:dyDescent="0.3">
      <c r="A15" s="18"/>
      <c r="B15" s="1859"/>
      <c r="C15" s="1859"/>
      <c r="D15" s="1859"/>
      <c r="E15" s="1859"/>
      <c r="F15" s="120">
        <v>200</v>
      </c>
      <c r="G15" s="120"/>
      <c r="H15" s="18"/>
      <c r="I15" s="120">
        <v>9</v>
      </c>
      <c r="J15" s="120">
        <v>9</v>
      </c>
      <c r="K15" s="120">
        <v>5.1539999999999999</v>
      </c>
      <c r="L15" s="120">
        <v>1.129</v>
      </c>
      <c r="M15" s="1416">
        <f t="shared" si="0"/>
        <v>0.78094683740783866</v>
      </c>
    </row>
    <row r="16" spans="1:14" x14ac:dyDescent="0.3">
      <c r="A16" s="18"/>
      <c r="B16" s="1859"/>
      <c r="C16" s="1859"/>
      <c r="D16" s="1859"/>
      <c r="E16" s="1859"/>
      <c r="F16" s="120">
        <v>200</v>
      </c>
      <c r="G16" s="120"/>
      <c r="H16" s="18"/>
      <c r="I16" s="120">
        <v>10</v>
      </c>
      <c r="J16" s="120">
        <v>10</v>
      </c>
      <c r="K16" s="120">
        <v>5.4950000000000001</v>
      </c>
      <c r="L16" s="120">
        <v>1.8240000000000001</v>
      </c>
      <c r="M16" s="1416">
        <f t="shared" si="0"/>
        <v>0.66806187443130127</v>
      </c>
    </row>
    <row r="17" spans="1:13" x14ac:dyDescent="0.3">
      <c r="A17" s="18"/>
      <c r="B17" s="1859"/>
      <c r="C17" s="1859"/>
      <c r="D17" s="1859"/>
      <c r="E17" s="1859"/>
      <c r="F17" s="120">
        <v>200</v>
      </c>
      <c r="G17" s="120"/>
      <c r="H17" s="18"/>
      <c r="I17" s="120">
        <v>11</v>
      </c>
      <c r="J17" s="120">
        <v>11</v>
      </c>
      <c r="K17" s="120">
        <v>5.1740000000000004</v>
      </c>
      <c r="L17" s="120">
        <v>1.2549999999999999</v>
      </c>
      <c r="M17" s="1416">
        <f t="shared" si="0"/>
        <v>0.75744105141090068</v>
      </c>
    </row>
    <row r="18" spans="1:13" x14ac:dyDescent="0.3">
      <c r="A18" s="18"/>
      <c r="B18" s="1859"/>
      <c r="C18" s="1859"/>
      <c r="D18" s="1859"/>
      <c r="E18" s="1859"/>
      <c r="F18" s="120">
        <v>200</v>
      </c>
      <c r="G18" s="120"/>
      <c r="H18" s="18"/>
      <c r="I18" s="120">
        <v>12</v>
      </c>
      <c r="J18" s="120">
        <v>12</v>
      </c>
      <c r="K18" s="120">
        <v>6.2759999999999998</v>
      </c>
      <c r="L18" s="120">
        <v>1.1910000000000001</v>
      </c>
      <c r="M18" s="1416">
        <f t="shared" si="0"/>
        <v>0.81022944550669218</v>
      </c>
    </row>
    <row r="19" spans="1:13" x14ac:dyDescent="0.3">
      <c r="A19" s="18"/>
      <c r="B19" s="1859"/>
      <c r="C19" s="1859"/>
      <c r="D19" s="1859"/>
      <c r="E19" s="1859"/>
      <c r="F19" s="120">
        <v>200</v>
      </c>
      <c r="G19" s="120"/>
      <c r="H19" s="18"/>
      <c r="I19" s="120">
        <v>13</v>
      </c>
      <c r="J19" s="120">
        <v>13</v>
      </c>
      <c r="K19" s="120">
        <v>4.6459999999999999</v>
      </c>
      <c r="L19" s="120">
        <v>1.591</v>
      </c>
      <c r="M19" s="1416">
        <f t="shared" si="0"/>
        <v>0.65755488592337485</v>
      </c>
    </row>
    <row r="20" spans="1:13" x14ac:dyDescent="0.3">
      <c r="A20" s="18"/>
      <c r="B20" s="1859"/>
      <c r="C20" s="1859"/>
      <c r="D20" s="1859"/>
      <c r="E20" s="1859"/>
      <c r="F20" s="120">
        <v>100</v>
      </c>
      <c r="G20" s="120"/>
      <c r="H20" s="18"/>
      <c r="I20" s="120">
        <v>14</v>
      </c>
      <c r="J20" s="120">
        <v>14</v>
      </c>
      <c r="K20" s="120">
        <v>3.5310000000000001</v>
      </c>
      <c r="L20" s="120">
        <v>1.07</v>
      </c>
      <c r="M20" s="1416">
        <f t="shared" si="0"/>
        <v>0.69696969696969702</v>
      </c>
    </row>
    <row r="21" spans="1:13" x14ac:dyDescent="0.3">
      <c r="A21" s="18"/>
      <c r="B21" s="1859"/>
      <c r="C21" s="1859"/>
      <c r="D21" s="1859"/>
      <c r="E21" s="1859"/>
      <c r="F21" s="120">
        <v>100</v>
      </c>
      <c r="G21" s="120"/>
      <c r="H21" s="18"/>
      <c r="I21" s="120">
        <v>15</v>
      </c>
      <c r="J21" s="120">
        <v>15</v>
      </c>
      <c r="K21" s="120">
        <v>3.7429999999999999</v>
      </c>
      <c r="L21" s="120">
        <v>0.92800000000000005</v>
      </c>
      <c r="M21" s="1416">
        <f t="shared" si="0"/>
        <v>0.75207053165909699</v>
      </c>
    </row>
    <row r="22" spans="1:13" x14ac:dyDescent="0.3">
      <c r="A22" s="18"/>
      <c r="B22" s="1859"/>
      <c r="C22" s="1859"/>
      <c r="D22" s="1859"/>
      <c r="E22" s="1859"/>
      <c r="F22" s="120">
        <v>100</v>
      </c>
      <c r="G22" s="120"/>
      <c r="H22" s="18"/>
      <c r="I22" s="1127">
        <v>16</v>
      </c>
      <c r="J22" s="1127">
        <v>16</v>
      </c>
      <c r="K22" s="1127">
        <v>2.968</v>
      </c>
      <c r="L22" s="1127">
        <v>2.1709999999999998</v>
      </c>
      <c r="M22" s="1417">
        <f t="shared" si="0"/>
        <v>0.26853099730458224</v>
      </c>
    </row>
    <row r="23" spans="1:13" x14ac:dyDescent="0.3">
      <c r="A23" s="18"/>
      <c r="B23" s="1859"/>
      <c r="C23" s="1859"/>
      <c r="D23" s="1859"/>
      <c r="E23" s="1859"/>
      <c r="F23" s="120">
        <v>100</v>
      </c>
      <c r="G23" s="120"/>
      <c r="H23" s="18"/>
      <c r="I23" s="120">
        <v>17</v>
      </c>
      <c r="J23" s="120">
        <v>17</v>
      </c>
      <c r="K23" s="120">
        <v>3.198</v>
      </c>
      <c r="L23" s="120">
        <v>1.823</v>
      </c>
      <c r="M23" s="1416">
        <f t="shared" si="0"/>
        <v>0.42995622263914945</v>
      </c>
    </row>
  </sheetData>
  <mergeCells count="4">
    <mergeCell ref="D6:D23"/>
    <mergeCell ref="C6:C23"/>
    <mergeCell ref="B6:B23"/>
    <mergeCell ref="E6:E23"/>
  </mergeCells>
  <phoneticPr fontId="118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860" t="s">
        <v>471</v>
      </c>
      <c r="R4" s="1861"/>
      <c r="S4" s="1861"/>
      <c r="T4" s="1862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863"/>
      <c r="R5" s="1864"/>
      <c r="S5" s="1864"/>
      <c r="T5" s="1865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18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886" t="s">
        <v>0</v>
      </c>
      <c r="B4" s="1888" t="s">
        <v>50</v>
      </c>
      <c r="C4" s="1888"/>
      <c r="D4" s="1888"/>
      <c r="E4" s="1888"/>
      <c r="F4" s="99"/>
      <c r="G4" s="54"/>
      <c r="H4" s="54"/>
      <c r="I4" s="104"/>
      <c r="J4" s="104"/>
      <c r="K4" s="104"/>
      <c r="L4" s="1874" t="s">
        <v>238</v>
      </c>
      <c r="M4" s="1872"/>
      <c r="N4" s="1873"/>
      <c r="O4" s="1874" t="s">
        <v>234</v>
      </c>
      <c r="P4" s="1872"/>
      <c r="Q4" s="1873"/>
      <c r="R4" s="1874" t="s">
        <v>235</v>
      </c>
      <c r="S4" s="1872"/>
      <c r="T4" s="1873"/>
      <c r="U4" s="1874" t="s">
        <v>236</v>
      </c>
      <c r="V4" s="1872"/>
      <c r="W4" s="1873"/>
      <c r="X4" s="1874" t="s">
        <v>237</v>
      </c>
      <c r="Y4" s="1872"/>
      <c r="Z4" s="1873"/>
      <c r="AA4" s="1874" t="s">
        <v>51</v>
      </c>
      <c r="AB4" s="1872"/>
      <c r="AC4" s="1873"/>
      <c r="AD4" s="1874" t="s">
        <v>52</v>
      </c>
      <c r="AE4" s="1872"/>
      <c r="AF4" s="1873"/>
      <c r="AG4" s="1866">
        <v>0.83333333333333337</v>
      </c>
      <c r="AH4" s="1872"/>
      <c r="AI4" s="1873"/>
      <c r="AJ4" s="1866">
        <v>0.91666666666666663</v>
      </c>
      <c r="AK4" s="1867"/>
      <c r="AL4" s="1868"/>
      <c r="AM4" s="1869">
        <v>0</v>
      </c>
      <c r="AN4" s="1870"/>
      <c r="AO4" s="1871"/>
      <c r="AP4" s="1866">
        <v>8.3333333333333329E-2</v>
      </c>
      <c r="AQ4" s="1867"/>
      <c r="AR4" s="1868"/>
      <c r="AS4" s="1866">
        <v>0.16666666666666666</v>
      </c>
      <c r="AT4" s="1867"/>
      <c r="AU4" s="1868"/>
      <c r="AV4" s="59" t="s">
        <v>53</v>
      </c>
      <c r="AW4" s="44"/>
    </row>
    <row r="5" spans="1:49" x14ac:dyDescent="0.3">
      <c r="A5" s="1886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892">
        <v>46147</v>
      </c>
      <c r="B6" s="1887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901" t="s">
        <v>230</v>
      </c>
      <c r="AW6" s="1902"/>
    </row>
    <row r="7" spans="1:49" x14ac:dyDescent="0.3">
      <c r="A7" s="1892"/>
      <c r="B7" s="1876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901"/>
      <c r="AW7" s="1903"/>
    </row>
    <row r="8" spans="1:49" x14ac:dyDescent="0.3">
      <c r="A8" s="1892"/>
      <c r="B8" s="1876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901"/>
      <c r="AW8" s="1903"/>
    </row>
    <row r="9" spans="1:49" ht="15" thickBot="1" x14ac:dyDescent="0.35">
      <c r="A9" s="1887"/>
      <c r="B9" s="1876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902"/>
      <c r="AW9" s="1904"/>
    </row>
    <row r="10" spans="1:49" x14ac:dyDescent="0.3">
      <c r="A10" s="1889">
        <v>46148</v>
      </c>
      <c r="B10" s="1875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905" t="s">
        <v>239</v>
      </c>
      <c r="AW10" s="1908" t="s">
        <v>229</v>
      </c>
    </row>
    <row r="11" spans="1:49" x14ac:dyDescent="0.3">
      <c r="A11" s="1890"/>
      <c r="B11" s="1876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906"/>
      <c r="AW11" s="1909"/>
    </row>
    <row r="12" spans="1:49" x14ac:dyDescent="0.3">
      <c r="A12" s="1890"/>
      <c r="B12" s="1876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906"/>
      <c r="AW12" s="1909"/>
    </row>
    <row r="13" spans="1:49" ht="15" thickBot="1" x14ac:dyDescent="0.35">
      <c r="A13" s="1891"/>
      <c r="B13" s="1876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907"/>
      <c r="AW13" s="1910"/>
    </row>
    <row r="14" spans="1:49" ht="15" thickBot="1" x14ac:dyDescent="0.35">
      <c r="A14" s="1889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905" t="s">
        <v>240</v>
      </c>
      <c r="AW14" s="1911"/>
    </row>
    <row r="15" spans="1:49" x14ac:dyDescent="0.3">
      <c r="A15" s="1890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906"/>
      <c r="AW15" s="1912"/>
    </row>
    <row r="16" spans="1:49" x14ac:dyDescent="0.3">
      <c r="A16" s="1890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906"/>
      <c r="AW16" s="1912"/>
    </row>
    <row r="17" spans="1:49" ht="15" thickBot="1" x14ac:dyDescent="0.35">
      <c r="A17" s="1891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906"/>
      <c r="AW17" s="1913"/>
    </row>
    <row r="18" spans="1:49" x14ac:dyDescent="0.3">
      <c r="A18" s="1893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900"/>
    </row>
    <row r="19" spans="1:49" x14ac:dyDescent="0.3">
      <c r="A19" s="1892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899"/>
    </row>
    <row r="20" spans="1:49" x14ac:dyDescent="0.3">
      <c r="A20" s="1892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899"/>
    </row>
    <row r="21" spans="1:49" x14ac:dyDescent="0.3">
      <c r="A21" s="1892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899"/>
    </row>
    <row r="22" spans="1:49" x14ac:dyDescent="0.3">
      <c r="A22" s="1892">
        <v>46151</v>
      </c>
      <c r="B22" s="51"/>
      <c r="C22" s="49"/>
      <c r="D22" s="1877"/>
      <c r="E22" s="1883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899"/>
    </row>
    <row r="23" spans="1:49" x14ac:dyDescent="0.3">
      <c r="A23" s="1892"/>
      <c r="B23" s="52"/>
      <c r="C23" s="49"/>
      <c r="D23" s="1878"/>
      <c r="E23" s="1884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899"/>
    </row>
    <row r="24" spans="1:49" x14ac:dyDescent="0.3">
      <c r="A24" s="1892"/>
      <c r="B24" s="52"/>
      <c r="C24" s="49"/>
      <c r="D24" s="1878"/>
      <c r="E24" s="1884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899"/>
    </row>
    <row r="25" spans="1:49" ht="15" thickBot="1" x14ac:dyDescent="0.35">
      <c r="A25" s="1892"/>
      <c r="B25" s="53"/>
      <c r="C25" s="49"/>
      <c r="D25" s="1879"/>
      <c r="E25" s="1885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897"/>
    </row>
    <row r="26" spans="1:49" x14ac:dyDescent="0.3">
      <c r="A26" s="1892">
        <v>46152</v>
      </c>
      <c r="B26" s="51"/>
      <c r="C26" s="49"/>
      <c r="D26" s="1877"/>
      <c r="E26" s="1883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900"/>
      <c r="AW26" s="1900"/>
    </row>
    <row r="27" spans="1:49" x14ac:dyDescent="0.3">
      <c r="A27" s="1892"/>
      <c r="B27" s="52"/>
      <c r="C27" s="49"/>
      <c r="D27" s="1878"/>
      <c r="E27" s="1884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899"/>
      <c r="AW27" s="1899"/>
    </row>
    <row r="28" spans="1:49" x14ac:dyDescent="0.3">
      <c r="A28" s="1892"/>
      <c r="B28" s="52"/>
      <c r="C28" s="49"/>
      <c r="D28" s="1878"/>
      <c r="E28" s="1884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899"/>
      <c r="AW28" s="1899"/>
    </row>
    <row r="29" spans="1:49" x14ac:dyDescent="0.3">
      <c r="A29" s="1892"/>
      <c r="B29" s="53"/>
      <c r="C29" s="49"/>
      <c r="D29" s="1879"/>
      <c r="E29" s="1885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899"/>
      <c r="AW29" s="1899"/>
    </row>
    <row r="30" spans="1:49" x14ac:dyDescent="0.3">
      <c r="A30" s="1892">
        <v>46153</v>
      </c>
      <c r="B30" s="51"/>
      <c r="C30" s="49"/>
      <c r="D30" s="1877"/>
      <c r="E30" s="1883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899"/>
      <c r="AW30" s="1899"/>
    </row>
    <row r="31" spans="1:49" x14ac:dyDescent="0.3">
      <c r="A31" s="1892"/>
      <c r="B31" s="52"/>
      <c r="C31" s="49"/>
      <c r="D31" s="1878"/>
      <c r="E31" s="1884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899"/>
      <c r="AW31" s="1899"/>
    </row>
    <row r="32" spans="1:49" x14ac:dyDescent="0.3">
      <c r="A32" s="1892"/>
      <c r="B32" s="52"/>
      <c r="C32" s="49"/>
      <c r="D32" s="1878"/>
      <c r="E32" s="1884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899"/>
      <c r="AW32" s="1899"/>
    </row>
    <row r="33" spans="1:49" x14ac:dyDescent="0.3">
      <c r="A33" s="1892"/>
      <c r="B33" s="53"/>
      <c r="C33" s="49"/>
      <c r="D33" s="1879"/>
      <c r="E33" s="1885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897"/>
      <c r="AW33" s="1897"/>
    </row>
    <row r="34" spans="1:49" x14ac:dyDescent="0.3">
      <c r="A34" s="1892">
        <v>46154</v>
      </c>
      <c r="B34" s="51"/>
      <c r="C34" s="49"/>
      <c r="D34" s="1877"/>
      <c r="E34" s="1883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900"/>
      <c r="AW34" s="1900"/>
    </row>
    <row r="35" spans="1:49" x14ac:dyDescent="0.3">
      <c r="A35" s="1892"/>
      <c r="B35" s="52"/>
      <c r="C35" s="49"/>
      <c r="D35" s="1878"/>
      <c r="E35" s="1884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899"/>
      <c r="AW35" s="1899"/>
    </row>
    <row r="36" spans="1:49" x14ac:dyDescent="0.3">
      <c r="A36" s="1892"/>
      <c r="B36" s="52"/>
      <c r="C36" s="49"/>
      <c r="D36" s="1878"/>
      <c r="E36" s="1884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899"/>
      <c r="AW36" s="1899"/>
    </row>
    <row r="37" spans="1:49" x14ac:dyDescent="0.3">
      <c r="A37" s="1892"/>
      <c r="B37" s="53"/>
      <c r="C37" s="49"/>
      <c r="D37" s="1879"/>
      <c r="E37" s="1885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899"/>
      <c r="AW37" s="1899"/>
    </row>
    <row r="38" spans="1:49" x14ac:dyDescent="0.3">
      <c r="A38" s="1892">
        <v>46155</v>
      </c>
      <c r="B38" s="51"/>
      <c r="C38" s="49"/>
      <c r="D38" s="1877"/>
      <c r="E38" s="1883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899"/>
      <c r="AW38" s="1899"/>
    </row>
    <row r="39" spans="1:49" x14ac:dyDescent="0.3">
      <c r="A39" s="1892"/>
      <c r="B39" s="52"/>
      <c r="C39" s="49"/>
      <c r="D39" s="1878"/>
      <c r="E39" s="1884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899"/>
      <c r="AW39" s="1899"/>
    </row>
    <row r="40" spans="1:49" x14ac:dyDescent="0.3">
      <c r="A40" s="1892"/>
      <c r="B40" s="52"/>
      <c r="C40" s="49"/>
      <c r="D40" s="1878"/>
      <c r="E40" s="1884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899"/>
      <c r="AW40" s="1899"/>
    </row>
    <row r="41" spans="1:49" x14ac:dyDescent="0.3">
      <c r="A41" s="1892"/>
      <c r="B41" s="53"/>
      <c r="C41" s="49"/>
      <c r="D41" s="1879"/>
      <c r="E41" s="1885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897"/>
      <c r="AW41" s="1897"/>
    </row>
    <row r="42" spans="1:49" x14ac:dyDescent="0.3">
      <c r="A42" s="1892">
        <v>46156</v>
      </c>
      <c r="B42" s="51"/>
      <c r="C42" s="49"/>
      <c r="D42" s="1877"/>
      <c r="E42" s="1883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900"/>
      <c r="AW42" s="1900"/>
    </row>
    <row r="43" spans="1:49" x14ac:dyDescent="0.3">
      <c r="A43" s="1892"/>
      <c r="B43" s="52"/>
      <c r="C43" s="49"/>
      <c r="D43" s="1878"/>
      <c r="E43" s="1884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899"/>
      <c r="AW43" s="1899"/>
    </row>
    <row r="44" spans="1:49" x14ac:dyDescent="0.3">
      <c r="A44" s="1892"/>
      <c r="B44" s="52"/>
      <c r="C44" s="49"/>
      <c r="D44" s="1878"/>
      <c r="E44" s="1884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899"/>
      <c r="AW44" s="1899"/>
    </row>
    <row r="45" spans="1:49" x14ac:dyDescent="0.3">
      <c r="A45" s="1892"/>
      <c r="B45" s="53"/>
      <c r="C45" s="49"/>
      <c r="D45" s="1879"/>
      <c r="E45" s="1885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899"/>
      <c r="AW45" s="1899"/>
    </row>
    <row r="46" spans="1:49" x14ac:dyDescent="0.3">
      <c r="A46" s="1892">
        <v>46157</v>
      </c>
      <c r="B46" s="51"/>
      <c r="C46" s="49"/>
      <c r="D46" s="1880" t="s">
        <v>157</v>
      </c>
      <c r="E46" s="1883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899"/>
      <c r="AW46" s="1899"/>
    </row>
    <row r="47" spans="1:49" x14ac:dyDescent="0.3">
      <c r="A47" s="1892"/>
      <c r="B47" s="52"/>
      <c r="C47" s="49"/>
      <c r="D47" s="1881"/>
      <c r="E47" s="1884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899"/>
      <c r="AW47" s="1899"/>
    </row>
    <row r="48" spans="1:49" x14ac:dyDescent="0.3">
      <c r="A48" s="1892"/>
      <c r="B48" s="52"/>
      <c r="C48" s="49"/>
      <c r="D48" s="1881"/>
      <c r="E48" s="1884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899"/>
      <c r="AW48" s="1899"/>
    </row>
    <row r="49" spans="1:49" x14ac:dyDescent="0.3">
      <c r="A49" s="1892"/>
      <c r="B49" s="53"/>
      <c r="C49" s="49"/>
      <c r="D49" s="1882"/>
      <c r="E49" s="1885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897"/>
      <c r="AW49" s="1897"/>
    </row>
    <row r="50" spans="1:49" x14ac:dyDescent="0.3">
      <c r="A50" s="1892">
        <v>46158</v>
      </c>
      <c r="B50" s="51"/>
      <c r="C50" s="49"/>
      <c r="D50" s="1877"/>
      <c r="E50" s="1883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900"/>
      <c r="AW50" s="1900"/>
    </row>
    <row r="51" spans="1:49" x14ac:dyDescent="0.3">
      <c r="A51" s="1892"/>
      <c r="B51" s="52"/>
      <c r="C51" s="49"/>
      <c r="D51" s="1878"/>
      <c r="E51" s="1884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899"/>
      <c r="AW51" s="1899"/>
    </row>
    <row r="52" spans="1:49" x14ac:dyDescent="0.3">
      <c r="A52" s="1892"/>
      <c r="B52" s="52"/>
      <c r="C52" s="49"/>
      <c r="D52" s="1878"/>
      <c r="E52" s="1884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899"/>
      <c r="AW52" s="1899"/>
    </row>
    <row r="53" spans="1:49" x14ac:dyDescent="0.3">
      <c r="A53" s="1892"/>
      <c r="B53" s="53"/>
      <c r="C53" s="49"/>
      <c r="D53" s="1879"/>
      <c r="E53" s="1885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899"/>
      <c r="AW53" s="1899"/>
    </row>
    <row r="54" spans="1:49" x14ac:dyDescent="0.3">
      <c r="A54" s="1892">
        <v>46159</v>
      </c>
      <c r="B54" s="51"/>
      <c r="C54" s="49"/>
      <c r="D54" s="97"/>
      <c r="E54" s="1894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899"/>
      <c r="AW54" s="1899"/>
    </row>
    <row r="55" spans="1:49" x14ac:dyDescent="0.3">
      <c r="A55" s="1892"/>
      <c r="B55" s="52"/>
      <c r="C55" s="49"/>
      <c r="D55" s="97"/>
      <c r="E55" s="1895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899"/>
      <c r="AW55" s="1899"/>
    </row>
    <row r="56" spans="1:49" x14ac:dyDescent="0.3">
      <c r="A56" s="1892"/>
      <c r="B56" s="52"/>
      <c r="C56" s="49"/>
      <c r="D56" s="97"/>
      <c r="E56" s="1895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899"/>
      <c r="AW56" s="1899"/>
    </row>
    <row r="57" spans="1:49" x14ac:dyDescent="0.3">
      <c r="A57" s="1892"/>
      <c r="B57" s="53"/>
      <c r="C57" s="49"/>
      <c r="D57" s="97"/>
      <c r="E57" s="1896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897"/>
      <c r="AW57" s="1897"/>
    </row>
    <row r="58" spans="1:49" x14ac:dyDescent="0.3">
      <c r="A58" s="1892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900"/>
      <c r="AW58" s="1900"/>
    </row>
    <row r="59" spans="1:49" x14ac:dyDescent="0.3">
      <c r="A59" s="1892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899"/>
      <c r="AW59" s="1899"/>
    </row>
    <row r="60" spans="1:49" x14ac:dyDescent="0.3">
      <c r="A60" s="1892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899"/>
      <c r="AW60" s="1899"/>
    </row>
    <row r="61" spans="1:49" x14ac:dyDescent="0.3">
      <c r="A61" s="1892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899"/>
      <c r="AW61" s="1899"/>
    </row>
    <row r="62" spans="1:49" x14ac:dyDescent="0.3">
      <c r="A62" s="1892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899"/>
      <c r="AW62" s="1899"/>
    </row>
    <row r="63" spans="1:49" x14ac:dyDescent="0.3">
      <c r="A63" s="1892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899"/>
      <c r="AW63" s="1899"/>
    </row>
    <row r="64" spans="1:49" x14ac:dyDescent="0.3">
      <c r="A64" s="1892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899"/>
      <c r="AW64" s="1899"/>
    </row>
    <row r="65" spans="1:49" x14ac:dyDescent="0.3">
      <c r="A65" s="1892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897"/>
      <c r="AW65" s="1897"/>
    </row>
    <row r="66" spans="1:49" x14ac:dyDescent="0.3">
      <c r="A66" s="1892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900"/>
      <c r="AW66" s="1900"/>
    </row>
    <row r="67" spans="1:49" x14ac:dyDescent="0.3">
      <c r="A67" s="1892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899"/>
      <c r="AW67" s="1899"/>
    </row>
    <row r="68" spans="1:49" x14ac:dyDescent="0.3">
      <c r="A68" s="1892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899"/>
      <c r="AW68" s="1899"/>
    </row>
    <row r="69" spans="1:49" x14ac:dyDescent="0.3">
      <c r="A69" s="1892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899"/>
      <c r="AW69" s="1899"/>
    </row>
    <row r="70" spans="1:49" x14ac:dyDescent="0.3">
      <c r="A70" s="1892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899"/>
      <c r="AW70" s="1899"/>
    </row>
    <row r="71" spans="1:49" x14ac:dyDescent="0.3">
      <c r="A71" s="1892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899"/>
      <c r="AW71" s="1899"/>
    </row>
    <row r="72" spans="1:49" x14ac:dyDescent="0.3">
      <c r="A72" s="1892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899"/>
      <c r="AW72" s="1899"/>
    </row>
    <row r="73" spans="1:49" x14ac:dyDescent="0.3">
      <c r="A73" s="1892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897"/>
      <c r="AW73" s="1897"/>
    </row>
    <row r="74" spans="1:49" x14ac:dyDescent="0.3">
      <c r="A74" s="1892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900"/>
      <c r="AW74" s="1900"/>
    </row>
    <row r="75" spans="1:49" x14ac:dyDescent="0.3">
      <c r="A75" s="1892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899"/>
      <c r="AW75" s="1899"/>
    </row>
    <row r="76" spans="1:49" x14ac:dyDescent="0.3">
      <c r="A76" s="1892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899"/>
      <c r="AW76" s="1899"/>
    </row>
    <row r="77" spans="1:49" x14ac:dyDescent="0.3">
      <c r="A77" s="1892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899"/>
      <c r="AW77" s="1899"/>
    </row>
    <row r="78" spans="1:49" x14ac:dyDescent="0.3">
      <c r="A78" s="1892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899"/>
      <c r="AW78" s="1899"/>
    </row>
    <row r="79" spans="1:49" x14ac:dyDescent="0.3">
      <c r="A79" s="1892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899"/>
      <c r="AW79" s="1899"/>
    </row>
    <row r="80" spans="1:49" x14ac:dyDescent="0.3">
      <c r="A80" s="1892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899"/>
      <c r="AW80" s="1899"/>
    </row>
    <row r="81" spans="1:49" x14ac:dyDescent="0.3">
      <c r="A81" s="1892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897"/>
      <c r="AW81" s="1897"/>
    </row>
    <row r="82" spans="1:49" x14ac:dyDescent="0.3">
      <c r="A82" s="1892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900"/>
      <c r="AW82" s="1900"/>
    </row>
    <row r="83" spans="1:49" x14ac:dyDescent="0.3">
      <c r="A83" s="1892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899"/>
      <c r="AW83" s="1899"/>
    </row>
    <row r="84" spans="1:49" x14ac:dyDescent="0.3">
      <c r="A84" s="1892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899"/>
      <c r="AW84" s="1899"/>
    </row>
    <row r="85" spans="1:49" x14ac:dyDescent="0.3">
      <c r="A85" s="1892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899"/>
      <c r="AW85" s="1899"/>
    </row>
    <row r="86" spans="1:49" x14ac:dyDescent="0.3">
      <c r="A86" s="1892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899"/>
      <c r="AW86" s="1899"/>
    </row>
    <row r="87" spans="1:49" x14ac:dyDescent="0.3">
      <c r="A87" s="1892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899"/>
      <c r="AW87" s="1899"/>
    </row>
    <row r="88" spans="1:49" x14ac:dyDescent="0.3">
      <c r="A88" s="1892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899"/>
      <c r="AW88" s="1899"/>
    </row>
    <row r="89" spans="1:49" x14ac:dyDescent="0.3">
      <c r="A89" s="1892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897"/>
      <c r="AW89" s="1897"/>
    </row>
    <row r="90" spans="1:49" x14ac:dyDescent="0.3">
      <c r="A90" s="1892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900"/>
      <c r="AW90" s="1900"/>
    </row>
    <row r="91" spans="1:49" x14ac:dyDescent="0.3">
      <c r="A91" s="1892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899"/>
      <c r="AW91" s="1899"/>
    </row>
    <row r="92" spans="1:49" x14ac:dyDescent="0.3">
      <c r="A92" s="1892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899"/>
      <c r="AW92" s="1899"/>
    </row>
    <row r="93" spans="1:49" x14ac:dyDescent="0.3">
      <c r="A93" s="1892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899"/>
      <c r="AW93" s="1899"/>
    </row>
    <row r="94" spans="1:49" x14ac:dyDescent="0.3">
      <c r="A94" s="1892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899"/>
      <c r="AW94" s="1899"/>
    </row>
    <row r="95" spans="1:49" x14ac:dyDescent="0.3">
      <c r="A95" s="1892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899"/>
      <c r="AW95" s="1899"/>
    </row>
    <row r="96" spans="1:49" x14ac:dyDescent="0.3">
      <c r="A96" s="1892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899"/>
      <c r="AW96" s="1899"/>
    </row>
    <row r="97" spans="1:49" x14ac:dyDescent="0.3">
      <c r="A97" s="1892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897"/>
      <c r="AW97" s="1897"/>
    </row>
    <row r="98" spans="1:49" x14ac:dyDescent="0.3">
      <c r="A98" s="1892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900"/>
      <c r="AW98" s="1900"/>
    </row>
    <row r="99" spans="1:49" x14ac:dyDescent="0.3">
      <c r="A99" s="1892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899"/>
      <c r="AW99" s="1899"/>
    </row>
    <row r="100" spans="1:49" x14ac:dyDescent="0.3">
      <c r="A100" s="1892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899"/>
      <c r="AW100" s="1899"/>
    </row>
    <row r="101" spans="1:49" x14ac:dyDescent="0.3">
      <c r="A101" s="1892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899"/>
      <c r="AW101" s="1899"/>
    </row>
    <row r="102" spans="1:49" x14ac:dyDescent="0.3">
      <c r="A102" s="1892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899"/>
      <c r="AW102" s="1899"/>
    </row>
    <row r="103" spans="1:49" x14ac:dyDescent="0.3">
      <c r="A103" s="1892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899"/>
      <c r="AW103" s="1899"/>
    </row>
    <row r="104" spans="1:49" x14ac:dyDescent="0.3">
      <c r="A104" s="1892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899"/>
      <c r="AW104" s="1899"/>
    </row>
    <row r="105" spans="1:49" x14ac:dyDescent="0.3">
      <c r="A105" s="1892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897"/>
      <c r="AW105" s="1897"/>
    </row>
    <row r="106" spans="1:49" x14ac:dyDescent="0.3">
      <c r="A106" s="1892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900"/>
      <c r="AW106" s="1900"/>
    </row>
    <row r="107" spans="1:49" x14ac:dyDescent="0.3">
      <c r="A107" s="1892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899"/>
      <c r="AW107" s="1899"/>
    </row>
    <row r="108" spans="1:49" x14ac:dyDescent="0.3">
      <c r="A108" s="1892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899"/>
      <c r="AW108" s="1899"/>
    </row>
    <row r="109" spans="1:49" x14ac:dyDescent="0.3">
      <c r="A109" s="1892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899"/>
      <c r="AW109" s="1899"/>
    </row>
    <row r="110" spans="1:49" x14ac:dyDescent="0.3">
      <c r="A110" s="1892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899"/>
      <c r="AW110" s="1899"/>
    </row>
    <row r="111" spans="1:49" x14ac:dyDescent="0.3">
      <c r="A111" s="1892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899"/>
      <c r="AW111" s="1899"/>
    </row>
    <row r="112" spans="1:49" x14ac:dyDescent="0.3">
      <c r="A112" s="1892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899"/>
      <c r="AW112" s="1899"/>
    </row>
    <row r="113" spans="1:49" x14ac:dyDescent="0.3">
      <c r="A113" s="1892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897"/>
      <c r="AW113" s="1897"/>
    </row>
    <row r="114" spans="1:49" x14ac:dyDescent="0.3">
      <c r="A114" s="1892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900"/>
      <c r="AW114" s="1900"/>
    </row>
    <row r="115" spans="1:49" x14ac:dyDescent="0.3">
      <c r="A115" s="1892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899"/>
      <c r="AW115" s="1899"/>
    </row>
    <row r="116" spans="1:49" x14ac:dyDescent="0.3">
      <c r="A116" s="1892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899"/>
      <c r="AW116" s="1899"/>
    </row>
    <row r="117" spans="1:49" x14ac:dyDescent="0.3">
      <c r="A117" s="1892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899"/>
      <c r="AW117" s="1899"/>
    </row>
    <row r="118" spans="1:49" x14ac:dyDescent="0.3">
      <c r="A118" s="1892">
        <v>46175</v>
      </c>
      <c r="B118" s="51"/>
      <c r="C118" s="49"/>
      <c r="D118" s="1877"/>
      <c r="E118" s="1883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899"/>
      <c r="AW118" s="1899"/>
    </row>
    <row r="119" spans="1:49" x14ac:dyDescent="0.3">
      <c r="A119" s="1892"/>
      <c r="B119" s="52"/>
      <c r="C119" s="49"/>
      <c r="D119" s="1878"/>
      <c r="E119" s="1884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899"/>
      <c r="AW119" s="1899"/>
    </row>
    <row r="120" spans="1:49" x14ac:dyDescent="0.3">
      <c r="A120" s="1892"/>
      <c r="B120" s="52"/>
      <c r="C120" s="49"/>
      <c r="D120" s="1878"/>
      <c r="E120" s="1884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899"/>
      <c r="AW120" s="1899"/>
    </row>
    <row r="121" spans="1:49" x14ac:dyDescent="0.3">
      <c r="A121" s="1892"/>
      <c r="B121" s="53"/>
      <c r="C121" s="49"/>
      <c r="D121" s="1879"/>
      <c r="E121" s="1885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897"/>
      <c r="AW121" s="1897"/>
    </row>
    <row r="122" spans="1:49" x14ac:dyDescent="0.3">
      <c r="A122" s="1892">
        <v>46176</v>
      </c>
      <c r="B122" s="51"/>
      <c r="C122" s="49"/>
      <c r="D122" s="1877"/>
      <c r="E122" s="1883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900"/>
      <c r="AW122" s="1900"/>
    </row>
    <row r="123" spans="1:49" x14ac:dyDescent="0.3">
      <c r="A123" s="1892"/>
      <c r="B123" s="52"/>
      <c r="C123" s="49"/>
      <c r="D123" s="1878"/>
      <c r="E123" s="1884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899"/>
      <c r="AW123" s="1899"/>
    </row>
    <row r="124" spans="1:49" x14ac:dyDescent="0.3">
      <c r="A124" s="1892"/>
      <c r="B124" s="52"/>
      <c r="C124" s="49"/>
      <c r="D124" s="1878"/>
      <c r="E124" s="1884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899"/>
      <c r="AW124" s="1899"/>
    </row>
    <row r="125" spans="1:49" x14ac:dyDescent="0.3">
      <c r="A125" s="1892"/>
      <c r="B125" s="53"/>
      <c r="C125" s="49"/>
      <c r="D125" s="1879"/>
      <c r="E125" s="1885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899"/>
      <c r="AW125" s="1899"/>
    </row>
    <row r="126" spans="1:49" x14ac:dyDescent="0.3">
      <c r="A126" s="1892">
        <v>46177</v>
      </c>
      <c r="B126" s="51"/>
      <c r="C126" s="49"/>
      <c r="D126" s="1877"/>
      <c r="E126" s="1883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899"/>
      <c r="AW126" s="1899"/>
    </row>
    <row r="127" spans="1:49" x14ac:dyDescent="0.3">
      <c r="A127" s="1892"/>
      <c r="B127" s="52"/>
      <c r="C127" s="49"/>
      <c r="D127" s="1878"/>
      <c r="E127" s="1884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899"/>
      <c r="AW127" s="1899"/>
    </row>
    <row r="128" spans="1:49" x14ac:dyDescent="0.3">
      <c r="A128" s="1892"/>
      <c r="B128" s="52"/>
      <c r="C128" s="49"/>
      <c r="D128" s="1878"/>
      <c r="E128" s="1884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899"/>
      <c r="AW128" s="1899"/>
    </row>
    <row r="129" spans="1:49" x14ac:dyDescent="0.3">
      <c r="A129" s="1892"/>
      <c r="B129" s="53"/>
      <c r="C129" s="49"/>
      <c r="D129" s="1879"/>
      <c r="E129" s="1885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897"/>
      <c r="AW129" s="1897"/>
    </row>
    <row r="130" spans="1:49" x14ac:dyDescent="0.3">
      <c r="A130" s="18"/>
      <c r="B130" s="18"/>
      <c r="C130" s="18"/>
      <c r="D130" s="1892"/>
      <c r="E130" s="1898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900"/>
      <c r="AW130" s="1900"/>
    </row>
    <row r="131" spans="1:49" x14ac:dyDescent="0.3">
      <c r="A131" s="18"/>
      <c r="B131" s="18"/>
      <c r="C131" s="18"/>
      <c r="D131" s="1897"/>
      <c r="E131" s="1899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899"/>
      <c r="AW131" s="1899"/>
    </row>
    <row r="132" spans="1:49" x14ac:dyDescent="0.3">
      <c r="A132" s="18"/>
      <c r="B132" s="18"/>
      <c r="C132" s="18"/>
      <c r="D132" s="1897"/>
      <c r="E132" s="1899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899"/>
      <c r="AW132" s="1899"/>
    </row>
    <row r="133" spans="1:49" x14ac:dyDescent="0.3">
      <c r="A133" s="18"/>
      <c r="B133" s="18"/>
      <c r="C133" s="18"/>
      <c r="D133" s="1897"/>
      <c r="E133" s="1899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899"/>
      <c r="AW133" s="1899"/>
    </row>
    <row r="134" spans="1:49" x14ac:dyDescent="0.3">
      <c r="A134" s="18"/>
      <c r="B134" s="18"/>
      <c r="C134" s="18"/>
      <c r="D134" s="1897"/>
      <c r="E134" s="1899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899"/>
      <c r="AW134" s="1899"/>
    </row>
    <row r="135" spans="1:49" x14ac:dyDescent="0.3">
      <c r="A135" s="18"/>
      <c r="B135" s="18"/>
      <c r="C135" s="18"/>
      <c r="D135" s="1897"/>
      <c r="E135" s="1899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899"/>
      <c r="AW135" s="1899"/>
    </row>
    <row r="136" spans="1:49" x14ac:dyDescent="0.3">
      <c r="A136" s="18"/>
      <c r="B136" s="18"/>
      <c r="C136" s="18"/>
      <c r="D136" s="1897"/>
      <c r="E136" s="1899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899"/>
      <c r="AW136" s="1899"/>
    </row>
    <row r="137" spans="1:49" x14ac:dyDescent="0.3">
      <c r="A137" s="18"/>
      <c r="B137" s="18"/>
      <c r="C137" s="18"/>
      <c r="D137" s="1897"/>
      <c r="E137" s="1897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897"/>
      <c r="AW137" s="1897"/>
    </row>
    <row r="138" spans="1:49" x14ac:dyDescent="0.3">
      <c r="A138" s="18"/>
      <c r="B138" s="18"/>
      <c r="C138" s="18"/>
      <c r="D138" s="1892"/>
      <c r="E138" s="1898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900"/>
      <c r="AW138" s="1900"/>
    </row>
    <row r="139" spans="1:49" x14ac:dyDescent="0.3">
      <c r="A139" s="18"/>
      <c r="B139" s="18"/>
      <c r="C139" s="18"/>
      <c r="D139" s="1897"/>
      <c r="E139" s="1899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899"/>
      <c r="AW139" s="1899"/>
    </row>
    <row r="140" spans="1:49" x14ac:dyDescent="0.3">
      <c r="A140" s="18"/>
      <c r="B140" s="18"/>
      <c r="C140" s="18"/>
      <c r="D140" s="1897"/>
      <c r="E140" s="1899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899"/>
      <c r="AW140" s="1899"/>
    </row>
    <row r="141" spans="1:49" x14ac:dyDescent="0.3">
      <c r="A141" s="18"/>
      <c r="B141" s="18"/>
      <c r="C141" s="18"/>
      <c r="D141" s="1897"/>
      <c r="E141" s="1899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899"/>
      <c r="AW141" s="1899"/>
    </row>
    <row r="142" spans="1:49" x14ac:dyDescent="0.3">
      <c r="A142" s="18"/>
      <c r="B142" s="18"/>
      <c r="C142" s="18"/>
      <c r="D142" s="1897"/>
      <c r="E142" s="1899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899"/>
      <c r="AW142" s="1899"/>
    </row>
    <row r="143" spans="1:49" x14ac:dyDescent="0.3">
      <c r="A143" s="18"/>
      <c r="B143" s="18"/>
      <c r="C143" s="18"/>
      <c r="D143" s="1897"/>
      <c r="E143" s="1899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899"/>
      <c r="AW143" s="1899"/>
    </row>
    <row r="144" spans="1:49" x14ac:dyDescent="0.3">
      <c r="A144" s="18"/>
      <c r="B144" s="18"/>
      <c r="C144" s="18"/>
      <c r="D144" s="1897"/>
      <c r="E144" s="1899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899"/>
      <c r="AW144" s="1899"/>
    </row>
    <row r="145" spans="1:49" x14ac:dyDescent="0.3">
      <c r="A145" s="18"/>
      <c r="B145" s="18"/>
      <c r="C145" s="18"/>
      <c r="D145" s="1897"/>
      <c r="E145" s="1897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897"/>
      <c r="AW145" s="1897"/>
    </row>
    <row r="146" spans="1:49" x14ac:dyDescent="0.3">
      <c r="A146" s="18"/>
      <c r="B146" s="18"/>
      <c r="C146" s="18"/>
      <c r="D146" s="1892"/>
      <c r="E146" s="1898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900"/>
      <c r="AW146" s="1900"/>
    </row>
    <row r="147" spans="1:49" x14ac:dyDescent="0.3">
      <c r="A147" s="18"/>
      <c r="B147" s="18"/>
      <c r="C147" s="18"/>
      <c r="D147" s="1897"/>
      <c r="E147" s="1899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899"/>
      <c r="AW147" s="1899"/>
    </row>
    <row r="148" spans="1:49" x14ac:dyDescent="0.3">
      <c r="A148" s="18"/>
      <c r="B148" s="18"/>
      <c r="C148" s="18"/>
      <c r="D148" s="1897"/>
      <c r="E148" s="1899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899"/>
      <c r="AW148" s="1899"/>
    </row>
    <row r="149" spans="1:49" x14ac:dyDescent="0.3">
      <c r="A149" s="18"/>
      <c r="B149" s="18"/>
      <c r="C149" s="18"/>
      <c r="D149" s="1897"/>
      <c r="E149" s="1899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899"/>
      <c r="AW149" s="1899"/>
    </row>
    <row r="150" spans="1:49" x14ac:dyDescent="0.3">
      <c r="A150" s="18"/>
      <c r="B150" s="18"/>
      <c r="C150" s="18"/>
      <c r="D150" s="1897"/>
      <c r="E150" s="1899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899"/>
      <c r="AW150" s="1899"/>
    </row>
    <row r="151" spans="1:49" x14ac:dyDescent="0.3">
      <c r="A151" s="18"/>
      <c r="B151" s="18"/>
      <c r="C151" s="18"/>
      <c r="D151" s="1897"/>
      <c r="E151" s="1899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899"/>
      <c r="AW151" s="1899"/>
    </row>
    <row r="152" spans="1:49" x14ac:dyDescent="0.3">
      <c r="A152" s="18"/>
      <c r="B152" s="18"/>
      <c r="C152" s="18"/>
      <c r="D152" s="1897"/>
      <c r="E152" s="1899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899"/>
      <c r="AW152" s="1899"/>
    </row>
    <row r="153" spans="1:49" x14ac:dyDescent="0.3">
      <c r="A153" s="18"/>
      <c r="B153" s="18"/>
      <c r="C153" s="18"/>
      <c r="D153" s="1897"/>
      <c r="E153" s="1897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897"/>
      <c r="AW153" s="1897"/>
    </row>
    <row r="154" spans="1:49" x14ac:dyDescent="0.3">
      <c r="A154" s="18"/>
      <c r="B154" s="18"/>
      <c r="C154" s="18"/>
      <c r="D154" s="1892"/>
      <c r="E154" s="1898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900"/>
      <c r="AW154" s="1900"/>
    </row>
    <row r="155" spans="1:49" x14ac:dyDescent="0.3">
      <c r="A155" s="18"/>
      <c r="B155" s="18"/>
      <c r="C155" s="18"/>
      <c r="D155" s="1897"/>
      <c r="E155" s="1899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899"/>
      <c r="AW155" s="1899"/>
    </row>
    <row r="156" spans="1:49" x14ac:dyDescent="0.3">
      <c r="A156" s="18"/>
      <c r="B156" s="18"/>
      <c r="C156" s="18"/>
      <c r="D156" s="1897"/>
      <c r="E156" s="1899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899"/>
      <c r="AW156" s="1899"/>
    </row>
    <row r="157" spans="1:49" x14ac:dyDescent="0.3">
      <c r="A157" s="18"/>
      <c r="B157" s="18"/>
      <c r="C157" s="18"/>
      <c r="D157" s="1897"/>
      <c r="E157" s="1899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899"/>
      <c r="AW157" s="1899"/>
    </row>
    <row r="158" spans="1:49" x14ac:dyDescent="0.3">
      <c r="A158" s="18"/>
      <c r="B158" s="18"/>
      <c r="C158" s="18"/>
      <c r="D158" s="1897"/>
      <c r="E158" s="1899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899"/>
      <c r="AW158" s="1899"/>
    </row>
    <row r="159" spans="1:49" x14ac:dyDescent="0.3">
      <c r="A159" s="18"/>
      <c r="B159" s="18"/>
      <c r="C159" s="18"/>
      <c r="D159" s="1897"/>
      <c r="E159" s="1899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899"/>
      <c r="AW159" s="1899"/>
    </row>
    <row r="160" spans="1:49" x14ac:dyDescent="0.3">
      <c r="A160" s="18"/>
      <c r="B160" s="18"/>
      <c r="C160" s="18"/>
      <c r="D160" s="1897"/>
      <c r="E160" s="1899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899"/>
      <c r="AW160" s="1899"/>
    </row>
    <row r="161" spans="1:49" x14ac:dyDescent="0.3">
      <c r="A161" s="18"/>
      <c r="B161" s="18"/>
      <c r="C161" s="18"/>
      <c r="D161" s="1897"/>
      <c r="E161" s="1897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897"/>
      <c r="AW161" s="1897"/>
    </row>
    <row r="162" spans="1:49" x14ac:dyDescent="0.3">
      <c r="A162" s="18"/>
      <c r="B162" s="18"/>
      <c r="C162" s="18"/>
      <c r="D162" s="1892"/>
      <c r="E162" s="1898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900"/>
      <c r="AW162" s="1900"/>
    </row>
    <row r="163" spans="1:49" x14ac:dyDescent="0.3">
      <c r="A163" s="18"/>
      <c r="B163" s="18"/>
      <c r="C163" s="18"/>
      <c r="D163" s="1897"/>
      <c r="E163" s="1899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899"/>
      <c r="AW163" s="1899"/>
    </row>
    <row r="164" spans="1:49" x14ac:dyDescent="0.3">
      <c r="A164" s="18"/>
      <c r="B164" s="18"/>
      <c r="C164" s="18"/>
      <c r="D164" s="1897"/>
      <c r="E164" s="1899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899"/>
      <c r="AW164" s="1899"/>
    </row>
    <row r="165" spans="1:49" x14ac:dyDescent="0.3">
      <c r="A165" s="18"/>
      <c r="B165" s="18"/>
      <c r="C165" s="18"/>
      <c r="D165" s="1897"/>
      <c r="E165" s="1899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899"/>
      <c r="AW165" s="1899"/>
    </row>
    <row r="166" spans="1:49" x14ac:dyDescent="0.3">
      <c r="A166" s="18"/>
      <c r="B166" s="18"/>
      <c r="C166" s="18"/>
      <c r="D166" s="1897"/>
      <c r="E166" s="1899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899"/>
      <c r="AW166" s="1899"/>
    </row>
    <row r="167" spans="1:49" x14ac:dyDescent="0.3">
      <c r="A167" s="18"/>
      <c r="B167" s="18"/>
      <c r="C167" s="18"/>
      <c r="D167" s="1897"/>
      <c r="E167" s="1899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899"/>
      <c r="AW167" s="1899"/>
    </row>
    <row r="168" spans="1:49" x14ac:dyDescent="0.3">
      <c r="A168" s="18"/>
      <c r="B168" s="18"/>
      <c r="C168" s="18"/>
      <c r="D168" s="1897"/>
      <c r="E168" s="1899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899"/>
      <c r="AW168" s="1899"/>
    </row>
    <row r="169" spans="1:49" x14ac:dyDescent="0.3">
      <c r="A169" s="18"/>
      <c r="B169" s="18"/>
      <c r="C169" s="18"/>
      <c r="D169" s="1897"/>
      <c r="E169" s="1897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897"/>
      <c r="AW169" s="1897"/>
    </row>
    <row r="170" spans="1:49" x14ac:dyDescent="0.3">
      <c r="A170" s="18"/>
      <c r="B170" s="18"/>
      <c r="C170" s="18"/>
      <c r="D170" s="1892"/>
      <c r="E170" s="1898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900"/>
      <c r="AW170" s="1900"/>
    </row>
    <row r="171" spans="1:49" x14ac:dyDescent="0.3">
      <c r="A171" s="18"/>
      <c r="B171" s="18"/>
      <c r="C171" s="18"/>
      <c r="D171" s="1897"/>
      <c r="E171" s="1899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899"/>
      <c r="AW171" s="1899"/>
    </row>
    <row r="172" spans="1:49" x14ac:dyDescent="0.3">
      <c r="A172" s="18"/>
      <c r="B172" s="18"/>
      <c r="C172" s="18"/>
      <c r="D172" s="1897"/>
      <c r="E172" s="1899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899"/>
      <c r="AW172" s="1899"/>
    </row>
    <row r="173" spans="1:49" x14ac:dyDescent="0.3">
      <c r="A173" s="18"/>
      <c r="B173" s="18"/>
      <c r="C173" s="18"/>
      <c r="D173" s="1897"/>
      <c r="E173" s="1899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899"/>
      <c r="AW173" s="1899"/>
    </row>
    <row r="174" spans="1:49" x14ac:dyDescent="0.3">
      <c r="A174" s="18"/>
      <c r="B174" s="18"/>
      <c r="C174" s="18"/>
      <c r="D174" s="1897"/>
      <c r="E174" s="1899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899"/>
      <c r="AW174" s="1899"/>
    </row>
    <row r="175" spans="1:49" x14ac:dyDescent="0.3">
      <c r="A175" s="18"/>
      <c r="B175" s="18"/>
      <c r="C175" s="18"/>
      <c r="D175" s="1897"/>
      <c r="E175" s="1899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899"/>
      <c r="AW175" s="1899"/>
    </row>
    <row r="176" spans="1:49" x14ac:dyDescent="0.3">
      <c r="A176" s="18"/>
      <c r="B176" s="18"/>
      <c r="C176" s="18"/>
      <c r="D176" s="1897"/>
      <c r="E176" s="1899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899"/>
      <c r="AW176" s="1899"/>
    </row>
    <row r="177" spans="1:49" x14ac:dyDescent="0.3">
      <c r="A177" s="18"/>
      <c r="B177" s="18"/>
      <c r="C177" s="18"/>
      <c r="D177" s="1897"/>
      <c r="E177" s="1897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897"/>
      <c r="AW177" s="1897"/>
    </row>
    <row r="178" spans="1:49" x14ac:dyDescent="0.3">
      <c r="A178" s="18"/>
      <c r="B178" s="18"/>
      <c r="C178" s="18"/>
      <c r="D178" s="1892"/>
      <c r="E178" s="1898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900"/>
      <c r="AW178" s="1900"/>
    </row>
    <row r="179" spans="1:49" x14ac:dyDescent="0.3">
      <c r="A179" s="18"/>
      <c r="B179" s="18"/>
      <c r="C179" s="18"/>
      <c r="D179" s="1897"/>
      <c r="E179" s="1899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899"/>
      <c r="AW179" s="1899"/>
    </row>
    <row r="180" spans="1:49" x14ac:dyDescent="0.3">
      <c r="A180" s="18"/>
      <c r="B180" s="18"/>
      <c r="C180" s="18"/>
      <c r="D180" s="1897"/>
      <c r="E180" s="1899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899"/>
      <c r="AW180" s="1899"/>
    </row>
    <row r="181" spans="1:49" x14ac:dyDescent="0.3">
      <c r="A181" s="18"/>
      <c r="B181" s="18"/>
      <c r="C181" s="18"/>
      <c r="D181" s="1897"/>
      <c r="E181" s="1899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899"/>
      <c r="AW181" s="1899"/>
    </row>
    <row r="182" spans="1:49" x14ac:dyDescent="0.3">
      <c r="A182" s="18"/>
      <c r="B182" s="18"/>
      <c r="C182" s="18"/>
      <c r="D182" s="1897"/>
      <c r="E182" s="1899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899"/>
      <c r="AW182" s="1899"/>
    </row>
    <row r="183" spans="1:49" x14ac:dyDescent="0.3">
      <c r="A183" s="18"/>
      <c r="B183" s="18"/>
      <c r="C183" s="18"/>
      <c r="D183" s="1897"/>
      <c r="E183" s="1899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899"/>
      <c r="AW183" s="1899"/>
    </row>
    <row r="184" spans="1:49" x14ac:dyDescent="0.3">
      <c r="A184" s="18"/>
      <c r="B184" s="18"/>
      <c r="C184" s="18"/>
      <c r="D184" s="1897"/>
      <c r="E184" s="1899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899"/>
      <c r="AW184" s="1899"/>
    </row>
    <row r="185" spans="1:49" x14ac:dyDescent="0.3">
      <c r="A185" s="18"/>
      <c r="B185" s="18"/>
      <c r="C185" s="18"/>
      <c r="D185" s="1897"/>
      <c r="E185" s="1897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897"/>
      <c r="AW185" s="1897"/>
    </row>
    <row r="186" spans="1:49" x14ac:dyDescent="0.3">
      <c r="A186" s="18"/>
      <c r="B186" s="18"/>
      <c r="C186" s="18"/>
      <c r="D186" s="1892"/>
      <c r="E186" s="1898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900"/>
      <c r="AW186" s="1900"/>
    </row>
    <row r="187" spans="1:49" x14ac:dyDescent="0.3">
      <c r="A187" s="18"/>
      <c r="B187" s="18"/>
      <c r="C187" s="18"/>
      <c r="D187" s="1897"/>
      <c r="E187" s="1899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899"/>
      <c r="AW187" s="1899"/>
    </row>
    <row r="188" spans="1:49" x14ac:dyDescent="0.3">
      <c r="A188" s="18"/>
      <c r="B188" s="18"/>
      <c r="C188" s="18"/>
      <c r="D188" s="1897"/>
      <c r="E188" s="1899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899"/>
      <c r="AW188" s="1899"/>
    </row>
    <row r="189" spans="1:49" x14ac:dyDescent="0.3">
      <c r="A189" s="18"/>
      <c r="B189" s="18"/>
      <c r="C189" s="18"/>
      <c r="D189" s="1897"/>
      <c r="E189" s="1899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899"/>
      <c r="AW189" s="1899"/>
    </row>
    <row r="190" spans="1:49" x14ac:dyDescent="0.3">
      <c r="A190" s="18"/>
      <c r="B190" s="18"/>
      <c r="C190" s="18"/>
      <c r="D190" s="1897"/>
      <c r="E190" s="1899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899"/>
      <c r="AW190" s="1899"/>
    </row>
    <row r="191" spans="1:49" x14ac:dyDescent="0.3">
      <c r="A191" s="18"/>
      <c r="B191" s="18"/>
      <c r="C191" s="18"/>
      <c r="D191" s="1897"/>
      <c r="E191" s="1899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899"/>
      <c r="AW191" s="1899"/>
    </row>
    <row r="192" spans="1:49" x14ac:dyDescent="0.3">
      <c r="A192" s="18"/>
      <c r="B192" s="18"/>
      <c r="C192" s="18"/>
      <c r="D192" s="1897"/>
      <c r="E192" s="1899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899"/>
      <c r="AW192" s="1899"/>
    </row>
    <row r="193" spans="1:49" x14ac:dyDescent="0.3">
      <c r="A193" s="18"/>
      <c r="B193" s="18"/>
      <c r="C193" s="18"/>
      <c r="D193" s="1897"/>
      <c r="E193" s="1897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897"/>
      <c r="AW193" s="1897"/>
    </row>
    <row r="194" spans="1:49" x14ac:dyDescent="0.3">
      <c r="A194" s="18"/>
      <c r="B194" s="18"/>
      <c r="C194" s="18"/>
      <c r="D194" s="1892"/>
      <c r="E194" s="1898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900"/>
      <c r="AW194" s="1900"/>
    </row>
    <row r="195" spans="1:49" x14ac:dyDescent="0.3">
      <c r="A195" s="18"/>
      <c r="B195" s="18"/>
      <c r="C195" s="18"/>
      <c r="D195" s="1897"/>
      <c r="E195" s="1899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899"/>
      <c r="AW195" s="1899"/>
    </row>
    <row r="196" spans="1:49" x14ac:dyDescent="0.3">
      <c r="A196" s="18"/>
      <c r="B196" s="18"/>
      <c r="C196" s="18"/>
      <c r="D196" s="1897"/>
      <c r="E196" s="1899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899"/>
      <c r="AW196" s="1899"/>
    </row>
    <row r="197" spans="1:49" x14ac:dyDescent="0.3">
      <c r="A197" s="18"/>
      <c r="B197" s="18"/>
      <c r="C197" s="18"/>
      <c r="D197" s="1897"/>
      <c r="E197" s="1899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899"/>
      <c r="AW197" s="1899"/>
    </row>
    <row r="198" spans="1:49" x14ac:dyDescent="0.3">
      <c r="A198" s="18"/>
      <c r="B198" s="18"/>
      <c r="C198" s="18"/>
      <c r="D198" s="1897"/>
      <c r="E198" s="1899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899"/>
      <c r="AW198" s="1899"/>
    </row>
    <row r="199" spans="1:49" x14ac:dyDescent="0.3">
      <c r="A199" s="18"/>
      <c r="B199" s="18"/>
      <c r="C199" s="18"/>
      <c r="D199" s="1897"/>
      <c r="E199" s="1899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899"/>
      <c r="AW199" s="1899"/>
    </row>
    <row r="200" spans="1:49" x14ac:dyDescent="0.3">
      <c r="A200" s="18"/>
      <c r="B200" s="18"/>
      <c r="C200" s="18"/>
      <c r="D200" s="1897"/>
      <c r="E200" s="1899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899"/>
      <c r="AW200" s="1899"/>
    </row>
    <row r="201" spans="1:49" x14ac:dyDescent="0.3">
      <c r="A201" s="18"/>
      <c r="B201" s="18"/>
      <c r="C201" s="18"/>
      <c r="D201" s="1897"/>
      <c r="E201" s="1897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897"/>
      <c r="AW201" s="1897"/>
    </row>
    <row r="202" spans="1:49" x14ac:dyDescent="0.3">
      <c r="A202" s="18"/>
      <c r="B202" s="18"/>
      <c r="C202" s="18"/>
      <c r="D202" s="1892"/>
      <c r="E202" s="1898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900"/>
      <c r="AW202" s="1900"/>
    </row>
    <row r="203" spans="1:49" x14ac:dyDescent="0.3">
      <c r="A203" s="18"/>
      <c r="B203" s="18"/>
      <c r="C203" s="18"/>
      <c r="D203" s="1897"/>
      <c r="E203" s="1899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899"/>
      <c r="AW203" s="1899"/>
    </row>
    <row r="204" spans="1:49" x14ac:dyDescent="0.3">
      <c r="A204" s="18"/>
      <c r="B204" s="18"/>
      <c r="C204" s="18"/>
      <c r="D204" s="1897"/>
      <c r="E204" s="1899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899"/>
      <c r="AW204" s="1899"/>
    </row>
    <row r="205" spans="1:49" x14ac:dyDescent="0.3">
      <c r="A205" s="18"/>
      <c r="B205" s="18"/>
      <c r="C205" s="18"/>
      <c r="D205" s="1897"/>
      <c r="E205" s="1899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899"/>
      <c r="AW205" s="1899"/>
    </row>
    <row r="206" spans="1:49" x14ac:dyDescent="0.3">
      <c r="A206" s="18"/>
      <c r="B206" s="18"/>
      <c r="C206" s="18"/>
      <c r="D206" s="1897"/>
      <c r="E206" s="1899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899"/>
      <c r="AW206" s="1899"/>
    </row>
    <row r="207" spans="1:49" x14ac:dyDescent="0.3">
      <c r="A207" s="18"/>
      <c r="B207" s="18"/>
      <c r="C207" s="18"/>
      <c r="D207" s="1897"/>
      <c r="E207" s="1899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899"/>
      <c r="AW207" s="1899"/>
    </row>
    <row r="208" spans="1:49" x14ac:dyDescent="0.3">
      <c r="A208" s="18"/>
      <c r="B208" s="18"/>
      <c r="C208" s="18"/>
      <c r="D208" s="1897"/>
      <c r="E208" s="1899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899"/>
      <c r="AW208" s="1899"/>
    </row>
    <row r="209" spans="1:49" x14ac:dyDescent="0.3">
      <c r="A209" s="18"/>
      <c r="B209" s="18"/>
      <c r="C209" s="18"/>
      <c r="D209" s="1897"/>
      <c r="E209" s="1897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897"/>
      <c r="AW209" s="1897"/>
    </row>
    <row r="210" spans="1:49" x14ac:dyDescent="0.3">
      <c r="A210" s="18"/>
      <c r="B210" s="18"/>
      <c r="C210" s="18"/>
      <c r="D210" s="1892"/>
      <c r="E210" s="1898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900"/>
      <c r="AW210" s="1900"/>
    </row>
    <row r="211" spans="1:49" x14ac:dyDescent="0.3">
      <c r="A211" s="18"/>
      <c r="B211" s="18"/>
      <c r="C211" s="18"/>
      <c r="D211" s="1897"/>
      <c r="E211" s="1899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899"/>
      <c r="AW211" s="1899"/>
    </row>
    <row r="212" spans="1:49" x14ac:dyDescent="0.3">
      <c r="A212" s="18"/>
      <c r="B212" s="18"/>
      <c r="C212" s="18"/>
      <c r="D212" s="1897"/>
      <c r="E212" s="1899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899"/>
      <c r="AW212" s="1899"/>
    </row>
    <row r="213" spans="1:49" x14ac:dyDescent="0.3">
      <c r="A213" s="18"/>
      <c r="B213" s="18"/>
      <c r="C213" s="18"/>
      <c r="D213" s="1897"/>
      <c r="E213" s="1899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899"/>
      <c r="AW213" s="1899"/>
    </row>
    <row r="214" spans="1:49" x14ac:dyDescent="0.3">
      <c r="A214" s="18"/>
      <c r="B214" s="18"/>
      <c r="C214" s="18"/>
      <c r="D214" s="1897"/>
      <c r="E214" s="1899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899"/>
      <c r="AW214" s="1899"/>
    </row>
    <row r="215" spans="1:49" x14ac:dyDescent="0.3">
      <c r="A215" s="18"/>
      <c r="B215" s="18"/>
      <c r="C215" s="18"/>
      <c r="D215" s="1897"/>
      <c r="E215" s="1899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899"/>
      <c r="AW215" s="1899"/>
    </row>
    <row r="216" spans="1:49" x14ac:dyDescent="0.3">
      <c r="A216" s="18"/>
      <c r="B216" s="18"/>
      <c r="C216" s="18"/>
      <c r="D216" s="1897"/>
      <c r="E216" s="1899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899"/>
      <c r="AW216" s="1899"/>
    </row>
    <row r="217" spans="1:49" x14ac:dyDescent="0.3">
      <c r="A217" s="18"/>
      <c r="B217" s="18"/>
      <c r="C217" s="18"/>
      <c r="D217" s="1897"/>
      <c r="E217" s="1897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897"/>
      <c r="AW217" s="1897"/>
    </row>
    <row r="218" spans="1:49" x14ac:dyDescent="0.3">
      <c r="A218" s="18"/>
      <c r="B218" s="18"/>
      <c r="C218" s="18"/>
      <c r="D218" s="1892"/>
      <c r="E218" s="1898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900"/>
      <c r="AW218" s="1900"/>
    </row>
    <row r="219" spans="1:49" x14ac:dyDescent="0.3">
      <c r="A219" s="18"/>
      <c r="B219" s="18"/>
      <c r="C219" s="18"/>
      <c r="D219" s="1897"/>
      <c r="E219" s="1899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899"/>
      <c r="AW219" s="1899"/>
    </row>
    <row r="220" spans="1:49" x14ac:dyDescent="0.3">
      <c r="A220" s="18"/>
      <c r="B220" s="18"/>
      <c r="C220" s="18"/>
      <c r="D220" s="1897"/>
      <c r="E220" s="1899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899"/>
      <c r="AW220" s="1899"/>
    </row>
    <row r="221" spans="1:49" x14ac:dyDescent="0.3">
      <c r="A221" s="18"/>
      <c r="B221" s="18"/>
      <c r="C221" s="18"/>
      <c r="D221" s="1897"/>
      <c r="E221" s="1899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899"/>
      <c r="AW221" s="1899"/>
    </row>
    <row r="222" spans="1:49" x14ac:dyDescent="0.3">
      <c r="A222" s="18"/>
      <c r="B222" s="18"/>
      <c r="C222" s="18"/>
      <c r="D222" s="1897"/>
      <c r="E222" s="1899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899"/>
      <c r="AW222" s="1899"/>
    </row>
    <row r="223" spans="1:49" x14ac:dyDescent="0.3">
      <c r="A223" s="18"/>
      <c r="B223" s="18"/>
      <c r="C223" s="18"/>
      <c r="D223" s="1897"/>
      <c r="E223" s="1899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899"/>
      <c r="AW223" s="1899"/>
    </row>
    <row r="224" spans="1:49" x14ac:dyDescent="0.3">
      <c r="A224" s="18"/>
      <c r="B224" s="18"/>
      <c r="C224" s="18"/>
      <c r="D224" s="1897"/>
      <c r="E224" s="1899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899"/>
      <c r="AW224" s="1899"/>
    </row>
    <row r="225" spans="1:49" x14ac:dyDescent="0.3">
      <c r="A225" s="18"/>
      <c r="B225" s="18"/>
      <c r="C225" s="18"/>
      <c r="D225" s="1897"/>
      <c r="E225" s="1897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897"/>
      <c r="AW225" s="1897"/>
    </row>
    <row r="226" spans="1:49" x14ac:dyDescent="0.3">
      <c r="A226" s="18"/>
      <c r="B226" s="18"/>
      <c r="C226" s="18"/>
      <c r="D226" s="1892"/>
      <c r="E226" s="1898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900"/>
      <c r="AW226" s="1900"/>
    </row>
    <row r="227" spans="1:49" x14ac:dyDescent="0.3">
      <c r="A227" s="18"/>
      <c r="B227" s="18"/>
      <c r="C227" s="18"/>
      <c r="D227" s="1897"/>
      <c r="E227" s="1899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899"/>
      <c r="AW227" s="1899"/>
    </row>
    <row r="228" spans="1:49" x14ac:dyDescent="0.3">
      <c r="A228" s="18"/>
      <c r="B228" s="18"/>
      <c r="C228" s="18"/>
      <c r="D228" s="1897"/>
      <c r="E228" s="1899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899"/>
      <c r="AW228" s="1899"/>
    </row>
    <row r="229" spans="1:49" x14ac:dyDescent="0.3">
      <c r="A229" s="18"/>
      <c r="B229" s="18"/>
      <c r="C229" s="18"/>
      <c r="D229" s="1897"/>
      <c r="E229" s="1899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899"/>
      <c r="AW229" s="1899"/>
    </row>
    <row r="230" spans="1:49" x14ac:dyDescent="0.3">
      <c r="A230" s="18"/>
      <c r="B230" s="18"/>
      <c r="C230" s="18"/>
      <c r="D230" s="1897"/>
      <c r="E230" s="1899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899"/>
      <c r="AW230" s="1899"/>
    </row>
    <row r="231" spans="1:49" x14ac:dyDescent="0.3">
      <c r="A231" s="18"/>
      <c r="B231" s="18"/>
      <c r="C231" s="18"/>
      <c r="D231" s="1897"/>
      <c r="E231" s="1899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899"/>
      <c r="AW231" s="1899"/>
    </row>
    <row r="232" spans="1:49" x14ac:dyDescent="0.3">
      <c r="A232" s="18"/>
      <c r="B232" s="18"/>
      <c r="C232" s="18"/>
      <c r="D232" s="1897"/>
      <c r="E232" s="1899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899"/>
      <c r="AW232" s="1899"/>
    </row>
    <row r="233" spans="1:49" x14ac:dyDescent="0.3">
      <c r="A233" s="18"/>
      <c r="B233" s="18"/>
      <c r="C233" s="18"/>
      <c r="D233" s="1897"/>
      <c r="E233" s="1897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897"/>
      <c r="AW233" s="1897"/>
    </row>
    <row r="234" spans="1:49" x14ac:dyDescent="0.3">
      <c r="A234" s="18"/>
      <c r="B234" s="18"/>
      <c r="C234" s="18"/>
      <c r="D234" s="1892"/>
      <c r="E234" s="1898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900"/>
      <c r="AW234" s="1900"/>
    </row>
    <row r="235" spans="1:49" x14ac:dyDescent="0.3">
      <c r="A235" s="18"/>
      <c r="B235" s="18"/>
      <c r="C235" s="18"/>
      <c r="D235" s="1897"/>
      <c r="E235" s="1899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899"/>
      <c r="AW235" s="1899"/>
    </row>
    <row r="236" spans="1:49" x14ac:dyDescent="0.3">
      <c r="A236" s="18"/>
      <c r="B236" s="18"/>
      <c r="C236" s="18"/>
      <c r="D236" s="1897"/>
      <c r="E236" s="1899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899"/>
      <c r="AW236" s="1899"/>
    </row>
    <row r="237" spans="1:49" x14ac:dyDescent="0.3">
      <c r="A237" s="18"/>
      <c r="B237" s="18"/>
      <c r="C237" s="18"/>
      <c r="D237" s="1897"/>
      <c r="E237" s="1899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899"/>
      <c r="AW237" s="1899"/>
    </row>
    <row r="238" spans="1:49" x14ac:dyDescent="0.3">
      <c r="A238" s="18"/>
      <c r="B238" s="18"/>
      <c r="C238" s="18"/>
      <c r="D238" s="1897"/>
      <c r="E238" s="1899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899"/>
      <c r="AW238" s="1899"/>
    </row>
    <row r="239" spans="1:49" x14ac:dyDescent="0.3">
      <c r="A239" s="18"/>
      <c r="B239" s="18"/>
      <c r="C239" s="18"/>
      <c r="D239" s="1897"/>
      <c r="E239" s="1899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899"/>
      <c r="AW239" s="1899"/>
    </row>
    <row r="240" spans="1:49" x14ac:dyDescent="0.3">
      <c r="A240" s="18"/>
      <c r="B240" s="18"/>
      <c r="C240" s="18"/>
      <c r="D240" s="1897"/>
      <c r="E240" s="1899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899"/>
      <c r="AW240" s="1899"/>
    </row>
    <row r="241" spans="1:49" x14ac:dyDescent="0.3">
      <c r="A241" s="18"/>
      <c r="B241" s="18"/>
      <c r="C241" s="18"/>
      <c r="D241" s="1897"/>
      <c r="E241" s="1897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897"/>
      <c r="AW241" s="1897"/>
    </row>
    <row r="242" spans="1:49" x14ac:dyDescent="0.3">
      <c r="A242" s="18"/>
      <c r="B242" s="18"/>
      <c r="C242" s="18"/>
      <c r="D242" s="1892"/>
      <c r="E242" s="1898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900"/>
      <c r="AW242" s="1900"/>
    </row>
    <row r="243" spans="1:49" x14ac:dyDescent="0.3">
      <c r="A243" s="18"/>
      <c r="B243" s="18"/>
      <c r="C243" s="18"/>
      <c r="D243" s="1897"/>
      <c r="E243" s="1899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899"/>
      <c r="AW243" s="1899"/>
    </row>
    <row r="244" spans="1:49" x14ac:dyDescent="0.3">
      <c r="A244" s="18"/>
      <c r="B244" s="18"/>
      <c r="C244" s="18"/>
      <c r="D244" s="1897"/>
      <c r="E244" s="1899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899"/>
      <c r="AW244" s="1899"/>
    </row>
    <row r="245" spans="1:49" x14ac:dyDescent="0.3">
      <c r="A245" s="18"/>
      <c r="B245" s="18"/>
      <c r="C245" s="18"/>
      <c r="D245" s="1897"/>
      <c r="E245" s="1899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899"/>
      <c r="AW245" s="1899"/>
    </row>
    <row r="246" spans="1:49" x14ac:dyDescent="0.3">
      <c r="A246" s="18"/>
      <c r="B246" s="18"/>
      <c r="C246" s="18"/>
      <c r="D246" s="1897"/>
      <c r="E246" s="1899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899"/>
      <c r="AW246" s="1899"/>
    </row>
    <row r="247" spans="1:49" x14ac:dyDescent="0.3">
      <c r="A247" s="18"/>
      <c r="B247" s="18"/>
      <c r="C247" s="18"/>
      <c r="D247" s="1897"/>
      <c r="E247" s="1899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899"/>
      <c r="AW247" s="1899"/>
    </row>
    <row r="248" spans="1:49" x14ac:dyDescent="0.3">
      <c r="A248" s="18"/>
      <c r="B248" s="18"/>
      <c r="C248" s="18"/>
      <c r="D248" s="1897"/>
      <c r="E248" s="1899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899"/>
      <c r="AW248" s="1899"/>
    </row>
    <row r="249" spans="1:49" x14ac:dyDescent="0.3">
      <c r="A249" s="18"/>
      <c r="B249" s="18"/>
      <c r="C249" s="18"/>
      <c r="D249" s="1897"/>
      <c r="E249" s="1897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897"/>
      <c r="AW249" s="1897"/>
    </row>
    <row r="250" spans="1:49" x14ac:dyDescent="0.3">
      <c r="A250" s="18"/>
      <c r="B250" s="18"/>
      <c r="C250" s="18"/>
      <c r="D250" s="1892"/>
      <c r="E250" s="1898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900"/>
      <c r="AW250" s="1900"/>
    </row>
    <row r="251" spans="1:49" x14ac:dyDescent="0.3">
      <c r="A251" s="18"/>
      <c r="B251" s="18"/>
      <c r="C251" s="18"/>
      <c r="D251" s="1897"/>
      <c r="E251" s="1899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899"/>
      <c r="AW251" s="1899"/>
    </row>
    <row r="252" spans="1:49" x14ac:dyDescent="0.3">
      <c r="A252" s="18"/>
      <c r="B252" s="18"/>
      <c r="C252" s="18"/>
      <c r="D252" s="1897"/>
      <c r="E252" s="1899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899"/>
      <c r="AW252" s="1899"/>
    </row>
    <row r="253" spans="1:49" x14ac:dyDescent="0.3">
      <c r="A253" s="18"/>
      <c r="B253" s="18"/>
      <c r="C253" s="18"/>
      <c r="D253" s="1897"/>
      <c r="E253" s="1899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899"/>
      <c r="AW253" s="1899"/>
    </row>
    <row r="254" spans="1:49" x14ac:dyDescent="0.3">
      <c r="A254" s="18"/>
      <c r="B254" s="18"/>
      <c r="C254" s="18"/>
      <c r="D254" s="1897"/>
      <c r="E254" s="1899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899"/>
      <c r="AW254" s="1899"/>
    </row>
    <row r="255" spans="1:49" x14ac:dyDescent="0.3">
      <c r="A255" s="18"/>
      <c r="B255" s="18"/>
      <c r="C255" s="18"/>
      <c r="D255" s="1897"/>
      <c r="E255" s="1899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899"/>
      <c r="AW255" s="1899"/>
    </row>
    <row r="256" spans="1:49" x14ac:dyDescent="0.3">
      <c r="A256" s="18"/>
      <c r="B256" s="18"/>
      <c r="C256" s="18"/>
      <c r="D256" s="1897"/>
      <c r="E256" s="1899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899"/>
      <c r="AW256" s="1899"/>
    </row>
    <row r="257" spans="1:49" x14ac:dyDescent="0.3">
      <c r="A257" s="18"/>
      <c r="B257" s="18"/>
      <c r="C257" s="18"/>
      <c r="D257" s="1897"/>
      <c r="E257" s="1897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897"/>
      <c r="AW257" s="1897"/>
    </row>
    <row r="258" spans="1:49" x14ac:dyDescent="0.3">
      <c r="A258" s="18"/>
      <c r="B258" s="18"/>
      <c r="C258" s="18"/>
      <c r="D258" s="1892"/>
      <c r="E258" s="1898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900"/>
      <c r="AW258" s="1900"/>
    </row>
    <row r="259" spans="1:49" x14ac:dyDescent="0.3">
      <c r="A259" s="18"/>
      <c r="B259" s="18"/>
      <c r="C259" s="18"/>
      <c r="D259" s="1897"/>
      <c r="E259" s="1899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899"/>
      <c r="AW259" s="1899"/>
    </row>
    <row r="260" spans="1:49" x14ac:dyDescent="0.3">
      <c r="A260" s="18"/>
      <c r="B260" s="18"/>
      <c r="C260" s="18"/>
      <c r="D260" s="1897"/>
      <c r="E260" s="1899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899"/>
      <c r="AW260" s="1899"/>
    </row>
    <row r="261" spans="1:49" x14ac:dyDescent="0.3">
      <c r="A261" s="18"/>
      <c r="B261" s="18"/>
      <c r="C261" s="18"/>
      <c r="D261" s="1897"/>
      <c r="E261" s="1899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899"/>
      <c r="AW261" s="1899"/>
    </row>
    <row r="262" spans="1:49" x14ac:dyDescent="0.3">
      <c r="A262" s="18"/>
      <c r="B262" s="18"/>
      <c r="C262" s="18"/>
      <c r="D262" s="1897"/>
      <c r="E262" s="1899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899"/>
      <c r="AW262" s="1899"/>
    </row>
    <row r="263" spans="1:49" x14ac:dyDescent="0.3">
      <c r="A263" s="18"/>
      <c r="B263" s="18"/>
      <c r="C263" s="18"/>
      <c r="D263" s="1897"/>
      <c r="E263" s="1899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899"/>
      <c r="AW263" s="1899"/>
    </row>
    <row r="264" spans="1:49" x14ac:dyDescent="0.3">
      <c r="A264" s="18"/>
      <c r="B264" s="18"/>
      <c r="C264" s="18"/>
      <c r="D264" s="1897"/>
      <c r="E264" s="1899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899"/>
      <c r="AW264" s="1899"/>
    </row>
    <row r="265" spans="1:49" x14ac:dyDescent="0.3">
      <c r="A265" s="18"/>
      <c r="B265" s="18"/>
      <c r="C265" s="18"/>
      <c r="D265" s="1897"/>
      <c r="E265" s="1897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897"/>
      <c r="AW265" s="1897"/>
    </row>
    <row r="266" spans="1:49" x14ac:dyDescent="0.3">
      <c r="A266" s="18"/>
      <c r="B266" s="18"/>
      <c r="C266" s="18"/>
      <c r="D266" s="1892"/>
      <c r="E266" s="1898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900"/>
      <c r="AW266" s="1900"/>
    </row>
    <row r="267" spans="1:49" x14ac:dyDescent="0.3">
      <c r="A267" s="18"/>
      <c r="B267" s="18"/>
      <c r="C267" s="18"/>
      <c r="D267" s="1897"/>
      <c r="E267" s="1899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899"/>
      <c r="AW267" s="1899"/>
    </row>
    <row r="268" spans="1:49" x14ac:dyDescent="0.3">
      <c r="A268" s="18"/>
      <c r="B268" s="18"/>
      <c r="C268" s="18"/>
      <c r="D268" s="1897"/>
      <c r="E268" s="1899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899"/>
      <c r="AW268" s="1899"/>
    </row>
    <row r="269" spans="1:49" x14ac:dyDescent="0.3">
      <c r="A269" s="18"/>
      <c r="B269" s="18"/>
      <c r="C269" s="18"/>
      <c r="D269" s="1897"/>
      <c r="E269" s="1899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899"/>
      <c r="AW269" s="1899"/>
    </row>
    <row r="270" spans="1:49" x14ac:dyDescent="0.3">
      <c r="A270" s="18"/>
      <c r="B270" s="18"/>
      <c r="C270" s="18"/>
      <c r="D270" s="1897"/>
      <c r="E270" s="1899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899"/>
      <c r="AW270" s="1899"/>
    </row>
    <row r="271" spans="1:49" x14ac:dyDescent="0.3">
      <c r="A271" s="18"/>
      <c r="B271" s="18"/>
      <c r="C271" s="18"/>
      <c r="D271" s="1897"/>
      <c r="E271" s="1899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899"/>
      <c r="AW271" s="1899"/>
    </row>
    <row r="272" spans="1:49" x14ac:dyDescent="0.3">
      <c r="A272" s="18"/>
      <c r="B272" s="18"/>
      <c r="C272" s="18"/>
      <c r="D272" s="1897"/>
      <c r="E272" s="1899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899"/>
      <c r="AW272" s="1899"/>
    </row>
    <row r="273" spans="1:49" x14ac:dyDescent="0.3">
      <c r="A273" s="18"/>
      <c r="B273" s="18"/>
      <c r="C273" s="18"/>
      <c r="D273" s="1897"/>
      <c r="E273" s="1897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897"/>
      <c r="AW273" s="1897"/>
    </row>
    <row r="274" spans="1:49" x14ac:dyDescent="0.3">
      <c r="A274" s="18"/>
      <c r="B274" s="18"/>
      <c r="C274" s="18"/>
      <c r="D274" s="1892"/>
      <c r="E274" s="1898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900"/>
      <c r="AW274" s="1900"/>
    </row>
    <row r="275" spans="1:49" x14ac:dyDescent="0.3">
      <c r="A275" s="18"/>
      <c r="B275" s="18"/>
      <c r="C275" s="18"/>
      <c r="D275" s="1897"/>
      <c r="E275" s="1899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899"/>
      <c r="AW275" s="1899"/>
    </row>
    <row r="276" spans="1:49" x14ac:dyDescent="0.3">
      <c r="A276" s="18"/>
      <c r="B276" s="18"/>
      <c r="C276" s="18"/>
      <c r="D276" s="1897"/>
      <c r="E276" s="1899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899"/>
      <c r="AW276" s="1899"/>
    </row>
    <row r="277" spans="1:49" x14ac:dyDescent="0.3">
      <c r="A277" s="18"/>
      <c r="B277" s="18"/>
      <c r="C277" s="18"/>
      <c r="D277" s="1897"/>
      <c r="E277" s="1899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899"/>
      <c r="AW277" s="1899"/>
    </row>
    <row r="278" spans="1:49" x14ac:dyDescent="0.3">
      <c r="A278" s="18"/>
      <c r="B278" s="18"/>
      <c r="C278" s="18"/>
      <c r="D278" s="1897"/>
      <c r="E278" s="1899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899"/>
      <c r="AW278" s="1899"/>
    </row>
    <row r="279" spans="1:49" x14ac:dyDescent="0.3">
      <c r="A279" s="18"/>
      <c r="B279" s="18"/>
      <c r="C279" s="18"/>
      <c r="D279" s="1897"/>
      <c r="E279" s="1899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899"/>
      <c r="AW279" s="1899"/>
    </row>
    <row r="280" spans="1:49" x14ac:dyDescent="0.3">
      <c r="A280" s="18"/>
      <c r="B280" s="18"/>
      <c r="C280" s="18"/>
      <c r="D280" s="1897"/>
      <c r="E280" s="1899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899"/>
      <c r="AW280" s="1899"/>
    </row>
    <row r="281" spans="1:49" x14ac:dyDescent="0.3">
      <c r="A281" s="18"/>
      <c r="B281" s="18"/>
      <c r="C281" s="18"/>
      <c r="D281" s="1897"/>
      <c r="E281" s="1897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897"/>
      <c r="AW281" s="1897"/>
    </row>
    <row r="282" spans="1:49" x14ac:dyDescent="0.3">
      <c r="A282" s="18"/>
      <c r="B282" s="18"/>
      <c r="C282" s="18"/>
      <c r="D282" s="1892"/>
      <c r="E282" s="1898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900"/>
      <c r="AW282" s="1900"/>
    </row>
    <row r="283" spans="1:49" x14ac:dyDescent="0.3">
      <c r="A283" s="18"/>
      <c r="B283" s="18"/>
      <c r="C283" s="18"/>
      <c r="D283" s="1897"/>
      <c r="E283" s="1899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899"/>
      <c r="AW283" s="1899"/>
    </row>
    <row r="284" spans="1:49" x14ac:dyDescent="0.3">
      <c r="A284" s="18"/>
      <c r="B284" s="18"/>
      <c r="C284" s="18"/>
      <c r="D284" s="1897"/>
      <c r="E284" s="1899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899"/>
      <c r="AW284" s="1899"/>
    </row>
    <row r="285" spans="1:49" x14ac:dyDescent="0.3">
      <c r="A285" s="18"/>
      <c r="B285" s="18"/>
      <c r="C285" s="18"/>
      <c r="D285" s="1897"/>
      <c r="E285" s="1899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899"/>
      <c r="AW285" s="1899"/>
    </row>
    <row r="286" spans="1:49" x14ac:dyDescent="0.3">
      <c r="A286" s="18"/>
      <c r="B286" s="18"/>
      <c r="C286" s="18"/>
      <c r="D286" s="1897"/>
      <c r="E286" s="1899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899"/>
      <c r="AW286" s="1899"/>
    </row>
    <row r="287" spans="1:49" x14ac:dyDescent="0.3">
      <c r="A287" s="18"/>
      <c r="B287" s="18"/>
      <c r="C287" s="18"/>
      <c r="D287" s="1897"/>
      <c r="E287" s="1899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899"/>
      <c r="AW287" s="1899"/>
    </row>
    <row r="288" spans="1:49" x14ac:dyDescent="0.3">
      <c r="A288" s="18"/>
      <c r="B288" s="18"/>
      <c r="C288" s="18"/>
      <c r="D288" s="1897"/>
      <c r="E288" s="1899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899"/>
      <c r="AW288" s="1899"/>
    </row>
    <row r="289" spans="1:49" x14ac:dyDescent="0.3">
      <c r="A289" s="18"/>
      <c r="B289" s="18"/>
      <c r="C289" s="18"/>
      <c r="D289" s="1897"/>
      <c r="E289" s="1897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897"/>
      <c r="AW289" s="1897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118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914" t="s">
        <v>71</v>
      </c>
      <c r="E1" s="1914"/>
      <c r="F1" s="1914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4.5502141941747993</v>
      </c>
    </row>
  </sheetData>
  <mergeCells count="1">
    <mergeCell ref="D1:F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5" activePane="bottomLeft" state="frozen"/>
      <selection pane="bottomLeft" activeCell="Z26" sqref="Z26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720" t="s">
        <v>585</v>
      </c>
      <c r="I2" s="1720"/>
      <c r="J2" s="1720"/>
      <c r="K2" s="1720"/>
      <c r="O2" s="1">
        <f>720+180</f>
        <v>900</v>
      </c>
    </row>
    <row r="4" spans="1:33" ht="29.4" thickBot="1" x14ac:dyDescent="0.35">
      <c r="A4" s="585" t="s">
        <v>542</v>
      </c>
      <c r="B4" s="1546" t="s">
        <v>0</v>
      </c>
      <c r="C4" s="1548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958">
        <v>1</v>
      </c>
      <c r="B5" s="1826">
        <v>46265</v>
      </c>
      <c r="C5" s="1827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917">
        <f>SUM(M5:M6)</f>
        <v>74.069659139999999</v>
      </c>
      <c r="O5" s="461">
        <f t="shared" ref="O5:O11" si="1">M5/((720-R5)/60)</f>
        <v>2.8865657961661344</v>
      </c>
      <c r="P5" s="1835">
        <f>'Milling Down Time Hours'!Q5</f>
        <v>22.433333333333334</v>
      </c>
      <c r="Q5" s="483"/>
      <c r="R5" s="466">
        <f>'Milling Down Time Hours'!P5</f>
        <v>94</v>
      </c>
      <c r="S5" s="1917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958"/>
      <c r="B6" s="1828"/>
      <c r="C6" s="1829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918"/>
      <c r="O6" s="461">
        <f t="shared" si="1"/>
        <v>3.6627629999999995</v>
      </c>
      <c r="P6" s="1937"/>
      <c r="Q6" s="524"/>
      <c r="R6" s="466">
        <v>0</v>
      </c>
      <c r="S6" s="1921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958"/>
      <c r="B7" s="1826">
        <v>46266</v>
      </c>
      <c r="C7" s="1827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917">
        <f>SUM(M7:M8)</f>
        <v>218.24394086000001</v>
      </c>
      <c r="O7" s="461">
        <f t="shared" si="1"/>
        <v>8.6932442900719415</v>
      </c>
      <c r="P7" s="1935">
        <f>'Milling Down Time Hours'!Q6</f>
        <v>22.9</v>
      </c>
      <c r="Q7" s="504"/>
      <c r="R7" s="466">
        <v>25</v>
      </c>
      <c r="S7" s="1921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958"/>
      <c r="B8" s="1828"/>
      <c r="C8" s="1829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918"/>
      <c r="O8" s="461">
        <f t="shared" si="1"/>
        <v>10.387086406480119</v>
      </c>
      <c r="P8" s="1936"/>
      <c r="Q8" s="504"/>
      <c r="R8" s="466">
        <v>41</v>
      </c>
      <c r="S8" s="1918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959">
        <v>2</v>
      </c>
      <c r="B9" s="1820">
        <v>46267</v>
      </c>
      <c r="C9" s="1821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926">
        <f>SUM(M9:M10)</f>
        <v>209.804</v>
      </c>
      <c r="O9" s="477">
        <f t="shared" si="1"/>
        <v>10.565099999999999</v>
      </c>
      <c r="P9" s="1919">
        <f>'Milling Down Time Hours'!Q7</f>
        <v>22</v>
      </c>
      <c r="Q9" s="492"/>
      <c r="R9" s="471">
        <f>'Milling Down Time Hours'!P7</f>
        <v>120.00000000000001</v>
      </c>
      <c r="S9" s="1926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959"/>
      <c r="B10" s="1822"/>
      <c r="C10" s="1823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928"/>
      <c r="O10" s="477">
        <f t="shared" si="1"/>
        <v>8.6794166666666666</v>
      </c>
      <c r="P10" s="1920"/>
      <c r="Q10" s="492"/>
      <c r="R10" s="471">
        <v>0</v>
      </c>
      <c r="S10" s="1927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959"/>
      <c r="B11" s="1820">
        <v>46268</v>
      </c>
      <c r="C11" s="1821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926">
        <f>SUM(M11:M12)</f>
        <v>90.338150000000013</v>
      </c>
      <c r="O11" s="477">
        <f t="shared" si="1"/>
        <v>8.2125590909090924</v>
      </c>
      <c r="P11" s="1929">
        <f>'Milling Down Time Hours'!Q8</f>
        <v>23</v>
      </c>
      <c r="Q11" s="529"/>
      <c r="R11" s="492">
        <v>60</v>
      </c>
      <c r="S11" s="1927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959"/>
      <c r="B12" s="1822"/>
      <c r="C12" s="1823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928"/>
      <c r="O12" s="477"/>
      <c r="P12" s="1930"/>
      <c r="Q12" s="531"/>
      <c r="R12" s="490">
        <v>720</v>
      </c>
      <c r="S12" s="1834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959"/>
      <c r="B13" s="1820">
        <v>46269</v>
      </c>
      <c r="C13" s="1821"/>
      <c r="D13" s="1938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919">
        <f>'Milling Down Time Hours'!Q9</f>
        <v>0</v>
      </c>
      <c r="Q13" s="514"/>
      <c r="R13" s="1919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959"/>
      <c r="B14" s="1915"/>
      <c r="C14" s="1916"/>
      <c r="D14" s="1939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931"/>
      <c r="Q14" s="492"/>
      <c r="R14" s="1932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924">
        <v>46270</v>
      </c>
      <c r="C15" s="1925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960">
        <v>3</v>
      </c>
      <c r="B16" s="1670">
        <v>46270</v>
      </c>
      <c r="C16" s="1670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835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960"/>
      <c r="B17" s="1670">
        <v>46271</v>
      </c>
      <c r="C17" s="1670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940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836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960"/>
      <c r="B18" s="1670"/>
      <c r="C18" s="1670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940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836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960"/>
      <c r="B19" s="1828">
        <v>46272</v>
      </c>
      <c r="C19" s="1829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941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837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959">
        <v>4</v>
      </c>
      <c r="B20" s="1922">
        <v>46272</v>
      </c>
      <c r="C20" s="1923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837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818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959"/>
      <c r="B21" s="1820">
        <v>46273</v>
      </c>
      <c r="C21" s="1821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926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818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959"/>
      <c r="B22" s="1822"/>
      <c r="C22" s="1823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942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818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959"/>
      <c r="B23" s="1820">
        <v>46274</v>
      </c>
      <c r="C23" s="1821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818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799">
        <v>46274</v>
      </c>
      <c r="C24" s="1800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958">
        <v>5</v>
      </c>
      <c r="B25" s="1826">
        <v>46275</v>
      </c>
      <c r="C25" s="1827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813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813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thickBot="1" x14ac:dyDescent="0.35">
      <c r="A26" s="1958"/>
      <c r="B26" s="1828"/>
      <c r="C26" s="1829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814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813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958"/>
      <c r="B27" s="1826">
        <v>46276</v>
      </c>
      <c r="C27" s="1827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835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813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615">
        <v>46276</v>
      </c>
      <c r="C28" s="1615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921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819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959">
        <v>6</v>
      </c>
      <c r="B29" s="1915">
        <v>46276</v>
      </c>
      <c r="C29" s="1916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927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959"/>
      <c r="B30" s="1820">
        <v>46277</v>
      </c>
      <c r="C30" s="1821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926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927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959"/>
      <c r="B31" s="1822"/>
      <c r="C31" s="1823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928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834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784">
        <v>46278</v>
      </c>
      <c r="C32" s="1785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797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799"/>
      <c r="C33" s="1800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798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826">
        <v>46279</v>
      </c>
      <c r="C34" s="1827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917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828"/>
      <c r="C35" s="1829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918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826">
        <v>46280</v>
      </c>
      <c r="C36" s="1827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828"/>
      <c r="C37" s="1829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826">
        <v>46281</v>
      </c>
      <c r="C38" s="1827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828"/>
      <c r="C39" s="1829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943"/>
      <c r="U39" s="1943"/>
      <c r="V39" s="1945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784">
        <v>46282</v>
      </c>
      <c r="C40" s="1785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944"/>
      <c r="U40" s="1944"/>
      <c r="V40" s="1946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799"/>
      <c r="C41" s="1800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784">
        <v>46283</v>
      </c>
      <c r="C42" s="1785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799"/>
      <c r="C43" s="1800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784">
        <v>46284</v>
      </c>
      <c r="C44" s="1785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799"/>
      <c r="C45" s="1800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784">
        <v>46285</v>
      </c>
      <c r="C46" s="1785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799"/>
      <c r="C47" s="1800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947"/>
      <c r="U47" s="1947"/>
      <c r="V47" s="1933"/>
      <c r="W47" s="159"/>
      <c r="X47" s="154"/>
      <c r="Y47" s="154"/>
    </row>
    <row r="48" spans="1:32" ht="15" thickBot="1" x14ac:dyDescent="0.35">
      <c r="B48" s="1784">
        <v>46286</v>
      </c>
      <c r="C48" s="1785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948"/>
      <c r="U48" s="1948"/>
      <c r="V48" s="1934"/>
      <c r="W48" s="159"/>
      <c r="X48" s="154"/>
      <c r="Y48" s="154"/>
    </row>
    <row r="49" spans="2:28" ht="15" thickBot="1" x14ac:dyDescent="0.35">
      <c r="B49" s="1799"/>
      <c r="C49" s="1800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947"/>
      <c r="U49" s="1947"/>
      <c r="V49" s="1933"/>
      <c r="W49" s="159"/>
      <c r="X49" s="154"/>
      <c r="Y49" s="154"/>
    </row>
    <row r="50" spans="2:28" ht="15" thickBot="1" x14ac:dyDescent="0.35">
      <c r="B50" s="1784">
        <v>46287</v>
      </c>
      <c r="C50" s="1785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948"/>
      <c r="U50" s="1948"/>
      <c r="V50" s="1934"/>
      <c r="W50" s="159"/>
      <c r="X50" s="154"/>
      <c r="Y50" s="154"/>
    </row>
    <row r="51" spans="2:28" ht="15" thickBot="1" x14ac:dyDescent="0.35">
      <c r="B51" s="1799"/>
      <c r="C51" s="1800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947"/>
      <c r="U51" s="1947"/>
      <c r="V51" s="1933"/>
      <c r="W51" s="159"/>
      <c r="X51" s="154"/>
      <c r="Y51" s="154"/>
    </row>
    <row r="52" spans="2:28" ht="15" thickBot="1" x14ac:dyDescent="0.35">
      <c r="B52" s="1784">
        <v>46288</v>
      </c>
      <c r="C52" s="1785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948"/>
      <c r="U52" s="1948"/>
      <c r="V52" s="1934"/>
      <c r="W52" s="159"/>
      <c r="X52" s="154"/>
      <c r="Y52" s="154"/>
    </row>
    <row r="53" spans="2:28" ht="15" thickBot="1" x14ac:dyDescent="0.35">
      <c r="B53" s="1799"/>
      <c r="C53" s="1800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947"/>
      <c r="U53" s="1947"/>
      <c r="V53" s="1933"/>
      <c r="W53" s="159"/>
      <c r="X53" s="154"/>
      <c r="Y53" s="154"/>
    </row>
    <row r="54" spans="2:28" ht="15" thickBot="1" x14ac:dyDescent="0.35">
      <c r="B54" s="1784">
        <v>46289</v>
      </c>
      <c r="C54" s="1785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948"/>
      <c r="U54" s="1948"/>
      <c r="V54" s="1934"/>
      <c r="W54" s="159"/>
      <c r="X54" s="154"/>
      <c r="Y54" s="154"/>
      <c r="AB54" s="1">
        <v>9570</v>
      </c>
    </row>
    <row r="55" spans="2:28" ht="15" thickBot="1" x14ac:dyDescent="0.35">
      <c r="B55" s="1799"/>
      <c r="C55" s="1800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947"/>
      <c r="U55" s="1947"/>
      <c r="V55" s="1933"/>
      <c r="W55" s="159"/>
      <c r="X55" s="154"/>
      <c r="Y55" s="154"/>
      <c r="AB55" s="1">
        <v>8795</v>
      </c>
    </row>
    <row r="56" spans="2:28" ht="15" thickBot="1" x14ac:dyDescent="0.35">
      <c r="B56" s="1784">
        <v>46290</v>
      </c>
      <c r="C56" s="1785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948"/>
      <c r="U56" s="1948"/>
      <c r="V56" s="1934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799"/>
      <c r="C57" s="1800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947"/>
      <c r="U57" s="1947"/>
      <c r="V57" s="1933"/>
      <c r="W57" s="159"/>
      <c r="X57" s="154"/>
      <c r="Y57" s="154"/>
    </row>
    <row r="58" spans="2:28" ht="15" thickBot="1" x14ac:dyDescent="0.35">
      <c r="B58" s="1784">
        <v>46291</v>
      </c>
      <c r="C58" s="1785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948"/>
      <c r="U58" s="1948"/>
      <c r="V58" s="1934"/>
      <c r="W58" s="159"/>
      <c r="X58" s="154"/>
      <c r="Y58" s="154"/>
    </row>
    <row r="59" spans="2:28" ht="15" thickBot="1" x14ac:dyDescent="0.35">
      <c r="B59" s="1799"/>
      <c r="C59" s="1800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947"/>
      <c r="U59" s="1947"/>
      <c r="V59" s="1933"/>
      <c r="W59" s="159"/>
      <c r="X59" s="154"/>
      <c r="Y59" s="154"/>
    </row>
    <row r="60" spans="2:28" ht="15" thickBot="1" x14ac:dyDescent="0.35">
      <c r="B60" s="1784">
        <v>46292</v>
      </c>
      <c r="C60" s="1785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948"/>
      <c r="U60" s="1948"/>
      <c r="V60" s="1934"/>
      <c r="W60" s="159"/>
      <c r="X60" s="154"/>
      <c r="Y60" s="154"/>
    </row>
    <row r="61" spans="2:28" ht="15" thickBot="1" x14ac:dyDescent="0.35">
      <c r="B61" s="1799"/>
      <c r="C61" s="1800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947"/>
      <c r="U61" s="1947"/>
      <c r="V61" s="1933"/>
      <c r="W61" s="159"/>
      <c r="X61" s="154"/>
      <c r="Y61" s="154"/>
    </row>
    <row r="62" spans="2:28" ht="15" thickBot="1" x14ac:dyDescent="0.35">
      <c r="B62" s="1784">
        <v>46293</v>
      </c>
      <c r="C62" s="1785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948"/>
      <c r="U62" s="1948"/>
      <c r="V62" s="1934"/>
      <c r="W62" s="159"/>
      <c r="X62" s="154"/>
      <c r="Y62" s="154"/>
    </row>
    <row r="63" spans="2:28" ht="15" thickBot="1" x14ac:dyDescent="0.35">
      <c r="B63" s="1799"/>
      <c r="C63" s="1800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949"/>
      <c r="U63" s="1949"/>
      <c r="V63" s="1951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784">
        <v>46294</v>
      </c>
      <c r="C64" s="1785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950"/>
      <c r="U64" s="1950"/>
      <c r="V64" s="1952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799"/>
      <c r="C65" s="1800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949"/>
      <c r="U65" s="1949"/>
      <c r="V65" s="1953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784">
        <v>46295</v>
      </c>
      <c r="C66" s="1785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950"/>
      <c r="U66" s="1950"/>
      <c r="V66" s="1954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799"/>
      <c r="C67" s="1800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949"/>
      <c r="U67" s="1949"/>
      <c r="V67" s="1953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784">
        <v>46296</v>
      </c>
      <c r="C68" s="1785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950"/>
      <c r="U68" s="1950"/>
      <c r="V68" s="1954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799"/>
      <c r="C69" s="1800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949"/>
      <c r="U69" s="1949"/>
      <c r="V69" s="1951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784">
        <v>46297</v>
      </c>
      <c r="C70" s="1785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950"/>
      <c r="U70" s="1950"/>
      <c r="V70" s="1952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799"/>
      <c r="C71" s="1800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949"/>
      <c r="U71" s="1949"/>
      <c r="V71" s="1951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784">
        <v>46298</v>
      </c>
      <c r="C72" s="1785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950"/>
      <c r="U72" s="1950"/>
      <c r="V72" s="1952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799"/>
      <c r="C73" s="1800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949"/>
      <c r="U73" s="1949"/>
      <c r="V73" s="1951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784">
        <v>46299</v>
      </c>
      <c r="C74" s="1785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950"/>
      <c r="U74" s="1950"/>
      <c r="V74" s="1952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799"/>
      <c r="C75" s="1800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947"/>
      <c r="U75" s="1947"/>
      <c r="V75" s="1933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784">
        <v>46300</v>
      </c>
      <c r="C76" s="1785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948"/>
      <c r="U76" s="1948"/>
      <c r="V76" s="1934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799"/>
      <c r="C77" s="1800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949"/>
      <c r="U77" s="1949"/>
      <c r="V77" s="1951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784">
        <v>46301</v>
      </c>
      <c r="C78" s="1785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950"/>
      <c r="U78" s="1950"/>
      <c r="V78" s="1952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856"/>
      <c r="C79" s="1857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957">
        <f>'Milling Down Time Hours'!Q43</f>
        <v>23.5</v>
      </c>
      <c r="Q79" s="39"/>
      <c r="R79" s="1957">
        <f>'Milling Down Time Hours'!L85</f>
        <v>0.8965277777777777</v>
      </c>
      <c r="S79" s="13"/>
      <c r="T79" s="1949">
        <v>0.35699999999999998</v>
      </c>
      <c r="U79" s="1949">
        <v>1.056</v>
      </c>
      <c r="V79" s="1951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856"/>
      <c r="C80" s="1857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957"/>
      <c r="Q80" s="39"/>
      <c r="R80" s="1957"/>
      <c r="S80" s="13"/>
      <c r="T80" s="1950"/>
      <c r="U80" s="1950"/>
      <c r="V80" s="1952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856"/>
      <c r="C81" s="1857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957">
        <f>'Milling Down Time Hours'!M87</f>
        <v>0</v>
      </c>
      <c r="Q81" s="39"/>
      <c r="R81" s="1957">
        <f>'Milling Down Time Hours'!L87</f>
        <v>0.7090277777777777</v>
      </c>
      <c r="S81" s="13"/>
      <c r="T81" s="1947" t="e">
        <f>SUM(#REF!)</f>
        <v>#REF!</v>
      </c>
      <c r="U81" s="1947" t="e">
        <f t="shared" ref="U81" si="26">SUM(T81:T83)</f>
        <v>#REF!</v>
      </c>
      <c r="V81" s="1933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856"/>
      <c r="C82" s="1857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957"/>
      <c r="Q82" s="39"/>
      <c r="R82" s="1957"/>
      <c r="S82" s="13"/>
      <c r="T82" s="1948"/>
      <c r="U82" s="1948"/>
      <c r="V82" s="1934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856"/>
      <c r="C83" s="1857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957">
        <f>'Milling Down Time Hours'!M89</f>
        <v>0</v>
      </c>
      <c r="Q83" s="39"/>
      <c r="R83" s="1957">
        <f>'Milling Down Time Hours'!L89</f>
        <v>1</v>
      </c>
      <c r="S83" s="13"/>
      <c r="T83" s="1947" t="e">
        <f>SUM(#REF!)</f>
        <v>#REF!</v>
      </c>
      <c r="U83" s="1947" t="e">
        <f t="shared" ref="U83" si="28">SUM(T83:T85)</f>
        <v>#REF!</v>
      </c>
      <c r="V83" s="1933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856"/>
      <c r="C84" s="1857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957"/>
      <c r="Q84" s="39"/>
      <c r="R84" s="1957"/>
      <c r="S84" s="13"/>
      <c r="T84" s="1948"/>
      <c r="U84" s="1948"/>
      <c r="V84" s="1934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856"/>
      <c r="C85" s="1857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957">
        <f>'Milling Down Time Hours'!M91</f>
        <v>0</v>
      </c>
      <c r="Q85" s="39"/>
      <c r="R85" s="1957">
        <f>'Milling Down Time Hours'!L91</f>
        <v>0.73611111111111116</v>
      </c>
      <c r="S85" s="13"/>
      <c r="T85" s="1947" t="e">
        <f>SUM(#REF!)</f>
        <v>#REF!</v>
      </c>
      <c r="U85" s="1947" t="e">
        <f t="shared" ref="U85" si="30">SUM(T85:T87)</f>
        <v>#REF!</v>
      </c>
      <c r="V85" s="1933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856"/>
      <c r="C86" s="1857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957"/>
      <c r="Q86" s="39"/>
      <c r="R86" s="1957"/>
      <c r="S86" s="13"/>
      <c r="T86" s="1948"/>
      <c r="U86" s="1948"/>
      <c r="V86" s="1934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856"/>
      <c r="C87" s="1857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957">
        <f>'Milling Down Time Hours'!M93</f>
        <v>0</v>
      </c>
      <c r="Q87" s="39"/>
      <c r="R87" s="1957">
        <f>'Milling Down Time Hours'!L93</f>
        <v>1</v>
      </c>
      <c r="S87" s="13"/>
      <c r="T87" s="1947" t="e">
        <f>SUM(#REF!)</f>
        <v>#REF!</v>
      </c>
      <c r="U87" s="1947" t="e">
        <f t="shared" ref="U87" si="32">SUM(T87:T89)</f>
        <v>#REF!</v>
      </c>
      <c r="V87" s="1933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856"/>
      <c r="C88" s="1857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957"/>
      <c r="Q88" s="39"/>
      <c r="R88" s="1957"/>
      <c r="S88" s="13"/>
      <c r="T88" s="1948"/>
      <c r="U88" s="1948"/>
      <c r="V88" s="1934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856"/>
      <c r="C89" s="1857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957">
        <f>'Milling Down Time Hours'!M95</f>
        <v>0</v>
      </c>
      <c r="Q89" s="39"/>
      <c r="R89" s="1957">
        <f>'Milling Down Time Hours'!L95</f>
        <v>1</v>
      </c>
      <c r="S89" s="13"/>
      <c r="T89" s="1947" t="e">
        <f>SUM(#REF!)</f>
        <v>#REF!</v>
      </c>
      <c r="U89" s="1947" t="e">
        <f t="shared" ref="U89" si="34">SUM(T89:T91)</f>
        <v>#REF!</v>
      </c>
      <c r="V89" s="1933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856"/>
      <c r="C90" s="1857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957"/>
      <c r="Q90" s="39"/>
      <c r="R90" s="1957"/>
      <c r="S90" s="13"/>
      <c r="T90" s="1948"/>
      <c r="U90" s="1948"/>
      <c r="V90" s="1934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856"/>
      <c r="C91" s="1857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957">
        <f>'Milling Down Time Hours'!M97</f>
        <v>0</v>
      </c>
      <c r="Q91" s="39"/>
      <c r="R91" s="1957">
        <f>'Milling Down Time Hours'!L97</f>
        <v>1</v>
      </c>
      <c r="S91" s="13"/>
      <c r="T91" s="1947" t="e">
        <f>SUM(#REF!)</f>
        <v>#REF!</v>
      </c>
      <c r="U91" s="1947" t="e">
        <f t="shared" ref="U91" si="36">SUM(T91:T93)</f>
        <v>#REF!</v>
      </c>
      <c r="V91" s="1933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856"/>
      <c r="C92" s="1857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957"/>
      <c r="Q92" s="39"/>
      <c r="R92" s="1957"/>
      <c r="S92" s="13"/>
      <c r="T92" s="1948"/>
      <c r="U92" s="1948"/>
      <c r="V92" s="1934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856"/>
      <c r="C93" s="1857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957">
        <f>'Milling Down Time Hours'!M99</f>
        <v>0</v>
      </c>
      <c r="Q93" s="39"/>
      <c r="R93" s="1957">
        <f>'Milling Down Time Hours'!L99</f>
        <v>1</v>
      </c>
      <c r="S93" s="13"/>
      <c r="T93" s="1947" t="e">
        <f>SUM(#REF!)</f>
        <v>#REF!</v>
      </c>
      <c r="U93" s="1947" t="e">
        <f t="shared" ref="U93" si="38">SUM(T93:T95)</f>
        <v>#REF!</v>
      </c>
      <c r="V93" s="1933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856"/>
      <c r="C94" s="1857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957"/>
      <c r="Q94" s="39"/>
      <c r="R94" s="1957"/>
      <c r="S94" s="13"/>
      <c r="T94" s="1948"/>
      <c r="U94" s="1948"/>
      <c r="V94" s="1934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856"/>
      <c r="C95" s="1857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957">
        <f>'Milling Down Time Hours'!M101</f>
        <v>0</v>
      </c>
      <c r="Q95" s="39"/>
      <c r="R95" s="1957">
        <f>'Milling Down Time Hours'!L101</f>
        <v>0.67013888888888884</v>
      </c>
      <c r="S95" s="13"/>
      <c r="T95" s="1947" t="e">
        <f>SUM(#REF!)</f>
        <v>#REF!</v>
      </c>
      <c r="U95" s="1947" t="e">
        <f>SUM(T95:T99)</f>
        <v>#REF!</v>
      </c>
      <c r="V95" s="1933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856"/>
      <c r="C96" s="1857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957"/>
      <c r="Q96" s="39"/>
      <c r="R96" s="1957"/>
      <c r="S96" s="95"/>
      <c r="T96" s="1956"/>
      <c r="U96" s="1956"/>
      <c r="V96" s="1955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799"/>
      <c r="C97" s="1800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FE034-4EE8-48F2-A363-54748E2B9891}">
  <dimension ref="A1"/>
  <sheetViews>
    <sheetView tabSelected="1"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1</vt:i4>
      </vt:variant>
    </vt:vector>
  </HeadingPairs>
  <TitlesOfParts>
    <vt:vector size="22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EW&amp;ELUTION</vt:lpstr>
      <vt:lpstr>Leach Time Process&amp;Down Time</vt:lpstr>
      <vt:lpstr>Leaching</vt:lpstr>
      <vt:lpstr>Fuel Consumption</vt:lpstr>
      <vt:lpstr>Milling and Leach Feed_OLD</vt:lpstr>
      <vt:lpstr>Reakapan Log Book 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2026-10-29T08:54:24Z</dcterms:modified>
</cp:coreProperties>
</file>