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9E1C7E01-687F-4BCC-BF3C-627474799C4A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" i="4" l="1"/>
  <c r="AB28" i="4"/>
  <c r="AB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AD12" i="13"/>
  <c r="AE12" i="13"/>
  <c r="AC12" i="13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H8" i="15"/>
  <c r="I8" i="15"/>
  <c r="G8" i="15"/>
  <c r="U19" i="4"/>
  <c r="V19" i="4"/>
  <c r="T19" i="4"/>
  <c r="T13" i="13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T12" i="13"/>
  <c r="S12" i="13"/>
  <c r="W18" i="4"/>
  <c r="W17" i="4"/>
  <c r="W16" i="4"/>
  <c r="Y12" i="13"/>
  <c r="Z12" i="13"/>
  <c r="X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K6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7" i="2"/>
  <c r="U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O44" i="2"/>
  <c r="O45" i="2"/>
  <c r="O46" i="2"/>
  <c r="O47" i="2"/>
  <c r="O48" i="2"/>
  <c r="O49" i="2"/>
  <c r="O50" i="2"/>
  <c r="O51" i="2"/>
  <c r="O52" i="2"/>
  <c r="O53" i="2"/>
  <c r="O43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7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36" i="2"/>
  <c r="T3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7" i="2"/>
  <c r="J41" i="12" l="1"/>
  <c r="M41" i="12"/>
  <c r="K41" i="12"/>
  <c r="M8" i="1"/>
  <c r="K7" i="1"/>
  <c r="M7" i="1" s="1"/>
  <c r="V55" i="2"/>
  <c r="AC8" i="2" s="1"/>
  <c r="C26" i="7"/>
  <c r="C28" i="7"/>
  <c r="C32" i="7"/>
  <c r="C34" i="7"/>
  <c r="C36" i="7"/>
  <c r="O39" i="2"/>
  <c r="O40" i="2"/>
  <c r="O41" i="2"/>
  <c r="O42" i="2"/>
  <c r="O54" i="2"/>
  <c r="O38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Q12" i="13" s="1"/>
  <c r="K97" i="13"/>
  <c r="AK12" i="13"/>
  <c r="AS12" i="13" s="1"/>
  <c r="L57" i="14"/>
  <c r="M57" i="14" s="1"/>
  <c r="M33" i="14"/>
  <c r="AS13" i="13" l="1"/>
  <c r="AR12" i="13"/>
  <c r="K100" i="13"/>
  <c r="AZ13" i="13"/>
  <c r="BB12" i="13"/>
  <c r="AZ12" i="13"/>
  <c r="BA14" i="13"/>
  <c r="BB13" i="13"/>
  <c r="BA13" i="13"/>
  <c r="BB14" i="13"/>
  <c r="AJ10" i="13"/>
  <c r="AR10" i="13" s="1"/>
  <c r="AS10" i="13"/>
  <c r="AL10" i="13"/>
  <c r="N95" i="13"/>
  <c r="P42" i="2"/>
  <c r="AC38" i="7" s="1"/>
  <c r="Q42" i="2"/>
  <c r="AB38" i="7" s="1"/>
  <c r="AD38" i="7"/>
  <c r="AE38" i="7"/>
  <c r="AF38" i="7"/>
  <c r="P43" i="2"/>
  <c r="AC39" i="7" s="1"/>
  <c r="Q43" i="2"/>
  <c r="AB39" i="7" s="1"/>
  <c r="AD39" i="7"/>
  <c r="AE39" i="7"/>
  <c r="AF39" i="7"/>
  <c r="P44" i="2"/>
  <c r="AC40" i="7" s="1"/>
  <c r="Q44" i="2"/>
  <c r="AB40" i="7" s="1"/>
  <c r="AD40" i="7"/>
  <c r="AE40" i="7"/>
  <c r="AF40" i="7"/>
  <c r="P45" i="2"/>
  <c r="AC41" i="7" s="1"/>
  <c r="Q45" i="2"/>
  <c r="AB41" i="7" s="1"/>
  <c r="AD41" i="7"/>
  <c r="AE41" i="7"/>
  <c r="AF41" i="7"/>
  <c r="P46" i="2"/>
  <c r="AC42" i="7" s="1"/>
  <c r="Q46" i="2"/>
  <c r="AB42" i="7" s="1"/>
  <c r="AD42" i="7"/>
  <c r="AE42" i="7"/>
  <c r="AF42" i="7"/>
  <c r="P47" i="2"/>
  <c r="AC43" i="7" s="1"/>
  <c r="Q47" i="2"/>
  <c r="AB43" i="7" s="1"/>
  <c r="AD43" i="7"/>
  <c r="AE43" i="7"/>
  <c r="AF43" i="7"/>
  <c r="P48" i="2"/>
  <c r="AC44" i="7" s="1"/>
  <c r="Q48" i="2"/>
  <c r="AB44" i="7" s="1"/>
  <c r="AD44" i="7"/>
  <c r="AE44" i="7"/>
  <c r="AF44" i="7"/>
  <c r="P49" i="2"/>
  <c r="AC45" i="7" s="1"/>
  <c r="Q49" i="2"/>
  <c r="AB45" i="7" s="1"/>
  <c r="AD45" i="7"/>
  <c r="AE45" i="7"/>
  <c r="AF45" i="7"/>
  <c r="P50" i="2"/>
  <c r="AC46" i="7" s="1"/>
  <c r="Q50" i="2"/>
  <c r="AB46" i="7" s="1"/>
  <c r="AD46" i="7"/>
  <c r="AE46" i="7"/>
  <c r="AF46" i="7"/>
  <c r="P51" i="2"/>
  <c r="AC47" i="7" s="1"/>
  <c r="Q51" i="2"/>
  <c r="AB47" i="7" s="1"/>
  <c r="AD47" i="7"/>
  <c r="AE47" i="7"/>
  <c r="AF47" i="7"/>
  <c r="P52" i="2"/>
  <c r="AC48" i="7" s="1"/>
  <c r="Q52" i="2"/>
  <c r="AB48" i="7" s="1"/>
  <c r="AD48" i="7"/>
  <c r="AE48" i="7"/>
  <c r="AF48" i="7"/>
  <c r="P53" i="2"/>
  <c r="AC49" i="7" s="1"/>
  <c r="Q53" i="2"/>
  <c r="AB49" i="7" s="1"/>
  <c r="AD49" i="7"/>
  <c r="AE49" i="7"/>
  <c r="AF49" i="7"/>
  <c r="P54" i="2"/>
  <c r="Q54" i="2"/>
  <c r="H15" i="3"/>
  <c r="K15" i="3"/>
  <c r="K14" i="3"/>
  <c r="H14" i="3"/>
  <c r="H10" i="3"/>
  <c r="O28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39" i="2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T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AV13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6" i="4"/>
  <c r="AF37" i="7"/>
  <c r="AE37" i="7"/>
  <c r="AD37" i="7"/>
  <c r="Q41" i="2"/>
  <c r="AB37" i="7" s="1"/>
  <c r="P41" i="2"/>
  <c r="AC37" i="7" s="1"/>
  <c r="AF36" i="7"/>
  <c r="AE36" i="7"/>
  <c r="AD36" i="7"/>
  <c r="Q40" i="2"/>
  <c r="AB36" i="7" s="1"/>
  <c r="P40" i="2"/>
  <c r="AC36" i="7" s="1"/>
  <c r="AF35" i="7"/>
  <c r="AE35" i="7"/>
  <c r="AD35" i="7"/>
  <c r="Q39" i="2"/>
  <c r="AB35" i="7" s="1"/>
  <c r="AC35" i="7"/>
  <c r="AF34" i="7"/>
  <c r="AE34" i="7"/>
  <c r="AD34" i="7"/>
  <c r="Q38" i="2"/>
  <c r="AB34" i="7" s="1"/>
  <c r="P38" i="2"/>
  <c r="AC34" i="7" s="1"/>
  <c r="AF33" i="7"/>
  <c r="AE33" i="7"/>
  <c r="AD33" i="7"/>
  <c r="Q37" i="2"/>
  <c r="AB33" i="7" s="1"/>
  <c r="P37" i="2"/>
  <c r="AC33" i="7" s="1"/>
  <c r="O37" i="2"/>
  <c r="AF32" i="7"/>
  <c r="AE32" i="7"/>
  <c r="AD32" i="7"/>
  <c r="Q36" i="2"/>
  <c r="AB32" i="7" s="1"/>
  <c r="P36" i="2"/>
  <c r="AC32" i="7" s="1"/>
  <c r="O36" i="2"/>
  <c r="AF31" i="7"/>
  <c r="AE31" i="7"/>
  <c r="AD31" i="7"/>
  <c r="Q35" i="2"/>
  <c r="AB31" i="7" s="1"/>
  <c r="P35" i="2"/>
  <c r="AC31" i="7" s="1"/>
  <c r="O35" i="2"/>
  <c r="T34" i="2"/>
  <c r="AF30" i="7" s="1"/>
  <c r="AE30" i="7"/>
  <c r="AD30" i="7"/>
  <c r="Q34" i="2"/>
  <c r="AB30" i="7" s="1"/>
  <c r="P34" i="2"/>
  <c r="AC30" i="7" s="1"/>
  <c r="O34" i="2"/>
  <c r="T33" i="2"/>
  <c r="AF29" i="7" s="1"/>
  <c r="AE29" i="7"/>
  <c r="AD29" i="7"/>
  <c r="Q33" i="2"/>
  <c r="AB29" i="7" s="1"/>
  <c r="P33" i="2"/>
  <c r="AC29" i="7" s="1"/>
  <c r="O33" i="2"/>
  <c r="T32" i="2"/>
  <c r="AF28" i="7" s="1"/>
  <c r="AE28" i="7"/>
  <c r="AD28" i="7"/>
  <c r="Q32" i="2"/>
  <c r="AB28" i="7" s="1"/>
  <c r="P32" i="2"/>
  <c r="AC28" i="7" s="1"/>
  <c r="O32" i="2"/>
  <c r="T31" i="2"/>
  <c r="AF27" i="7" s="1"/>
  <c r="AE27" i="7"/>
  <c r="AD27" i="7"/>
  <c r="Q31" i="2"/>
  <c r="AB27" i="7" s="1"/>
  <c r="P31" i="2"/>
  <c r="AC27" i="7" s="1"/>
  <c r="O31" i="2"/>
  <c r="T30" i="2"/>
  <c r="AF26" i="7" s="1"/>
  <c r="AE26" i="7"/>
  <c r="AD26" i="7"/>
  <c r="Q30" i="2"/>
  <c r="AB26" i="7" s="1"/>
  <c r="P30" i="2"/>
  <c r="AC26" i="7" s="1"/>
  <c r="O30" i="2"/>
  <c r="T29" i="2"/>
  <c r="AF25" i="7" s="1"/>
  <c r="AE25" i="7"/>
  <c r="AD25" i="7"/>
  <c r="Q29" i="2"/>
  <c r="AB25" i="7" s="1"/>
  <c r="P29" i="2"/>
  <c r="AC25" i="7" s="1"/>
  <c r="O29" i="2"/>
  <c r="T28" i="2"/>
  <c r="AF24" i="7" s="1"/>
  <c r="AE24" i="7"/>
  <c r="AD24" i="7"/>
  <c r="Q28" i="2"/>
  <c r="AB24" i="7" s="1"/>
  <c r="P28" i="2"/>
  <c r="AC24" i="7" s="1"/>
  <c r="T27" i="2"/>
  <c r="AF23" i="7" s="1"/>
  <c r="AE23" i="7"/>
  <c r="AD23" i="7"/>
  <c r="Q27" i="2"/>
  <c r="AB23" i="7" s="1"/>
  <c r="P27" i="2"/>
  <c r="AC23" i="7" s="1"/>
  <c r="O27" i="2"/>
  <c r="T26" i="2"/>
  <c r="AF22" i="7" s="1"/>
  <c r="AE22" i="7"/>
  <c r="AD22" i="7"/>
  <c r="Q26" i="2"/>
  <c r="AB22" i="7" s="1"/>
  <c r="P26" i="2"/>
  <c r="AC22" i="7" s="1"/>
  <c r="O26" i="2"/>
  <c r="T25" i="2"/>
  <c r="AF21" i="7" s="1"/>
  <c r="AE21" i="7"/>
  <c r="AD21" i="7"/>
  <c r="Q25" i="2"/>
  <c r="AB21" i="7" s="1"/>
  <c r="P25" i="2"/>
  <c r="AC21" i="7" s="1"/>
  <c r="O25" i="2"/>
  <c r="T24" i="2"/>
  <c r="AF20" i="7" s="1"/>
  <c r="AE20" i="7"/>
  <c r="AD20" i="7"/>
  <c r="Q24" i="2"/>
  <c r="AB20" i="7" s="1"/>
  <c r="P24" i="2"/>
  <c r="AC20" i="7" s="1"/>
  <c r="O24" i="2"/>
  <c r="T22" i="2"/>
  <c r="AF19" i="7" s="1"/>
  <c r="AE19" i="7"/>
  <c r="AD19" i="7"/>
  <c r="Q22" i="2"/>
  <c r="AB19" i="7" s="1"/>
  <c r="P22" i="2"/>
  <c r="AC19" i="7" s="1"/>
  <c r="O22" i="2"/>
  <c r="T21" i="2"/>
  <c r="AF18" i="7" s="1"/>
  <c r="AE18" i="7"/>
  <c r="AD18" i="7"/>
  <c r="Q21" i="2"/>
  <c r="AB18" i="7" s="1"/>
  <c r="P21" i="2"/>
  <c r="AC18" i="7" s="1"/>
  <c r="O21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P98" i="4" l="1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5" i="2"/>
  <c r="AB8" i="2" s="1"/>
  <c r="AB11" i="2" s="1"/>
  <c r="AB8" i="7"/>
  <c r="AB51" i="7" s="1"/>
  <c r="Q55" i="2"/>
  <c r="O55" i="2"/>
  <c r="AE8" i="7"/>
  <c r="S55" i="2"/>
  <c r="AF8" i="7"/>
  <c r="AF50" i="7" s="1"/>
  <c r="T55" i="2"/>
  <c r="AC9" i="7"/>
  <c r="AC51" i="7" s="1"/>
  <c r="P55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7" i="2" l="1"/>
  <c r="X25" i="2"/>
  <c r="Y11" i="2"/>
  <c r="P57" i="2"/>
  <c r="Y25" i="2"/>
  <c r="AA8" i="2"/>
  <c r="AA11" i="2" s="1"/>
  <c r="Z25" i="2"/>
  <c r="T57" i="2"/>
  <c r="Z8" i="2"/>
  <c r="Z11" i="2" s="1"/>
  <c r="Q57" i="2"/>
  <c r="AA25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5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<sst xmlns="http://schemas.openxmlformats.org/spreadsheetml/2006/main" count="1328" uniqueCount="551">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</sst>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68" fontId="45" fillId="0" borderId="0" applyFont="0" applyFill="0" applyBorder="0" applyAlignment="0" applyProtection="0"/>
  </cellStyleXfs>
  <cellXfs count="83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5" fillId="2" borderId="12" xfId="0" applyFont="1" applyFill="1" applyBorder="1"/>
    <xf numFmtId="0" fontId="0" fillId="2" borderId="12" xfId="0" applyFill="1" applyBorder="1"/>
    <xf numFmtId="0" fontId="45" fillId="2" borderId="15" xfId="0" applyFont="1" applyFill="1" applyBorder="1" applyAlignment="1">
      <alignment vertical="center"/>
    </xf>
    <xf numFmtId="0" fontId="45" fillId="2" borderId="0" xfId="0" applyFont="1" applyFill="1"/>
    <xf numFmtId="14" fontId="45" fillId="2" borderId="10" xfId="0" applyNumberFormat="1" applyFont="1" applyFill="1" applyBorder="1" applyAlignment="1">
      <alignment horizontal="center" vertical="center"/>
    </xf>
    <xf numFmtId="14" fontId="45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6" fillId="4" borderId="12" xfId="0" applyFont="1" applyFill="1" applyBorder="1" applyAlignment="1">
      <alignment horizontal="center"/>
    </xf>
    <xf numFmtId="0" fontId="46" fillId="3" borderId="12" xfId="0" applyFon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6" fillId="3" borderId="12" xfId="0" applyFont="1" applyFill="1" applyBorder="1"/>
    <xf numFmtId="0" fontId="0" fillId="3" borderId="12" xfId="0" applyFill="1" applyBorder="1"/>
    <xf numFmtId="0" fontId="46" fillId="3" borderId="31" xfId="0" applyFont="1" applyFill="1" applyBorder="1" applyAlignment="1">
      <alignment horizontal="center"/>
    </xf>
    <xf numFmtId="0" fontId="46" fillId="3" borderId="20" xfId="0" applyFont="1" applyFill="1" applyBorder="1" applyAlignment="1">
      <alignment horizontal="center"/>
    </xf>
    <xf numFmtId="0" fontId="45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7" fillId="5" borderId="0" xfId="0" applyFont="1" applyFill="1"/>
    <xf numFmtId="0" fontId="48" fillId="5" borderId="0" xfId="0" applyFont="1" applyFill="1"/>
    <xf numFmtId="0" fontId="45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9" fillId="2" borderId="0" xfId="3" applyNumberFormat="1" applyFont="1" applyFill="1"/>
    <xf numFmtId="170" fontId="49" fillId="5" borderId="0" xfId="3" applyNumberFormat="1" applyFont="1" applyFill="1"/>
    <xf numFmtId="14" fontId="45" fillId="2" borderId="28" xfId="0" applyNumberFormat="1" applyFont="1" applyFill="1" applyBorder="1" applyAlignment="1">
      <alignment horizontal="center" vertical="center"/>
    </xf>
    <xf numFmtId="0" fontId="45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5" fillId="2" borderId="12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0" fillId="5" borderId="0" xfId="2" applyNumberFormat="1" applyFont="1" applyFill="1"/>
    <xf numFmtId="172" fontId="4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1" fillId="6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8" borderId="12" xfId="0" applyFont="1" applyFill="1" applyBorder="1" applyAlignment="1">
      <alignment horizontal="center" vertical="center"/>
    </xf>
    <xf numFmtId="0" fontId="51" fillId="9" borderId="12" xfId="0" applyFont="1" applyFill="1" applyBorder="1" applyAlignment="1">
      <alignment horizontal="center" vertical="center"/>
    </xf>
    <xf numFmtId="14" fontId="5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1" fillId="7" borderId="20" xfId="0" applyNumberFormat="1" applyFont="1" applyFill="1" applyBorder="1" applyAlignment="1">
      <alignment horizontal="center" vertical="center"/>
    </xf>
    <xf numFmtId="14" fontId="51" fillId="7" borderId="21" xfId="0" applyNumberFormat="1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/>
    </xf>
    <xf numFmtId="0" fontId="53" fillId="11" borderId="12" xfId="0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 vertical="center"/>
    </xf>
    <xf numFmtId="14" fontId="53" fillId="12" borderId="12" xfId="0" applyNumberFormat="1" applyFont="1" applyFill="1" applyBorder="1" applyAlignment="1">
      <alignment horizontal="center" vertical="center"/>
    </xf>
    <xf numFmtId="0" fontId="53" fillId="13" borderId="12" xfId="0" applyFont="1" applyFill="1" applyBorder="1" applyAlignment="1">
      <alignment horizontal="center" vertical="center"/>
    </xf>
    <xf numFmtId="0" fontId="45" fillId="0" borderId="7" xfId="0" applyFont="1" applyBorder="1" applyAlignment="1">
      <alignment horizontal="center"/>
    </xf>
    <xf numFmtId="20" fontId="45" fillId="2" borderId="28" xfId="0" applyNumberFormat="1" applyFont="1" applyFill="1" applyBorder="1" applyAlignment="1">
      <alignment horizontal="center" vertical="center"/>
    </xf>
    <xf numFmtId="1" fontId="4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5" fillId="2" borderId="12" xfId="0" applyNumberFormat="1" applyFont="1" applyFill="1" applyBorder="1" applyAlignment="1">
      <alignment horizontal="center" vertical="center"/>
    </xf>
    <xf numFmtId="0" fontId="46" fillId="3" borderId="12" xfId="0" applyFont="1" applyFill="1" applyBorder="1" applyAlignment="1">
      <alignment horizontal="right"/>
    </xf>
    <xf numFmtId="1" fontId="46" fillId="3" borderId="20" xfId="0" applyNumberFormat="1" applyFont="1" applyFill="1" applyBorder="1" applyAlignment="1">
      <alignment horizontal="right"/>
    </xf>
    <xf numFmtId="9" fontId="4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1" fillId="0" borderId="0" xfId="0" applyFont="1"/>
    <xf numFmtId="1" fontId="51" fillId="0" borderId="0" xfId="0" applyNumberFormat="1" applyFont="1" applyAlignment="1">
      <alignment horizontal="center"/>
    </xf>
    <xf numFmtId="0" fontId="51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1" fillId="0" borderId="38" xfId="0" applyFont="1" applyBorder="1"/>
    <xf numFmtId="1" fontId="51" fillId="0" borderId="38" xfId="0" applyNumberFormat="1" applyFont="1" applyBorder="1" applyAlignment="1">
      <alignment horizontal="center"/>
    </xf>
    <xf numFmtId="0" fontId="51" fillId="0" borderId="38" xfId="0" applyFont="1" applyBorder="1" applyAlignment="1">
      <alignment horizontal="center"/>
    </xf>
    <xf numFmtId="43" fontId="51" fillId="0" borderId="38" xfId="1" applyFont="1" applyBorder="1" applyAlignment="1">
      <alignment horizontal="center"/>
    </xf>
    <xf numFmtId="0" fontId="51" fillId="0" borderId="39" xfId="0" applyFont="1" applyBorder="1"/>
    <xf numFmtId="0" fontId="53" fillId="0" borderId="0" xfId="0" applyFont="1" applyAlignment="1">
      <alignment wrapText="1"/>
    </xf>
    <xf numFmtId="0" fontId="53" fillId="3" borderId="45" xfId="0" applyFont="1" applyFill="1" applyBorder="1" applyAlignment="1">
      <alignment horizontal="center" vertical="center" wrapText="1"/>
    </xf>
    <xf numFmtId="0" fontId="51" fillId="0" borderId="47" xfId="0" applyFont="1" applyBorder="1"/>
    <xf numFmtId="173" fontId="51" fillId="0" borderId="48" xfId="0" applyNumberFormat="1" applyFont="1" applyBorder="1" applyAlignment="1">
      <alignment horizontal="center"/>
    </xf>
    <xf numFmtId="1" fontId="51" fillId="0" borderId="48" xfId="0" applyNumberFormat="1" applyFont="1" applyBorder="1" applyAlignment="1">
      <alignment horizontal="center"/>
    </xf>
    <xf numFmtId="174" fontId="51" fillId="0" borderId="48" xfId="0" applyNumberFormat="1" applyFont="1" applyBorder="1" applyAlignment="1">
      <alignment horizontal="center"/>
    </xf>
    <xf numFmtId="0" fontId="51" fillId="0" borderId="48" xfId="0" applyFont="1" applyBorder="1"/>
    <xf numFmtId="9" fontId="51" fillId="0" borderId="48" xfId="0" applyNumberFormat="1" applyFont="1" applyBorder="1" applyAlignment="1">
      <alignment horizontal="center"/>
    </xf>
    <xf numFmtId="0" fontId="51" fillId="0" borderId="48" xfId="0" applyFont="1" applyBorder="1" applyAlignment="1">
      <alignment horizontal="center"/>
    </xf>
    <xf numFmtId="9" fontId="51" fillId="0" borderId="48" xfId="2" applyFont="1" applyBorder="1" applyAlignment="1">
      <alignment horizontal="center" vertical="center"/>
    </xf>
    <xf numFmtId="9" fontId="51" fillId="0" borderId="49" xfId="0" applyNumberFormat="1" applyFont="1" applyBorder="1" applyAlignment="1">
      <alignment horizontal="center"/>
    </xf>
    <xf numFmtId="0" fontId="51" fillId="0" borderId="12" xfId="0" applyFont="1" applyBorder="1"/>
    <xf numFmtId="0" fontId="51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2" fillId="2" borderId="12" xfId="0" applyFont="1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46" fillId="10" borderId="20" xfId="0" applyFont="1" applyFill="1" applyBorder="1"/>
    <xf numFmtId="0" fontId="46" fillId="10" borderId="28" xfId="0" applyFont="1" applyFill="1" applyBorder="1"/>
    <xf numFmtId="14" fontId="5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6" fillId="16" borderId="12" xfId="0" applyFont="1" applyFill="1" applyBorder="1" applyAlignment="1">
      <alignment horizontal="center"/>
    </xf>
    <xf numFmtId="0" fontId="46" fillId="10" borderId="7" xfId="0" applyFont="1" applyFill="1" applyBorder="1" applyAlignment="1">
      <alignment horizontal="center"/>
    </xf>
    <xf numFmtId="9" fontId="51" fillId="0" borderId="47" xfId="0" applyNumberFormat="1" applyFont="1" applyBorder="1" applyAlignment="1">
      <alignment horizontal="center"/>
    </xf>
    <xf numFmtId="9" fontId="51" fillId="0" borderId="12" xfId="0" applyNumberFormat="1" applyFont="1" applyBorder="1" applyAlignment="1">
      <alignment horizontal="center"/>
    </xf>
    <xf numFmtId="0" fontId="46" fillId="17" borderId="12" xfId="0" applyFont="1" applyFill="1" applyBorder="1" applyAlignment="1">
      <alignment horizontal="center"/>
    </xf>
    <xf numFmtId="0" fontId="4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6" fillId="3" borderId="0" xfId="0" applyFont="1" applyFill="1" applyAlignment="1">
      <alignment horizontal="center"/>
    </xf>
    <xf numFmtId="0" fontId="4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1" fillId="18" borderId="12" xfId="0" applyNumberFormat="1" applyFont="1" applyFill="1" applyBorder="1" applyAlignment="1">
      <alignment horizontal="center"/>
    </xf>
    <xf numFmtId="2" fontId="6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6" fillId="3" borderId="20" xfId="0" applyNumberFormat="1" applyFont="1" applyFill="1" applyBorder="1" applyAlignment="1">
      <alignment horizontal="right"/>
    </xf>
    <xf numFmtId="0" fontId="61" fillId="18" borderId="7" xfId="0" applyFont="1" applyFill="1" applyBorder="1"/>
    <xf numFmtId="0" fontId="61" fillId="18" borderId="29" xfId="0" applyFont="1" applyFill="1" applyBorder="1"/>
    <xf numFmtId="174" fontId="61" fillId="18" borderId="29" xfId="0" applyNumberFormat="1" applyFont="1" applyFill="1" applyBorder="1" applyAlignment="1">
      <alignment horizontal="center"/>
    </xf>
    <xf numFmtId="0" fontId="62" fillId="2" borderId="0" xfId="0" applyFont="1" applyFill="1"/>
    <xf numFmtId="0" fontId="51" fillId="0" borderId="50" xfId="0" applyFont="1" applyBorder="1" applyAlignment="1">
      <alignment horizontal="center"/>
    </xf>
    <xf numFmtId="176" fontId="51" fillId="0" borderId="48" xfId="0" applyNumberFormat="1" applyFont="1" applyBorder="1" applyAlignment="1">
      <alignment horizontal="center"/>
    </xf>
    <xf numFmtId="176" fontId="51" fillId="0" borderId="50" xfId="0" applyNumberFormat="1" applyFont="1" applyBorder="1" applyAlignment="1">
      <alignment horizontal="center"/>
    </xf>
    <xf numFmtId="0" fontId="45" fillId="2" borderId="7" xfId="0" applyFont="1" applyFill="1" applyBorder="1" applyAlignment="1">
      <alignment horizontal="center" vertical="center"/>
    </xf>
    <xf numFmtId="0" fontId="46" fillId="18" borderId="12" xfId="0" applyFont="1" applyFill="1" applyBorder="1" applyAlignment="1">
      <alignment horizontal="center"/>
    </xf>
    <xf numFmtId="0" fontId="51" fillId="0" borderId="49" xfId="0" applyFont="1" applyBorder="1" applyAlignment="1">
      <alignment horizontal="center"/>
    </xf>
    <xf numFmtId="0" fontId="5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6" fillId="2" borderId="0" xfId="0" applyFont="1" applyFill="1" applyAlignment="1">
      <alignment horizontal="center"/>
    </xf>
    <xf numFmtId="0" fontId="4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3" fillId="2" borderId="28" xfId="0" applyFont="1" applyFill="1" applyBorder="1" applyAlignment="1">
      <alignment horizontal="center" vertical="center"/>
    </xf>
    <xf numFmtId="2" fontId="51" fillId="0" borderId="48" xfId="0" applyNumberFormat="1" applyFont="1" applyBorder="1" applyAlignment="1">
      <alignment horizontal="center"/>
    </xf>
    <xf numFmtId="9" fontId="61" fillId="18" borderId="29" xfId="2" applyFont="1" applyFill="1" applyBorder="1" applyAlignment="1">
      <alignment horizontal="center"/>
    </xf>
    <xf numFmtId="0" fontId="46" fillId="20" borderId="12" xfId="0" applyFont="1" applyFill="1" applyBorder="1"/>
    <xf numFmtId="9" fontId="51" fillId="0" borderId="0" xfId="2" applyFont="1" applyAlignment="1">
      <alignment horizontal="center"/>
    </xf>
    <xf numFmtId="0" fontId="46" fillId="0" borderId="12" xfId="0" applyFont="1" applyBorder="1"/>
    <xf numFmtId="176" fontId="0" fillId="0" borderId="12" xfId="0" applyNumberFormat="1" applyBorder="1"/>
    <xf numFmtId="1" fontId="64" fillId="2" borderId="12" xfId="0" applyNumberFormat="1" applyFont="1" applyFill="1" applyBorder="1"/>
    <xf numFmtId="9" fontId="64" fillId="2" borderId="12" xfId="0" applyNumberFormat="1" applyFont="1" applyFill="1" applyBorder="1"/>
    <xf numFmtId="0" fontId="56" fillId="2" borderId="12" xfId="0" applyFont="1" applyFill="1" applyBorder="1"/>
    <xf numFmtId="1" fontId="53" fillId="3" borderId="45" xfId="0" applyNumberFormat="1" applyFont="1" applyFill="1" applyBorder="1" applyAlignment="1">
      <alignment horizontal="center" vertical="center" wrapText="1"/>
    </xf>
    <xf numFmtId="43" fontId="53" fillId="3" borderId="45" xfId="1" applyFont="1" applyFill="1" applyBorder="1" applyAlignment="1">
      <alignment horizontal="center" vertical="center" wrapText="1"/>
    </xf>
    <xf numFmtId="0" fontId="4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2" fillId="2" borderId="28" xfId="0" applyFont="1" applyFill="1" applyBorder="1" applyAlignment="1">
      <alignment vertical="center"/>
    </xf>
    <xf numFmtId="20" fontId="4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1" fillId="8" borderId="20" xfId="0" applyFont="1" applyFill="1" applyBorder="1" applyAlignment="1">
      <alignment horizontal="center" vertical="center"/>
    </xf>
    <xf numFmtId="14" fontId="51" fillId="7" borderId="12" xfId="0" applyNumberFormat="1" applyFont="1" applyFill="1" applyBorder="1" applyAlignment="1">
      <alignment horizontal="center" vertical="center"/>
    </xf>
    <xf numFmtId="20" fontId="39" fillId="2" borderId="28" xfId="0" applyNumberFormat="1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9" fontId="51" fillId="8" borderId="12" xfId="0" applyNumberFormat="1" applyFont="1" applyFill="1" applyBorder="1" applyAlignment="1">
      <alignment horizontal="center" vertical="center"/>
    </xf>
    <xf numFmtId="1" fontId="5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14" fontId="5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1" fillId="2" borderId="20" xfId="0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vertical="center"/>
    </xf>
    <xf numFmtId="0" fontId="52" fillId="2" borderId="28" xfId="0" applyFont="1" applyFill="1" applyBorder="1"/>
    <xf numFmtId="0" fontId="51" fillId="2" borderId="28" xfId="0" applyFont="1" applyFill="1" applyBorder="1" applyAlignment="1">
      <alignment horizontal="center" vertical="center"/>
    </xf>
    <xf numFmtId="14" fontId="51" fillId="7" borderId="10" xfId="0" applyNumberFormat="1" applyFont="1" applyFill="1" applyBorder="1" applyAlignment="1">
      <alignment vertical="center"/>
    </xf>
    <xf numFmtId="14" fontId="51" fillId="7" borderId="10" xfId="0" applyNumberFormat="1" applyFont="1" applyFill="1" applyBorder="1" applyAlignment="1">
      <alignment horizontal="center" vertical="center"/>
    </xf>
    <xf numFmtId="14" fontId="51" fillId="2" borderId="10" xfId="0" applyNumberFormat="1" applyFont="1" applyFill="1" applyBorder="1" applyAlignment="1">
      <alignment vertical="center"/>
    </xf>
    <xf numFmtId="14" fontId="51" fillId="2" borderId="10" xfId="0" applyNumberFormat="1" applyFont="1" applyFill="1" applyBorder="1" applyAlignment="1">
      <alignment horizontal="center" vertical="center"/>
    </xf>
    <xf numFmtId="0" fontId="51" fillId="2" borderId="10" xfId="0" applyFont="1" applyFill="1" applyBorder="1" applyAlignment="1">
      <alignment horizontal="center" vertical="center"/>
    </xf>
    <xf numFmtId="1" fontId="51" fillId="8" borderId="10" xfId="0" applyNumberFormat="1" applyFont="1" applyFill="1" applyBorder="1" applyAlignment="1">
      <alignment horizontal="center" vertical="center"/>
    </xf>
    <xf numFmtId="0" fontId="51" fillId="8" borderId="10" xfId="0" applyFont="1" applyFill="1" applyBorder="1" applyAlignment="1">
      <alignment horizontal="center" vertical="center"/>
    </xf>
    <xf numFmtId="14" fontId="51" fillId="7" borderId="17" xfId="0" applyNumberFormat="1" applyFont="1" applyFill="1" applyBorder="1" applyAlignment="1">
      <alignment vertical="center"/>
    </xf>
    <xf numFmtId="14" fontId="51" fillId="2" borderId="17" xfId="0" applyNumberFormat="1" applyFont="1" applyFill="1" applyBorder="1" applyAlignment="1">
      <alignment vertical="center"/>
    </xf>
    <xf numFmtId="14" fontId="51" fillId="2" borderId="17" xfId="0" applyNumberFormat="1" applyFont="1" applyFill="1" applyBorder="1" applyAlignment="1">
      <alignment horizontal="center" vertical="center"/>
    </xf>
    <xf numFmtId="0" fontId="5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1" fillId="9" borderId="28" xfId="0" applyFont="1" applyFill="1" applyBorder="1" applyAlignment="1">
      <alignment horizontal="center" vertical="center"/>
    </xf>
    <xf numFmtId="0" fontId="52" fillId="2" borderId="10" xfId="0" applyFont="1" applyFill="1" applyBorder="1"/>
    <xf numFmtId="0" fontId="52" fillId="2" borderId="17" xfId="0" applyFont="1" applyFill="1" applyBorder="1"/>
    <xf numFmtId="0" fontId="0" fillId="2" borderId="17" xfId="0" applyFill="1" applyBorder="1"/>
    <xf numFmtId="0" fontId="51" fillId="9" borderId="1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9" fontId="51" fillId="2" borderId="12" xfId="0" applyNumberFormat="1" applyFont="1" applyFill="1" applyBorder="1" applyAlignment="1">
      <alignment horizontal="center" vertical="center"/>
    </xf>
    <xf numFmtId="1" fontId="51" fillId="8" borderId="28" xfId="0" applyNumberFormat="1" applyFont="1" applyFill="1" applyBorder="1" applyAlignment="1">
      <alignment horizontal="center" vertical="center"/>
    </xf>
    <xf numFmtId="0" fontId="46" fillId="18" borderId="28" xfId="0" applyFont="1" applyFill="1" applyBorder="1" applyAlignment="1">
      <alignment horizontal="center" vertical="center"/>
    </xf>
    <xf numFmtId="0" fontId="4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8" fillId="2" borderId="20" xfId="0" applyNumberFormat="1" applyFont="1" applyFill="1" applyBorder="1" applyAlignment="1">
      <alignment horizontal="center" vertical="center"/>
    </xf>
    <xf numFmtId="0" fontId="45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1" fontId="51" fillId="0" borderId="47" xfId="0" applyNumberFormat="1" applyFont="1" applyBorder="1" applyAlignment="1">
      <alignment horizontal="center"/>
    </xf>
    <xf numFmtId="174" fontId="51" fillId="0" borderId="47" xfId="0" applyNumberFormat="1" applyFont="1" applyBorder="1" applyAlignment="1">
      <alignment horizontal="center"/>
    </xf>
    <xf numFmtId="9" fontId="51" fillId="0" borderId="47" xfId="2" applyFont="1" applyBorder="1" applyAlignment="1">
      <alignment horizontal="center" vertical="center"/>
    </xf>
    <xf numFmtId="1" fontId="51" fillId="0" borderId="12" xfId="0" applyNumberFormat="1" applyFont="1" applyBorder="1" applyAlignment="1">
      <alignment horizontal="center"/>
    </xf>
    <xf numFmtId="174" fontId="51" fillId="0" borderId="12" xfId="0" applyNumberFormat="1" applyFont="1" applyBorder="1" applyAlignment="1">
      <alignment horizontal="center"/>
    </xf>
    <xf numFmtId="0" fontId="51" fillId="0" borderId="12" xfId="0" applyFont="1" applyBorder="1" applyAlignment="1">
      <alignment horizontal="center"/>
    </xf>
    <xf numFmtId="9" fontId="51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5" fillId="2" borderId="20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top" wrapText="1"/>
    </xf>
    <xf numFmtId="0" fontId="4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6" fillId="18" borderId="30" xfId="0" applyFont="1" applyFill="1" applyBorder="1" applyAlignment="1">
      <alignment horizontal="center" vertical="center"/>
    </xf>
    <xf numFmtId="0" fontId="46" fillId="18" borderId="22" xfId="0" applyFont="1" applyFill="1" applyBorder="1" applyAlignment="1">
      <alignment horizontal="center" vertical="center"/>
    </xf>
    <xf numFmtId="1" fontId="46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5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6" fillId="20" borderId="12" xfId="0" applyFont="1" applyFill="1" applyBorder="1" applyAlignment="1">
      <alignment horizontal="center"/>
    </xf>
    <xf numFmtId="0" fontId="46" fillId="18" borderId="20" xfId="0" applyFont="1" applyFill="1" applyBorder="1" applyAlignment="1">
      <alignment horizontal="center" vertical="center"/>
    </xf>
    <xf numFmtId="0" fontId="46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4" fillId="2" borderId="12" xfId="0" applyFont="1" applyFill="1" applyBorder="1" applyAlignment="1">
      <alignment vertical="center"/>
    </xf>
    <xf numFmtId="14" fontId="34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6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vertical="center"/>
    </xf>
    <xf numFmtId="0" fontId="30" fillId="2" borderId="12" xfId="0" applyFont="1" applyFill="1" applyBorder="1" applyAlignment="1">
      <alignment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8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7" fillId="2" borderId="12" xfId="0" applyFont="1" applyFill="1" applyBorder="1" applyAlignment="1">
      <alignment vertical="center"/>
    </xf>
    <xf numFmtId="177" fontId="0" fillId="0" borderId="0" xfId="0" applyNumberFormat="1"/>
    <xf numFmtId="0" fontId="26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vertical="center"/>
    </xf>
    <xf numFmtId="14" fontId="25" fillId="2" borderId="12" xfId="0" applyNumberFormat="1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horizontal="center"/>
    </xf>
    <xf numFmtId="1" fontId="46" fillId="2" borderId="12" xfId="0" applyNumberFormat="1" applyFont="1" applyFill="1" applyBorder="1" applyAlignment="1">
      <alignment horizontal="center"/>
    </xf>
    <xf numFmtId="0" fontId="46" fillId="18" borderId="30" xfId="0" applyFont="1" applyFill="1" applyBorder="1" applyAlignment="1">
      <alignment horizontal="center"/>
    </xf>
    <xf numFmtId="0" fontId="46" fillId="18" borderId="32" xfId="0" applyFont="1" applyFill="1" applyBorder="1" applyAlignment="1">
      <alignment horizontal="center"/>
    </xf>
    <xf numFmtId="0" fontId="4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6" fillId="4" borderId="12" xfId="0" applyFont="1" applyFill="1" applyBorder="1"/>
    <xf numFmtId="0" fontId="46" fillId="18" borderId="12" xfId="0" applyFont="1" applyFill="1" applyBorder="1"/>
    <xf numFmtId="0" fontId="46" fillId="18" borderId="12" xfId="0" applyFont="1" applyFill="1" applyBorder="1" applyAlignment="1">
      <alignment horizontal="left"/>
    </xf>
    <xf numFmtId="0" fontId="22" fillId="2" borderId="12" xfId="0" applyFont="1" applyFill="1" applyBorder="1"/>
    <xf numFmtId="0" fontId="45" fillId="3" borderId="0" xfId="0" applyFont="1" applyFill="1" applyAlignment="1">
      <alignment horizontal="center"/>
    </xf>
    <xf numFmtId="0" fontId="45" fillId="3" borderId="19" xfId="0" applyFont="1" applyFill="1" applyBorder="1" applyAlignment="1">
      <alignment horizontal="center"/>
    </xf>
    <xf numFmtId="0" fontId="4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2" fillId="2" borderId="28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1" fillId="3" borderId="19" xfId="0" applyFont="1" applyFill="1" applyBorder="1" applyAlignment="1">
      <alignment horizontal="center" vertical="center"/>
    </xf>
    <xf numFmtId="164" fontId="61" fillId="3" borderId="21" xfId="1" applyNumberFormat="1" applyFont="1" applyFill="1" applyBorder="1" applyAlignment="1">
      <alignment horizontal="center" vertical="center"/>
    </xf>
    <xf numFmtId="165" fontId="61" fillId="3" borderId="21" xfId="0" applyNumberFormat="1" applyFont="1" applyFill="1" applyBorder="1" applyAlignment="1">
      <alignment horizontal="center" vertical="center"/>
    </xf>
    <xf numFmtId="9" fontId="61" fillId="3" borderId="21" xfId="2" applyFont="1" applyFill="1" applyBorder="1" applyAlignment="1">
      <alignment horizontal="center" vertical="center"/>
    </xf>
    <xf numFmtId="9" fontId="61" fillId="3" borderId="22" xfId="2" applyFont="1" applyFill="1" applyBorder="1" applyAlignment="1">
      <alignment horizontal="center" vertical="center" wrapText="1"/>
    </xf>
    <xf numFmtId="14" fontId="66" fillId="2" borderId="9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vertical="center"/>
    </xf>
    <xf numFmtId="164" fontId="66" fillId="2" borderId="10" xfId="1" applyNumberFormat="1" applyFont="1" applyFill="1" applyBorder="1" applyAlignment="1">
      <alignment horizontal="center" vertical="center"/>
    </xf>
    <xf numFmtId="165" fontId="66" fillId="2" borderId="10" xfId="0" applyNumberFormat="1" applyFont="1" applyFill="1" applyBorder="1" applyAlignment="1">
      <alignment horizontal="center" vertical="center"/>
    </xf>
    <xf numFmtId="9" fontId="66" fillId="2" borderId="10" xfId="2" applyFont="1" applyFill="1" applyBorder="1" applyAlignment="1">
      <alignment horizontal="center" vertical="center"/>
    </xf>
    <xf numFmtId="166" fontId="66" fillId="2" borderId="11" xfId="1" applyNumberFormat="1" applyFont="1" applyFill="1" applyBorder="1" applyAlignment="1">
      <alignment horizontal="center" vertical="center"/>
    </xf>
    <xf numFmtId="0" fontId="66" fillId="2" borderId="11" xfId="0" applyFont="1" applyFill="1" applyBorder="1" applyAlignment="1">
      <alignment horizontal="center" vertical="center"/>
    </xf>
    <xf numFmtId="1" fontId="66" fillId="2" borderId="11" xfId="0" applyNumberFormat="1" applyFont="1" applyFill="1" applyBorder="1" applyAlignment="1">
      <alignment horizontal="center" vertical="center"/>
    </xf>
    <xf numFmtId="164" fontId="66" fillId="2" borderId="10" xfId="0" applyNumberFormat="1" applyFont="1" applyFill="1" applyBorder="1" applyAlignment="1">
      <alignment horizontal="center" vertical="center"/>
    </xf>
    <xf numFmtId="0" fontId="66" fillId="2" borderId="12" xfId="0" applyFont="1" applyFill="1" applyBorder="1"/>
    <xf numFmtId="14" fontId="66" fillId="2" borderId="14" xfId="0" applyNumberFormat="1" applyFont="1" applyFill="1" applyBorder="1" applyAlignment="1">
      <alignment horizontal="center" vertical="center"/>
    </xf>
    <xf numFmtId="0" fontId="66" fillId="2" borderId="15" xfId="0" applyFont="1" applyFill="1" applyBorder="1" applyAlignment="1">
      <alignment vertical="center"/>
    </xf>
    <xf numFmtId="164" fontId="66" fillId="2" borderId="15" xfId="1" applyNumberFormat="1" applyFont="1" applyFill="1" applyBorder="1" applyAlignment="1">
      <alignment horizontal="center" vertical="center"/>
    </xf>
    <xf numFmtId="165" fontId="66" fillId="2" borderId="15" xfId="0" applyNumberFormat="1" applyFont="1" applyFill="1" applyBorder="1" applyAlignment="1">
      <alignment horizontal="center" vertical="center"/>
    </xf>
    <xf numFmtId="9" fontId="66" fillId="2" borderId="15" xfId="2" applyFont="1" applyFill="1" applyBorder="1" applyAlignment="1">
      <alignment horizontal="center" vertical="center"/>
    </xf>
    <xf numFmtId="164" fontId="66" fillId="2" borderId="17" xfId="1" applyNumberFormat="1" applyFont="1" applyFill="1" applyBorder="1" applyAlignment="1">
      <alignment horizontal="center" vertical="center"/>
    </xf>
    <xf numFmtId="166" fontId="66" fillId="2" borderId="16" xfId="1" applyNumberFormat="1" applyFont="1" applyFill="1" applyBorder="1" applyAlignment="1">
      <alignment horizontal="center" vertical="center"/>
    </xf>
    <xf numFmtId="164" fontId="66" fillId="2" borderId="12" xfId="0" applyNumberFormat="1" applyFont="1" applyFill="1" applyBorder="1"/>
    <xf numFmtId="167" fontId="66" fillId="2" borderId="12" xfId="0" applyNumberFormat="1" applyFont="1" applyFill="1" applyBorder="1"/>
    <xf numFmtId="164" fontId="66" fillId="2" borderId="15" xfId="0" applyNumberFormat="1" applyFont="1" applyFill="1" applyBorder="1" applyAlignment="1">
      <alignment horizontal="center" vertical="center"/>
    </xf>
    <xf numFmtId="164" fontId="66" fillId="2" borderId="17" xfId="0" applyNumberFormat="1" applyFont="1" applyFill="1" applyBorder="1" applyAlignment="1">
      <alignment horizontal="center" vertical="center"/>
    </xf>
    <xf numFmtId="166" fontId="66" fillId="2" borderId="12" xfId="0" applyNumberFormat="1" applyFont="1" applyFill="1" applyBorder="1"/>
    <xf numFmtId="0" fontId="66" fillId="2" borderId="17" xfId="0" applyFont="1" applyFill="1" applyBorder="1" applyAlignment="1">
      <alignment vertical="center"/>
    </xf>
    <xf numFmtId="1" fontId="66" fillId="2" borderId="16" xfId="0" applyNumberFormat="1" applyFont="1" applyFill="1" applyBorder="1" applyAlignment="1">
      <alignment horizontal="center" vertical="center"/>
    </xf>
    <xf numFmtId="14" fontId="66" fillId="2" borderId="19" xfId="0" applyNumberFormat="1" applyFont="1" applyFill="1" applyBorder="1" applyAlignment="1">
      <alignment horizontal="center" vertical="center"/>
    </xf>
    <xf numFmtId="0" fontId="66" fillId="2" borderId="20" xfId="0" applyFont="1" applyFill="1" applyBorder="1" applyAlignment="1">
      <alignment vertical="center"/>
    </xf>
    <xf numFmtId="164" fontId="66" fillId="2" borderId="20" xfId="1" applyNumberFormat="1" applyFont="1" applyFill="1" applyBorder="1" applyAlignment="1">
      <alignment horizontal="center" vertical="center"/>
    </xf>
    <xf numFmtId="165" fontId="66" fillId="2" borderId="21" xfId="0" applyNumberFormat="1" applyFont="1" applyFill="1" applyBorder="1" applyAlignment="1">
      <alignment horizontal="center" vertical="center"/>
    </xf>
    <xf numFmtId="9" fontId="66" fillId="2" borderId="21" xfId="2" applyFont="1" applyFill="1" applyBorder="1" applyAlignment="1">
      <alignment horizontal="center" vertical="center"/>
    </xf>
    <xf numFmtId="166" fontId="66" fillId="2" borderId="22" xfId="1" applyNumberFormat="1" applyFont="1" applyFill="1" applyBorder="1" applyAlignment="1">
      <alignment horizontal="center" vertical="center"/>
    </xf>
    <xf numFmtId="1" fontId="66" fillId="2" borderId="22" xfId="0" applyNumberFormat="1" applyFont="1" applyFill="1" applyBorder="1" applyAlignment="1">
      <alignment horizontal="center" vertical="center"/>
    </xf>
    <xf numFmtId="164" fontId="66" fillId="2" borderId="21" xfId="0" applyNumberFormat="1" applyFont="1" applyFill="1" applyBorder="1" applyAlignment="1">
      <alignment horizontal="center" vertical="center"/>
    </xf>
    <xf numFmtId="164" fontId="66" fillId="2" borderId="20" xfId="0" applyNumberFormat="1" applyFont="1" applyFill="1" applyBorder="1" applyAlignment="1">
      <alignment horizontal="center" vertical="center"/>
    </xf>
    <xf numFmtId="164" fontId="66" fillId="2" borderId="23" xfId="0" applyNumberFormat="1" applyFont="1" applyFill="1" applyBorder="1" applyAlignment="1">
      <alignment horizontal="center" vertical="center"/>
    </xf>
    <xf numFmtId="164" fontId="66" fillId="2" borderId="25" xfId="0" applyNumberFormat="1" applyFont="1" applyFill="1" applyBorder="1" applyAlignment="1">
      <alignment horizontal="center" vertical="center"/>
    </xf>
    <xf numFmtId="0" fontId="66" fillId="2" borderId="16" xfId="0" applyFont="1" applyFill="1" applyBorder="1" applyAlignment="1">
      <alignment horizontal="center" vertical="center"/>
    </xf>
    <xf numFmtId="0" fontId="66" fillId="2" borderId="27" xfId="0" applyFont="1" applyFill="1" applyBorder="1" applyAlignment="1">
      <alignment vertical="center"/>
    </xf>
    <xf numFmtId="164" fontId="66" fillId="2" borderId="27" xfId="1" applyNumberFormat="1" applyFont="1" applyFill="1" applyBorder="1" applyAlignment="1">
      <alignment horizontal="center" vertical="center"/>
    </xf>
    <xf numFmtId="165" fontId="66" fillId="2" borderId="27" xfId="0" applyNumberFormat="1" applyFont="1" applyFill="1" applyBorder="1" applyAlignment="1">
      <alignment horizontal="center" vertical="center"/>
    </xf>
    <xf numFmtId="9" fontId="66" fillId="2" borderId="27" xfId="2" applyFont="1" applyFill="1" applyBorder="1" applyAlignment="1">
      <alignment horizontal="center" vertical="center"/>
    </xf>
    <xf numFmtId="164" fontId="66" fillId="2" borderId="15" xfId="0" applyNumberFormat="1" applyFont="1" applyFill="1" applyBorder="1" applyAlignment="1">
      <alignment vertical="center"/>
    </xf>
    <xf numFmtId="164" fontId="66" fillId="2" borderId="17" xfId="0" applyNumberFormat="1" applyFont="1" applyFill="1" applyBorder="1" applyAlignment="1">
      <alignment vertical="center"/>
    </xf>
    <xf numFmtId="175" fontId="66" fillId="2" borderId="27" xfId="2" applyNumberFormat="1" applyFont="1" applyFill="1" applyBorder="1" applyAlignment="1">
      <alignment horizontal="center" vertical="center"/>
    </xf>
    <xf numFmtId="14" fontId="61" fillId="4" borderId="19" xfId="0" applyNumberFormat="1" applyFont="1" applyFill="1" applyBorder="1" applyAlignment="1">
      <alignment horizontal="center" vertical="center"/>
    </xf>
    <xf numFmtId="0" fontId="61" fillId="4" borderId="21" xfId="0" applyFont="1" applyFill="1" applyBorder="1" applyAlignment="1">
      <alignment vertical="center"/>
    </xf>
    <xf numFmtId="164" fontId="61" fillId="4" borderId="21" xfId="1" applyNumberFormat="1" applyFont="1" applyFill="1" applyBorder="1" applyAlignment="1">
      <alignment horizontal="center" vertical="center"/>
    </xf>
    <xf numFmtId="165" fontId="61" fillId="4" borderId="21" xfId="0" applyNumberFormat="1" applyFont="1" applyFill="1" applyBorder="1" applyAlignment="1">
      <alignment horizontal="center" vertical="center"/>
    </xf>
    <xf numFmtId="9" fontId="61" fillId="4" borderId="21" xfId="2" applyFont="1" applyFill="1" applyBorder="1" applyAlignment="1">
      <alignment horizontal="center" vertical="center"/>
    </xf>
    <xf numFmtId="166" fontId="61" fillId="4" borderId="22" xfId="1" applyNumberFormat="1" applyFont="1" applyFill="1" applyBorder="1" applyAlignment="1">
      <alignment horizontal="center" vertical="center"/>
    </xf>
    <xf numFmtId="0" fontId="61" fillId="4" borderId="22" xfId="0" applyFont="1" applyFill="1" applyBorder="1" applyAlignment="1">
      <alignment horizontal="center" vertical="center"/>
    </xf>
    <xf numFmtId="1" fontId="61" fillId="4" borderId="22" xfId="0" applyNumberFormat="1" applyFont="1" applyFill="1" applyBorder="1" applyAlignment="1">
      <alignment horizontal="center" vertical="center"/>
    </xf>
    <xf numFmtId="164" fontId="61" fillId="4" borderId="21" xfId="0" applyNumberFormat="1" applyFont="1" applyFill="1" applyBorder="1" applyAlignment="1">
      <alignment horizontal="center" vertical="center"/>
    </xf>
    <xf numFmtId="164" fontId="66" fillId="4" borderId="28" xfId="0" applyNumberFormat="1" applyFont="1" applyFill="1" applyBorder="1" applyAlignment="1">
      <alignment horizontal="center" vertical="center"/>
    </xf>
    <xf numFmtId="0" fontId="61" fillId="4" borderId="17" xfId="0" applyFont="1" applyFill="1" applyBorder="1"/>
    <xf numFmtId="164" fontId="61" fillId="4" borderId="17" xfId="1" applyNumberFormat="1" applyFont="1" applyFill="1" applyBorder="1" applyAlignment="1">
      <alignment horizontal="center" vertical="center"/>
    </xf>
    <xf numFmtId="9" fontId="61" fillId="4" borderId="17" xfId="2" applyFont="1" applyFill="1" applyBorder="1" applyAlignment="1">
      <alignment horizontal="center" vertical="center"/>
    </xf>
    <xf numFmtId="1" fontId="61" fillId="4" borderId="17" xfId="0" applyNumberFormat="1" applyFont="1" applyFill="1" applyBorder="1" applyAlignment="1">
      <alignment horizontal="center"/>
    </xf>
    <xf numFmtId="164" fontId="61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1" fillId="4" borderId="6" xfId="0" applyNumberFormat="1" applyFont="1" applyFill="1" applyBorder="1" applyAlignment="1">
      <alignment horizontal="center" vertical="center"/>
    </xf>
    <xf numFmtId="164" fontId="61" fillId="4" borderId="54" xfId="0" applyNumberFormat="1" applyFont="1" applyFill="1" applyBorder="1" applyAlignment="1">
      <alignment vertical="center"/>
    </xf>
    <xf numFmtId="0" fontId="61" fillId="3" borderId="22" xfId="0" applyFont="1" applyFill="1" applyBorder="1" applyAlignment="1">
      <alignment horizontal="center" vertical="center" wrapText="1"/>
    </xf>
    <xf numFmtId="0" fontId="61" fillId="3" borderId="21" xfId="0" applyFont="1" applyFill="1" applyBorder="1" applyAlignment="1">
      <alignment horizontal="center" vertical="center"/>
    </xf>
    <xf numFmtId="0" fontId="61" fillId="3" borderId="21" xfId="0" applyFont="1" applyFill="1" applyBorder="1" applyAlignment="1">
      <alignment horizontal="center" vertical="center" wrapText="1"/>
    </xf>
    <xf numFmtId="0" fontId="61" fillId="20" borderId="28" xfId="0" applyFont="1" applyFill="1" applyBorder="1" applyAlignment="1">
      <alignment horizontal="center" vertical="center"/>
    </xf>
    <xf numFmtId="14" fontId="66" fillId="17" borderId="9" xfId="0" applyNumberFormat="1" applyFont="1" applyFill="1" applyBorder="1" applyAlignment="1">
      <alignment horizontal="center" vertical="center"/>
    </xf>
    <xf numFmtId="0" fontId="66" fillId="17" borderId="10" xfId="0" applyFont="1" applyFill="1" applyBorder="1" applyAlignment="1">
      <alignment vertical="center"/>
    </xf>
    <xf numFmtId="164" fontId="66" fillId="17" borderId="10" xfId="1" applyNumberFormat="1" applyFont="1" applyFill="1" applyBorder="1" applyAlignment="1">
      <alignment horizontal="center" vertical="center"/>
    </xf>
    <xf numFmtId="165" fontId="66" fillId="17" borderId="10" xfId="0" applyNumberFormat="1" applyFont="1" applyFill="1" applyBorder="1" applyAlignment="1">
      <alignment horizontal="center" vertical="center"/>
    </xf>
    <xf numFmtId="9" fontId="66" fillId="17" borderId="10" xfId="2" applyFont="1" applyFill="1" applyBorder="1" applyAlignment="1">
      <alignment horizontal="center" vertical="center"/>
    </xf>
    <xf numFmtId="166" fontId="66" fillId="17" borderId="11" xfId="1" applyNumberFormat="1" applyFont="1" applyFill="1" applyBorder="1" applyAlignment="1">
      <alignment horizontal="center" vertical="center"/>
    </xf>
    <xf numFmtId="1" fontId="66" fillId="17" borderId="11" xfId="0" applyNumberFormat="1" applyFont="1" applyFill="1" applyBorder="1" applyAlignment="1">
      <alignment horizontal="center" vertical="center"/>
    </xf>
    <xf numFmtId="164" fontId="66" fillId="17" borderId="10" xfId="0" applyNumberFormat="1" applyFont="1" applyFill="1" applyBorder="1" applyAlignment="1">
      <alignment horizontal="center" vertical="center"/>
    </xf>
    <xf numFmtId="0" fontId="66" fillId="17" borderId="12" xfId="0" applyFont="1" applyFill="1" applyBorder="1"/>
    <xf numFmtId="14" fontId="66" fillId="17" borderId="14" xfId="0" applyNumberFormat="1" applyFont="1" applyFill="1" applyBorder="1" applyAlignment="1">
      <alignment horizontal="center" vertical="center"/>
    </xf>
    <xf numFmtId="0" fontId="66" fillId="17" borderId="15" xfId="0" applyFont="1" applyFill="1" applyBorder="1" applyAlignment="1">
      <alignment vertical="center"/>
    </xf>
    <xf numFmtId="164" fontId="66" fillId="17" borderId="17" xfId="1" applyNumberFormat="1" applyFont="1" applyFill="1" applyBorder="1" applyAlignment="1">
      <alignment horizontal="center" vertical="center"/>
    </xf>
    <xf numFmtId="9" fontId="66" fillId="17" borderId="15" xfId="2" applyFont="1" applyFill="1" applyBorder="1" applyAlignment="1">
      <alignment horizontal="center" vertical="center"/>
    </xf>
    <xf numFmtId="166" fontId="66" fillId="17" borderId="16" xfId="1" applyNumberFormat="1" applyFont="1" applyFill="1" applyBorder="1" applyAlignment="1">
      <alignment horizontal="center" vertical="center"/>
    </xf>
    <xf numFmtId="164" fontId="66" fillId="17" borderId="15" xfId="0" applyNumberFormat="1" applyFont="1" applyFill="1" applyBorder="1" applyAlignment="1">
      <alignment horizontal="center" vertical="center"/>
    </xf>
    <xf numFmtId="164" fontId="66" fillId="17" borderId="12" xfId="0" applyNumberFormat="1" applyFont="1" applyFill="1" applyBorder="1"/>
    <xf numFmtId="164" fontId="66" fillId="17" borderId="17" xfId="0" applyNumberFormat="1" applyFont="1" applyFill="1" applyBorder="1" applyAlignment="1">
      <alignment horizontal="center" vertical="center"/>
    </xf>
    <xf numFmtId="0" fontId="66" fillId="17" borderId="17" xfId="0" applyFont="1" applyFill="1" applyBorder="1" applyAlignment="1">
      <alignment vertical="center"/>
    </xf>
    <xf numFmtId="1" fontId="66" fillId="17" borderId="16" xfId="0" applyNumberFormat="1" applyFont="1" applyFill="1" applyBorder="1" applyAlignment="1">
      <alignment horizontal="center" vertical="center"/>
    </xf>
    <xf numFmtId="0" fontId="56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6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1" fontId="51" fillId="0" borderId="50" xfId="0" applyNumberFormat="1" applyFont="1" applyBorder="1" applyAlignment="1">
      <alignment horizontal="center"/>
    </xf>
    <xf numFmtId="0" fontId="17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0" fontId="66" fillId="2" borderId="12" xfId="0" applyFont="1" applyFill="1" applyBorder="1" applyAlignment="1">
      <alignment wrapText="1"/>
    </xf>
    <xf numFmtId="0" fontId="1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6" fillId="4" borderId="12" xfId="0" applyFont="1" applyFill="1" applyBorder="1" applyAlignment="1">
      <alignment horizontal="center" wrapText="1"/>
    </xf>
    <xf numFmtId="165" fontId="67" fillId="17" borderId="10" xfId="0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165" fontId="67" fillId="17" borderId="15" xfId="0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1" fillId="18" borderId="12" xfId="0" applyFont="1" applyFill="1" applyBorder="1" applyAlignment="1">
      <alignment horizontal="center"/>
    </xf>
    <xf numFmtId="0" fontId="4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6" fillId="18" borderId="12" xfId="0" applyNumberFormat="1" applyFont="1" applyFill="1" applyBorder="1" applyAlignment="1">
      <alignment horizontal="center" wrapText="1"/>
    </xf>
    <xf numFmtId="0" fontId="46" fillId="2" borderId="12" xfId="0" applyFont="1" applyFill="1" applyBorder="1"/>
    <xf numFmtId="14" fontId="15" fillId="2" borderId="12" xfId="0" applyNumberFormat="1" applyFont="1" applyFill="1" applyBorder="1"/>
    <xf numFmtId="0" fontId="14" fillId="2" borderId="12" xfId="0" applyFont="1" applyFill="1" applyBorder="1" applyAlignment="1">
      <alignment vertical="center"/>
    </xf>
    <xf numFmtId="0" fontId="14" fillId="2" borderId="12" xfId="0" applyFont="1" applyFill="1" applyBorder="1" applyAlignment="1">
      <alignment horizontal="center" vertical="center"/>
    </xf>
    <xf numFmtId="173" fontId="51" fillId="0" borderId="47" xfId="0" applyNumberFormat="1" applyFont="1" applyBorder="1" applyAlignment="1">
      <alignment horizontal="center"/>
    </xf>
    <xf numFmtId="1" fontId="51" fillId="0" borderId="20" xfId="0" applyNumberFormat="1" applyFont="1" applyBorder="1" applyAlignment="1">
      <alignment horizontal="center"/>
    </xf>
    <xf numFmtId="174" fontId="51" fillId="0" borderId="20" xfId="0" applyNumberFormat="1" applyFont="1" applyBorder="1" applyAlignment="1">
      <alignment horizontal="center"/>
    </xf>
    <xf numFmtId="0" fontId="51" fillId="0" borderId="20" xfId="0" applyFont="1" applyBorder="1"/>
    <xf numFmtId="9" fontId="51" fillId="0" borderId="20" xfId="0" applyNumberFormat="1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9" fontId="51" fillId="0" borderId="20" xfId="2" applyFont="1" applyBorder="1" applyAlignment="1">
      <alignment horizontal="center" vertical="center"/>
    </xf>
    <xf numFmtId="173" fontId="51" fillId="14" borderId="12" xfId="0" applyNumberFormat="1" applyFont="1" applyFill="1" applyBorder="1" applyAlignment="1">
      <alignment horizontal="center"/>
    </xf>
    <xf numFmtId="43" fontId="51" fillId="14" borderId="12" xfId="1" applyFont="1" applyFill="1" applyBorder="1" applyAlignment="1">
      <alignment horizontal="center"/>
    </xf>
    <xf numFmtId="0" fontId="51" fillId="21" borderId="12" xfId="0" applyFont="1" applyFill="1" applyBorder="1" applyAlignment="1">
      <alignment horizontal="center"/>
    </xf>
    <xf numFmtId="0" fontId="51" fillId="14" borderId="12" xfId="0" applyFont="1" applyFill="1" applyBorder="1"/>
    <xf numFmtId="1" fontId="51" fillId="21" borderId="12" xfId="0" applyNumberFormat="1" applyFont="1" applyFill="1" applyBorder="1" applyAlignment="1">
      <alignment horizontal="center"/>
    </xf>
    <xf numFmtId="2" fontId="51" fillId="21" borderId="12" xfId="0" applyNumberFormat="1" applyFont="1" applyFill="1" applyBorder="1" applyAlignment="1">
      <alignment horizontal="center"/>
    </xf>
    <xf numFmtId="176" fontId="51" fillId="21" borderId="12" xfId="0" applyNumberFormat="1" applyFont="1" applyFill="1" applyBorder="1" applyAlignment="1">
      <alignment horizontal="center"/>
    </xf>
    <xf numFmtId="9" fontId="51" fillId="21" borderId="12" xfId="0" applyNumberFormat="1" applyFont="1" applyFill="1" applyBorder="1" applyAlignment="1">
      <alignment horizontal="center"/>
    </xf>
    <xf numFmtId="0" fontId="51" fillId="14" borderId="12" xfId="0" applyFont="1" applyFill="1" applyBorder="1" applyAlignment="1">
      <alignment horizontal="center"/>
    </xf>
    <xf numFmtId="0" fontId="53" fillId="21" borderId="12" xfId="0" applyFont="1" applyFill="1" applyBorder="1" applyAlignment="1">
      <alignment horizontal="center" wrapText="1"/>
    </xf>
    <xf numFmtId="43" fontId="51" fillId="21" borderId="12" xfId="1" applyFont="1" applyFill="1" applyBorder="1" applyAlignment="1">
      <alignment horizontal="center"/>
    </xf>
    <xf numFmtId="1" fontId="51" fillId="14" borderId="48" xfId="0" applyNumberFormat="1" applyFont="1" applyFill="1" applyBorder="1" applyAlignment="1">
      <alignment horizontal="center"/>
    </xf>
    <xf numFmtId="14" fontId="35" fillId="2" borderId="10" xfId="0" applyNumberFormat="1" applyFont="1" applyFill="1" applyBorder="1" applyAlignment="1">
      <alignment horizontal="center" vertical="center"/>
    </xf>
    <xf numFmtId="14" fontId="36" fillId="2" borderId="27" xfId="0" applyNumberFormat="1" applyFont="1" applyFill="1" applyBorder="1" applyAlignment="1">
      <alignment horizontal="center" vertical="center"/>
    </xf>
    <xf numFmtId="14" fontId="33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46" fillId="2" borderId="12" xfId="0" applyNumberFormat="1" applyFont="1" applyFill="1" applyBorder="1" applyAlignment="1">
      <alignment horizontal="center"/>
    </xf>
    <xf numFmtId="1" fontId="46" fillId="2" borderId="27" xfId="0" applyNumberFormat="1" applyFont="1" applyFill="1" applyBorder="1" applyAlignment="1">
      <alignment horizontal="center" vertical="center"/>
    </xf>
    <xf numFmtId="176" fontId="46" fillId="2" borderId="23" xfId="0" applyNumberFormat="1" applyFont="1" applyFill="1" applyBorder="1" applyAlignment="1">
      <alignment horizontal="center" vertical="center"/>
    </xf>
    <xf numFmtId="176" fontId="46" fillId="2" borderId="11" xfId="0" applyNumberFormat="1" applyFont="1" applyFill="1" applyBorder="1" applyAlignment="1">
      <alignment horizontal="center" vertical="center"/>
    </xf>
    <xf numFmtId="176" fontId="46" fillId="2" borderId="25" xfId="0" applyNumberFormat="1" applyFont="1" applyFill="1" applyBorder="1" applyAlignment="1">
      <alignment horizontal="center" vertical="center"/>
    </xf>
    <xf numFmtId="176" fontId="46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4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2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1" fillId="2" borderId="10" xfId="0" applyNumberFormat="1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2" fillId="16" borderId="10" xfId="0" applyNumberFormat="1" applyFont="1" applyFill="1" applyBorder="1" applyAlignment="1">
      <alignment horizontal="center" vertical="center"/>
    </xf>
    <xf numFmtId="0" fontId="45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49" fillId="16" borderId="0" xfId="0" applyFont="1" applyFill="1"/>
    <xf numFmtId="0" fontId="0" fillId="16" borderId="0" xfId="0" applyFill="1"/>
    <xf numFmtId="14" fontId="11" fillId="16" borderId="10" xfId="0" applyNumberFormat="1" applyFont="1" applyFill="1" applyBorder="1" applyAlignment="1">
      <alignment horizontal="center" vertical="center"/>
    </xf>
    <xf numFmtId="0" fontId="45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9" fillId="16" borderId="0" xfId="3" applyNumberFormat="1" applyFont="1" applyFill="1"/>
    <xf numFmtId="0" fontId="46" fillId="0" borderId="0" xfId="0" applyFont="1" applyAlignment="1">
      <alignment horizontal="center"/>
    </xf>
    <xf numFmtId="0" fontId="11" fillId="2" borderId="28" xfId="0" applyFont="1" applyFill="1" applyBorder="1" applyAlignment="1">
      <alignment horizontal="left" vertical="top" wrapText="1"/>
    </xf>
    <xf numFmtId="0" fontId="46" fillId="18" borderId="7" xfId="0" applyFont="1" applyFill="1" applyBorder="1" applyAlignment="1">
      <alignment horizontal="center"/>
    </xf>
    <xf numFmtId="0" fontId="4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49" fillId="16" borderId="0" xfId="0" applyNumberFormat="1" applyFont="1" applyFill="1"/>
    <xf numFmtId="14" fontId="10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0" fillId="16" borderId="9" xfId="0" applyNumberFormat="1" applyFont="1" applyFill="1" applyBorder="1" applyAlignment="1">
      <alignment horizontal="center" vertical="center"/>
    </xf>
    <xf numFmtId="14" fontId="46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0" fillId="2" borderId="12" xfId="0" applyFont="1" applyFill="1" applyBorder="1" applyAlignment="1">
      <alignment horizontal="left" vertical="center" wrapText="1"/>
    </xf>
    <xf numFmtId="0" fontId="10" fillId="2" borderId="12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 wrapText="1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4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14" fontId="11" fillId="16" borderId="17" xfId="0" applyNumberFormat="1" applyFont="1" applyFill="1" applyBorder="1" applyAlignment="1">
      <alignment horizontal="left" vertical="center"/>
    </xf>
    <xf numFmtId="14" fontId="11" fillId="2" borderId="10" xfId="0" applyNumberFormat="1" applyFont="1" applyFill="1" applyBorder="1" applyAlignment="1">
      <alignment horizontal="left" vertical="center"/>
    </xf>
    <xf numFmtId="14" fontId="11" fillId="2" borderId="17" xfId="0" applyNumberFormat="1" applyFont="1" applyFill="1" applyBorder="1" applyAlignment="1">
      <alignment horizontal="left" vertical="center"/>
    </xf>
    <xf numFmtId="14" fontId="11" fillId="16" borderId="10" xfId="0" applyNumberFormat="1" applyFont="1" applyFill="1" applyBorder="1" applyAlignment="1">
      <alignment horizontal="left" vertical="center"/>
    </xf>
    <xf numFmtId="0" fontId="45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8" fillId="16" borderId="12" xfId="0" applyNumberFormat="1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6" fillId="2" borderId="5" xfId="0" applyNumberFormat="1" applyFont="1" applyFill="1" applyBorder="1" applyAlignment="1">
      <alignment horizontal="center"/>
    </xf>
    <xf numFmtId="1" fontId="46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5" fillId="2" borderId="33" xfId="0" applyNumberFormat="1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" fillId="2" borderId="7" xfId="0" applyFont="1" applyFill="1" applyBorder="1" applyAlignment="1">
      <alignment vertical="center"/>
    </xf>
    <xf numFmtId="14" fontId="5" fillId="16" borderId="12" xfId="0" applyNumberFormat="1" applyFont="1" applyFill="1" applyBorder="1" applyAlignment="1">
      <alignment horizontal="left" vertical="center" wrapText="1"/>
    </xf>
    <xf numFmtId="14" fontId="5" fillId="2" borderId="28" xfId="0" applyNumberFormat="1" applyFont="1" applyFill="1" applyBorder="1" applyAlignment="1">
      <alignment horizontal="center" vertical="center"/>
    </xf>
    <xf numFmtId="14" fontId="5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5" fillId="3" borderId="37" xfId="0" applyFont="1" applyFill="1" applyBorder="1" applyAlignment="1">
      <alignment horizontal="center"/>
    </xf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9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5" fillId="2" borderId="13" xfId="0" applyNumberFormat="1" applyFont="1" applyFill="1" applyBorder="1" applyAlignment="1">
      <alignment vertical="center"/>
    </xf>
    <xf numFmtId="14" fontId="45" fillId="2" borderId="14" xfId="0" applyNumberFormat="1" applyFont="1" applyFill="1" applyBorder="1" applyAlignment="1">
      <alignment vertical="center"/>
    </xf>
    <xf numFmtId="14" fontId="5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1" fillId="18" borderId="29" xfId="2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left" vertical="center" wrapText="1"/>
    </xf>
    <xf numFmtId="14" fontId="4" fillId="2" borderId="12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14" fontId="4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14" fontId="2" fillId="2" borderId="20" xfId="0" applyNumberFormat="1" applyFont="1" applyFill="1" applyBorder="1" applyAlignment="1">
      <alignment horizontal="center" vertical="center"/>
    </xf>
    <xf numFmtId="0" fontId="61" fillId="18" borderId="0" xfId="0" applyFont="1" applyFill="1" applyAlignment="1">
      <alignment horizontal="center"/>
    </xf>
    <xf numFmtId="0" fontId="46" fillId="18" borderId="12" xfId="0" applyFont="1" applyFill="1" applyBorder="1" applyAlignment="1">
      <alignment horizontal="center"/>
    </xf>
    <xf numFmtId="0" fontId="46" fillId="3" borderId="7" xfId="0" applyFont="1" applyFill="1" applyBorder="1" applyAlignment="1">
      <alignment horizontal="center"/>
    </xf>
    <xf numFmtId="0" fontId="46" fillId="3" borderId="8" xfId="0" applyFont="1" applyFill="1" applyBorder="1" applyAlignment="1">
      <alignment horizontal="center"/>
    </xf>
    <xf numFmtId="0" fontId="46" fillId="3" borderId="29" xfId="0" applyFont="1" applyFill="1" applyBorder="1" applyAlignment="1">
      <alignment horizontal="center"/>
    </xf>
    <xf numFmtId="0" fontId="46" fillId="3" borderId="0" xfId="0" applyFont="1" applyFill="1" applyAlignment="1">
      <alignment horizontal="center"/>
    </xf>
    <xf numFmtId="0" fontId="46" fillId="20" borderId="12" xfId="0" applyFont="1" applyFill="1" applyBorder="1" applyAlignment="1">
      <alignment horizontal="center"/>
    </xf>
    <xf numFmtId="0" fontId="53" fillId="3" borderId="41" xfId="0" applyFont="1" applyFill="1" applyBorder="1" applyAlignment="1">
      <alignment horizontal="center" vertical="center" wrapText="1"/>
    </xf>
    <xf numFmtId="0" fontId="52" fillId="3" borderId="42" xfId="0" applyFont="1" applyFill="1" applyBorder="1" applyAlignment="1">
      <alignment vertical="center"/>
    </xf>
    <xf numFmtId="0" fontId="52" fillId="3" borderId="43" xfId="0" applyFont="1" applyFill="1" applyBorder="1" applyAlignment="1">
      <alignment vertical="center"/>
    </xf>
    <xf numFmtId="0" fontId="58" fillId="15" borderId="51" xfId="0" applyFont="1" applyFill="1" applyBorder="1" applyAlignment="1">
      <alignment horizontal="center"/>
    </xf>
    <xf numFmtId="0" fontId="59" fillId="15" borderId="0" xfId="0" applyFont="1" applyFill="1" applyAlignment="1">
      <alignment horizontal="center"/>
    </xf>
    <xf numFmtId="0" fontId="63" fillId="3" borderId="42" xfId="0" applyFont="1" applyFill="1" applyBorder="1" applyAlignment="1">
      <alignment horizontal="center" vertical="center"/>
    </xf>
    <xf numFmtId="0" fontId="63" fillId="3" borderId="43" xfId="0" applyFont="1" applyFill="1" applyBorder="1" applyAlignment="1">
      <alignment horizontal="center" vertical="center"/>
    </xf>
    <xf numFmtId="0" fontId="53" fillId="3" borderId="42" xfId="0" applyFont="1" applyFill="1" applyBorder="1" applyAlignment="1">
      <alignment horizontal="center" vertical="center" wrapText="1"/>
    </xf>
    <xf numFmtId="0" fontId="53" fillId="3" borderId="43" xfId="0" applyFont="1" applyFill="1" applyBorder="1" applyAlignment="1">
      <alignment horizontal="center" vertical="center" wrapText="1"/>
    </xf>
    <xf numFmtId="0" fontId="53" fillId="3" borderId="40" xfId="0" applyFont="1" applyFill="1" applyBorder="1" applyAlignment="1">
      <alignment horizontal="center" vertical="center" wrapText="1"/>
    </xf>
    <xf numFmtId="0" fontId="52" fillId="3" borderId="44" xfId="0" applyFont="1" applyFill="1" applyBorder="1" applyAlignment="1">
      <alignment vertical="center"/>
    </xf>
    <xf numFmtId="1" fontId="53" fillId="3" borderId="41" xfId="0" applyNumberFormat="1" applyFont="1" applyFill="1" applyBorder="1" applyAlignment="1">
      <alignment horizontal="center" vertical="center" wrapText="1"/>
    </xf>
    <xf numFmtId="1" fontId="53" fillId="3" borderId="40" xfId="0" applyNumberFormat="1" applyFont="1" applyFill="1" applyBorder="1" applyAlignment="1">
      <alignment horizontal="center" vertical="center" wrapText="1"/>
    </xf>
    <xf numFmtId="0" fontId="52" fillId="3" borderId="46" xfId="0" applyFont="1" applyFill="1" applyBorder="1" applyAlignment="1">
      <alignment vertical="center"/>
    </xf>
    <xf numFmtId="1" fontId="53" fillId="3" borderId="44" xfId="0" applyNumberFormat="1" applyFont="1" applyFill="1" applyBorder="1" applyAlignment="1">
      <alignment horizontal="center" vertical="center" wrapText="1"/>
    </xf>
    <xf numFmtId="0" fontId="46" fillId="4" borderId="12" xfId="0" applyFont="1" applyFill="1" applyBorder="1" applyAlignment="1">
      <alignment horizontal="center"/>
    </xf>
    <xf numFmtId="14" fontId="66" fillId="2" borderId="1" xfId="0" applyNumberFormat="1" applyFont="1" applyFill="1" applyBorder="1" applyAlignment="1">
      <alignment horizontal="center" vertical="center"/>
    </xf>
    <xf numFmtId="14" fontId="66" fillId="2" borderId="4" xfId="0" applyNumberFormat="1" applyFont="1" applyFill="1" applyBorder="1" applyAlignment="1">
      <alignment horizontal="center" vertical="center"/>
    </xf>
    <xf numFmtId="14" fontId="66" fillId="2" borderId="13" xfId="0" applyNumberFormat="1" applyFont="1" applyFill="1" applyBorder="1" applyAlignment="1">
      <alignment horizontal="center" vertical="center"/>
    </xf>
    <xf numFmtId="14" fontId="66" fillId="2" borderId="14" xfId="0" applyNumberFormat="1" applyFont="1" applyFill="1" applyBorder="1" applyAlignment="1">
      <alignment horizontal="center" vertical="center"/>
    </xf>
    <xf numFmtId="0" fontId="61" fillId="3" borderId="36" xfId="0" applyFont="1" applyFill="1" applyBorder="1" applyAlignment="1">
      <alignment horizontal="center"/>
    </xf>
    <xf numFmtId="0" fontId="61" fillId="3" borderId="55" xfId="0" applyFont="1" applyFill="1" applyBorder="1" applyAlignment="1">
      <alignment horizontal="center"/>
    </xf>
    <xf numFmtId="0" fontId="61" fillId="3" borderId="56" xfId="0" applyFont="1" applyFill="1" applyBorder="1" applyAlignment="1">
      <alignment horizontal="center"/>
    </xf>
    <xf numFmtId="164" fontId="66" fillId="2" borderId="0" xfId="0" applyNumberFormat="1" applyFont="1" applyFill="1" applyAlignment="1">
      <alignment horizontal="center" vertical="center"/>
    </xf>
    <xf numFmtId="0" fontId="66" fillId="2" borderId="53" xfId="0" applyFont="1" applyFill="1" applyBorder="1" applyAlignment="1">
      <alignment horizontal="center" vertical="center"/>
    </xf>
    <xf numFmtId="14" fontId="66" fillId="17" borderId="1" xfId="0" applyNumberFormat="1" applyFont="1" applyFill="1" applyBorder="1" applyAlignment="1">
      <alignment horizontal="center" vertical="center"/>
    </xf>
    <xf numFmtId="14" fontId="66" fillId="17" borderId="4" xfId="0" applyNumberFormat="1" applyFont="1" applyFill="1" applyBorder="1" applyAlignment="1">
      <alignment horizontal="center" vertical="center"/>
    </xf>
    <xf numFmtId="14" fontId="66" fillId="17" borderId="13" xfId="0" applyNumberFormat="1" applyFont="1" applyFill="1" applyBorder="1" applyAlignment="1">
      <alignment horizontal="center" vertical="center"/>
    </xf>
    <xf numFmtId="14" fontId="66" fillId="17" borderId="14" xfId="0" applyNumberFormat="1" applyFont="1" applyFill="1" applyBorder="1" applyAlignment="1">
      <alignment horizontal="center" vertical="center"/>
    </xf>
    <xf numFmtId="164" fontId="66" fillId="17" borderId="5" xfId="0" applyNumberFormat="1" applyFont="1" applyFill="1" applyBorder="1" applyAlignment="1">
      <alignment horizontal="center" vertical="center"/>
    </xf>
    <xf numFmtId="164" fontId="66" fillId="17" borderId="15" xfId="0" applyNumberFormat="1" applyFont="1" applyFill="1" applyBorder="1" applyAlignment="1">
      <alignment horizontal="center" vertical="center"/>
    </xf>
    <xf numFmtId="164" fontId="66" fillId="2" borderId="6" xfId="0" applyNumberFormat="1" applyFont="1" applyFill="1" applyBorder="1" applyAlignment="1">
      <alignment horizontal="center" vertical="center"/>
    </xf>
    <xf numFmtId="0" fontId="66" fillId="2" borderId="16" xfId="0" applyFont="1" applyFill="1" applyBorder="1" applyAlignment="1">
      <alignment horizontal="center" vertical="center"/>
    </xf>
    <xf numFmtId="0" fontId="61" fillId="3" borderId="18" xfId="0" applyFont="1" applyFill="1" applyBorder="1" applyAlignment="1">
      <alignment horizontal="center" vertical="center"/>
    </xf>
    <xf numFmtId="0" fontId="61" fillId="3" borderId="19" xfId="0" applyFont="1" applyFill="1" applyBorder="1" applyAlignment="1">
      <alignment horizontal="center" vertical="center"/>
    </xf>
    <xf numFmtId="164" fontId="66" fillId="2" borderId="5" xfId="0" applyNumberFormat="1" applyFont="1" applyFill="1" applyBorder="1" applyAlignment="1">
      <alignment horizontal="center" vertical="center"/>
    </xf>
    <xf numFmtId="164" fontId="66" fillId="2" borderId="15" xfId="0" applyNumberFormat="1" applyFont="1" applyFill="1" applyBorder="1" applyAlignment="1">
      <alignment horizontal="center" vertical="center"/>
    </xf>
    <xf numFmtId="164" fontId="66" fillId="2" borderId="21" xfId="0" applyNumberFormat="1" applyFont="1" applyFill="1" applyBorder="1" applyAlignment="1">
      <alignment horizontal="center" vertical="center"/>
    </xf>
    <xf numFmtId="14" fontId="61" fillId="4" borderId="18" xfId="0" applyNumberFormat="1" applyFont="1" applyFill="1" applyBorder="1" applyAlignment="1">
      <alignment horizontal="center" vertical="center"/>
    </xf>
    <xf numFmtId="14" fontId="61" fillId="4" borderId="19" xfId="0" applyNumberFormat="1" applyFont="1" applyFill="1" applyBorder="1" applyAlignment="1">
      <alignment horizontal="center" vertical="center"/>
    </xf>
    <xf numFmtId="0" fontId="61" fillId="4" borderId="24" xfId="0" applyFont="1" applyFill="1" applyBorder="1" applyAlignment="1">
      <alignment horizontal="center"/>
    </xf>
    <xf numFmtId="0" fontId="61" fillId="4" borderId="17" xfId="0" applyFont="1" applyFill="1" applyBorder="1" applyAlignment="1">
      <alignment horizontal="center"/>
    </xf>
    <xf numFmtId="0" fontId="66" fillId="2" borderId="20" xfId="0" applyFont="1" applyFill="1" applyBorder="1" applyAlignment="1">
      <alignment horizontal="left" wrapText="1"/>
    </xf>
    <xf numFmtId="0" fontId="66" fillId="2" borderId="28" xfId="0" applyFont="1" applyFill="1" applyBorder="1" applyAlignment="1">
      <alignment horizontal="left" wrapText="1"/>
    </xf>
    <xf numFmtId="0" fontId="56" fillId="16" borderId="36" xfId="0" applyFont="1" applyFill="1" applyBorder="1" applyAlignment="1">
      <alignment horizontal="center"/>
    </xf>
    <xf numFmtId="0" fontId="56" fillId="16" borderId="55" xfId="0" applyFont="1" applyFill="1" applyBorder="1" applyAlignment="1">
      <alignment horizontal="center"/>
    </xf>
    <xf numFmtId="0" fontId="56" fillId="16" borderId="56" xfId="0" applyFont="1" applyFill="1" applyBorder="1" applyAlignment="1">
      <alignment horizontal="center"/>
    </xf>
    <xf numFmtId="0" fontId="46" fillId="4" borderId="1" xfId="0" applyFont="1" applyFill="1" applyBorder="1" applyAlignment="1">
      <alignment horizontal="center"/>
    </xf>
    <xf numFmtId="0" fontId="46" fillId="4" borderId="2" xfId="0" applyFont="1" applyFill="1" applyBorder="1" applyAlignment="1">
      <alignment horizontal="center"/>
    </xf>
    <xf numFmtId="0" fontId="46" fillId="4" borderId="3" xfId="0" applyFont="1" applyFill="1" applyBorder="1" applyAlignment="1">
      <alignment horizontal="center"/>
    </xf>
    <xf numFmtId="0" fontId="46" fillId="4" borderId="18" xfId="0" applyFont="1" applyFill="1" applyBorder="1" applyAlignment="1">
      <alignment horizontal="center"/>
    </xf>
    <xf numFmtId="0" fontId="46" fillId="4" borderId="0" xfId="0" applyFont="1" applyFill="1" applyAlignment="1">
      <alignment horizontal="center"/>
    </xf>
    <xf numFmtId="0" fontId="46" fillId="4" borderId="67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46" fillId="18" borderId="7" xfId="0" applyFont="1" applyFill="1" applyBorder="1" applyAlignment="1">
      <alignment horizontal="center"/>
    </xf>
    <xf numFmtId="0" fontId="46" fillId="18" borderId="29" xfId="0" applyFont="1" applyFill="1" applyBorder="1" applyAlignment="1">
      <alignment horizontal="center"/>
    </xf>
    <xf numFmtId="0" fontId="46" fillId="18" borderId="8" xfId="0" applyFont="1" applyFill="1" applyBorder="1" applyAlignment="1">
      <alignment horizontal="center"/>
    </xf>
    <xf numFmtId="0" fontId="46" fillId="18" borderId="12" xfId="0" applyFont="1" applyFill="1" applyBorder="1" applyAlignment="1">
      <alignment horizontal="center" vertical="center"/>
    </xf>
    <xf numFmtId="0" fontId="65" fillId="4" borderId="36" xfId="0" applyFont="1" applyFill="1" applyBorder="1" applyAlignment="1">
      <alignment horizontal="center"/>
    </xf>
    <xf numFmtId="0" fontId="65" fillId="4" borderId="55" xfId="0" applyFont="1" applyFill="1" applyBorder="1" applyAlignment="1">
      <alignment horizontal="center"/>
    </xf>
    <xf numFmtId="0" fontId="65" fillId="4" borderId="56" xfId="0" applyFont="1" applyFill="1" applyBorder="1" applyAlignment="1">
      <alignment horizontal="center"/>
    </xf>
    <xf numFmtId="0" fontId="46" fillId="18" borderId="20" xfId="0" applyFont="1" applyFill="1" applyBorder="1" applyAlignment="1">
      <alignment horizontal="center" vertical="center"/>
    </xf>
    <xf numFmtId="0" fontId="46" fillId="18" borderId="21" xfId="0" applyFont="1" applyFill="1" applyBorder="1" applyAlignment="1">
      <alignment horizontal="center" vertical="center"/>
    </xf>
    <xf numFmtId="0" fontId="46" fillId="18" borderId="28" xfId="0" applyFont="1" applyFill="1" applyBorder="1" applyAlignment="1">
      <alignment horizontal="center" vertical="center"/>
    </xf>
    <xf numFmtId="17" fontId="65" fillId="4" borderId="36" xfId="0" applyNumberFormat="1" applyFont="1" applyFill="1" applyBorder="1" applyAlignment="1">
      <alignment horizontal="center"/>
    </xf>
    <xf numFmtId="17" fontId="65" fillId="4" borderId="55" xfId="0" applyNumberFormat="1" applyFont="1" applyFill="1" applyBorder="1" applyAlignment="1">
      <alignment horizontal="center"/>
    </xf>
    <xf numFmtId="17" fontId="65" fillId="4" borderId="56" xfId="0" applyNumberFormat="1" applyFont="1" applyFill="1" applyBorder="1" applyAlignment="1">
      <alignment horizontal="center"/>
    </xf>
    <xf numFmtId="0" fontId="46" fillId="18" borderId="30" xfId="0" applyFont="1" applyFill="1" applyBorder="1" applyAlignment="1">
      <alignment horizontal="center" vertical="center"/>
    </xf>
    <xf numFmtId="0" fontId="46" fillId="18" borderId="34" xfId="0" applyFont="1" applyFill="1" applyBorder="1" applyAlignment="1">
      <alignment horizontal="center" vertical="center"/>
    </xf>
    <xf numFmtId="0" fontId="46" fillId="18" borderId="31" xfId="0" applyFont="1" applyFill="1" applyBorder="1" applyAlignment="1">
      <alignment horizontal="center" vertical="center"/>
    </xf>
    <xf numFmtId="0" fontId="46" fillId="18" borderId="32" xfId="0" applyFont="1" applyFill="1" applyBorder="1" applyAlignment="1">
      <alignment horizontal="center" vertical="center"/>
    </xf>
    <xf numFmtId="0" fontId="46" fillId="18" borderId="53" xfId="0" applyFont="1" applyFill="1" applyBorder="1" applyAlignment="1">
      <alignment horizontal="center" vertical="center"/>
    </xf>
    <xf numFmtId="0" fontId="46" fillId="18" borderId="33" xfId="0" applyFont="1" applyFill="1" applyBorder="1" applyAlignment="1">
      <alignment horizontal="center" vertical="center"/>
    </xf>
    <xf numFmtId="0" fontId="46" fillId="18" borderId="0" xfId="0" applyFont="1" applyFill="1" applyAlignment="1">
      <alignment horizontal="center"/>
    </xf>
    <xf numFmtId="14" fontId="45" fillId="2" borderId="1" xfId="0" applyNumberFormat="1" applyFont="1" applyFill="1" applyBorder="1" applyAlignment="1">
      <alignment horizontal="center" vertical="center"/>
    </xf>
    <xf numFmtId="14" fontId="45" fillId="2" borderId="4" xfId="0" applyNumberFormat="1" applyFont="1" applyFill="1" applyBorder="1" applyAlignment="1">
      <alignment horizontal="center" vertical="center"/>
    </xf>
    <xf numFmtId="14" fontId="45" fillId="2" borderId="13" xfId="0" applyNumberFormat="1" applyFont="1" applyFill="1" applyBorder="1" applyAlignment="1">
      <alignment horizontal="center" vertical="center"/>
    </xf>
    <xf numFmtId="14" fontId="45" fillId="2" borderId="14" xfId="0" applyNumberFormat="1" applyFont="1" applyFill="1" applyBorder="1" applyAlignment="1">
      <alignment horizontal="center" vertical="center"/>
    </xf>
    <xf numFmtId="14" fontId="45" fillId="2" borderId="18" xfId="0" applyNumberFormat="1" applyFont="1" applyFill="1" applyBorder="1" applyAlignment="1">
      <alignment horizontal="center" vertical="center"/>
    </xf>
    <xf numFmtId="14" fontId="45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6" fillId="2" borderId="5" xfId="0" applyNumberFormat="1" applyFont="1" applyFill="1" applyBorder="1" applyAlignment="1">
      <alignment horizontal="center"/>
    </xf>
    <xf numFmtId="1" fontId="46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46" fillId="3" borderId="30" xfId="0" applyFont="1" applyFill="1" applyBorder="1" applyAlignment="1">
      <alignment horizontal="center"/>
    </xf>
    <xf numFmtId="0" fontId="46" fillId="3" borderId="31" xfId="0" applyFont="1" applyFill="1" applyBorder="1" applyAlignment="1">
      <alignment horizontal="center"/>
    </xf>
    <xf numFmtId="14" fontId="45" fillId="16" borderId="1" xfId="0" applyNumberFormat="1" applyFont="1" applyFill="1" applyBorder="1" applyAlignment="1">
      <alignment horizontal="center" vertical="center"/>
    </xf>
    <xf numFmtId="14" fontId="45" fillId="16" borderId="4" xfId="0" applyNumberFormat="1" applyFont="1" applyFill="1" applyBorder="1" applyAlignment="1">
      <alignment horizontal="center" vertical="center"/>
    </xf>
    <xf numFmtId="14" fontId="45" fillId="16" borderId="13" xfId="0" applyNumberFormat="1" applyFont="1" applyFill="1" applyBorder="1" applyAlignment="1">
      <alignment horizontal="center" vertical="center"/>
    </xf>
    <xf numFmtId="14" fontId="45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4" fontId="9" fillId="2" borderId="5" xfId="0" applyNumberFormat="1" applyFont="1" applyFill="1" applyBorder="1" applyAlignment="1">
      <alignment horizontal="left" vertical="center" wrapText="1"/>
    </xf>
    <xf numFmtId="14" fontId="45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5" fillId="16" borderId="12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46" fillId="2" borderId="5" xfId="0" applyNumberFormat="1" applyFont="1" applyFill="1" applyBorder="1" applyAlignment="1">
      <alignment horizontal="center" vertical="center"/>
    </xf>
    <xf numFmtId="1" fontId="46" fillId="2" borderId="15" xfId="0" applyNumberFormat="1" applyFon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0" fontId="0" fillId="2" borderId="28" xfId="0" applyFill="1" applyBorder="1" applyAlignment="1">
      <alignment horizontal="center" vertical="center"/>
    </xf>
    <xf numFmtId="0" fontId="56" fillId="20" borderId="7" xfId="0" applyFont="1" applyFill="1" applyBorder="1" applyAlignment="1">
      <alignment horizontal="center"/>
    </xf>
    <xf numFmtId="0" fontId="56" fillId="20" borderId="8" xfId="0" applyFont="1" applyFill="1" applyBorder="1" applyAlignment="1">
      <alignment horizontal="center"/>
    </xf>
    <xf numFmtId="0" fontId="46" fillId="2" borderId="0" xfId="0" applyFont="1" applyFill="1" applyAlignment="1">
      <alignment horizontal="center"/>
    </xf>
    <xf numFmtId="14" fontId="43" fillId="2" borderId="32" xfId="0" applyNumberFormat="1" applyFont="1" applyFill="1" applyBorder="1" applyAlignment="1">
      <alignment horizontal="center" vertical="center"/>
    </xf>
    <xf numFmtId="14" fontId="45" fillId="2" borderId="33" xfId="0" applyNumberFormat="1" applyFont="1" applyFill="1" applyBorder="1" applyAlignment="1">
      <alignment horizontal="center" vertical="center"/>
    </xf>
    <xf numFmtId="0" fontId="46" fillId="3" borderId="34" xfId="0" applyFont="1" applyFill="1" applyBorder="1" applyAlignment="1">
      <alignment horizontal="center"/>
    </xf>
    <xf numFmtId="0" fontId="45" fillId="3" borderId="36" xfId="0" applyFont="1" applyFill="1" applyBorder="1" applyAlignment="1">
      <alignment horizontal="center"/>
    </xf>
    <xf numFmtId="0" fontId="45" fillId="3" borderId="37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14" fontId="23" fillId="2" borderId="32" xfId="0" applyNumberFormat="1" applyFont="1" applyFill="1" applyBorder="1" applyAlignment="1">
      <alignment horizontal="center" vertical="center"/>
    </xf>
    <xf numFmtId="14" fontId="45" fillId="2" borderId="32" xfId="0" applyNumberFormat="1" applyFont="1" applyFill="1" applyBorder="1" applyAlignment="1">
      <alignment horizontal="center" vertical="center"/>
    </xf>
    <xf numFmtId="0" fontId="60" fillId="4" borderId="1" xfId="0" applyFont="1" applyFill="1" applyBorder="1" applyAlignment="1">
      <alignment horizontal="center" vertical="center"/>
    </xf>
    <xf numFmtId="0" fontId="60" fillId="4" borderId="2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0" fontId="60" fillId="4" borderId="13" xfId="0" applyFont="1" applyFill="1" applyBorder="1" applyAlignment="1">
      <alignment horizontal="center" vertical="center"/>
    </xf>
    <xf numFmtId="0" fontId="60" fillId="4" borderId="51" xfId="0" applyFont="1" applyFill="1" applyBorder="1" applyAlignment="1">
      <alignment horizontal="center" vertical="center"/>
    </xf>
    <xf numFmtId="0" fontId="60" fillId="4" borderId="26" xfId="0" applyFont="1" applyFill="1" applyBorder="1" applyAlignment="1">
      <alignment horizontal="center" vertical="center"/>
    </xf>
    <xf numFmtId="0" fontId="51" fillId="8" borderId="12" xfId="0" applyFont="1" applyFill="1" applyBorder="1" applyAlignment="1">
      <alignment horizontal="center" vertical="center"/>
    </xf>
    <xf numFmtId="0" fontId="51" fillId="8" borderId="20" xfId="0" applyFont="1" applyFill="1" applyBorder="1" applyAlignment="1">
      <alignment horizontal="center" vertical="center"/>
    </xf>
    <xf numFmtId="0" fontId="51" fillId="8" borderId="21" xfId="0" applyFont="1" applyFill="1" applyBorder="1" applyAlignment="1">
      <alignment horizontal="center" vertical="center"/>
    </xf>
    <xf numFmtId="0" fontId="5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21" xfId="0" applyFont="1" applyFill="1" applyBorder="1" applyAlignment="1">
      <alignment horizontal="center"/>
    </xf>
    <xf numFmtId="0" fontId="52" fillId="2" borderId="28" xfId="0" applyFont="1" applyFill="1" applyBorder="1" applyAlignment="1">
      <alignment horizontal="center"/>
    </xf>
    <xf numFmtId="0" fontId="51" fillId="2" borderId="59" xfId="0" applyFont="1" applyFill="1" applyBorder="1" applyAlignment="1">
      <alignment horizontal="center" vertical="top" wrapText="1"/>
    </xf>
    <xf numFmtId="0" fontId="51" fillId="2" borderId="61" xfId="0" applyFont="1" applyFill="1" applyBorder="1" applyAlignment="1">
      <alignment horizontal="center" vertical="top" wrapText="1"/>
    </xf>
    <xf numFmtId="0" fontId="51" fillId="2" borderId="62" xfId="0" applyFont="1" applyFill="1" applyBorder="1" applyAlignment="1">
      <alignment horizontal="center" vertical="top" wrapText="1"/>
    </xf>
    <xf numFmtId="0" fontId="51" fillId="2" borderId="63" xfId="0" applyFont="1" applyFill="1" applyBorder="1" applyAlignment="1">
      <alignment horizontal="center" vertical="top" wrapText="1"/>
    </xf>
    <xf numFmtId="0" fontId="51" fillId="2" borderId="64" xfId="0" applyFont="1" applyFill="1" applyBorder="1" applyAlignment="1">
      <alignment horizontal="center" vertical="top" wrapText="1"/>
    </xf>
    <xf numFmtId="0" fontId="5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2" fillId="2" borderId="12" xfId="0" applyFont="1" applyFill="1" applyBorder="1"/>
    <xf numFmtId="14" fontId="51" fillId="7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 vertical="center"/>
    </xf>
    <xf numFmtId="14" fontId="51" fillId="7" borderId="20" xfId="0" applyNumberFormat="1" applyFont="1" applyFill="1" applyBorder="1" applyAlignment="1">
      <alignment horizontal="center" vertical="center"/>
    </xf>
    <xf numFmtId="14" fontId="51" fillId="7" borderId="21" xfId="0" applyNumberFormat="1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/>
    </xf>
    <xf numFmtId="14" fontId="51" fillId="7" borderId="57" xfId="0" applyNumberFormat="1" applyFont="1" applyFill="1" applyBorder="1" applyAlignment="1">
      <alignment horizontal="center" vertical="center"/>
    </xf>
    <xf numFmtId="14" fontId="51" fillId="7" borderId="60" xfId="0" applyNumberFormat="1" applyFont="1" applyFill="1" applyBorder="1" applyAlignment="1">
      <alignment horizontal="center" vertical="center"/>
    </xf>
    <xf numFmtId="14" fontId="51" fillId="7" borderId="24" xfId="0" applyNumberFormat="1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2" fillId="2" borderId="20" xfId="0" applyFont="1" applyFill="1" applyBorder="1" applyAlignment="1">
      <alignment horizontal="center" vertical="center"/>
    </xf>
    <xf numFmtId="0" fontId="52" fillId="2" borderId="21" xfId="0" applyFont="1" applyFill="1" applyBorder="1" applyAlignment="1">
      <alignment horizontal="center" vertical="center"/>
    </xf>
    <xf numFmtId="0" fontId="52" fillId="2" borderId="28" xfId="0" applyFont="1" applyFill="1" applyBorder="1" applyAlignment="1">
      <alignment horizontal="center" vertical="center"/>
    </xf>
    <xf numFmtId="0" fontId="53" fillId="11" borderId="7" xfId="0" applyFont="1" applyFill="1" applyBorder="1" applyAlignment="1">
      <alignment horizontal="center" vertical="center"/>
    </xf>
    <xf numFmtId="0" fontId="53" fillId="11" borderId="29" xfId="0" applyFont="1" applyFill="1" applyBorder="1" applyAlignment="1">
      <alignment horizontal="center" vertical="center"/>
    </xf>
    <xf numFmtId="0" fontId="53" fillId="11" borderId="8" xfId="0" applyFont="1" applyFill="1" applyBorder="1" applyAlignment="1">
      <alignment horizontal="center" vertical="center"/>
    </xf>
    <xf numFmtId="20" fontId="53" fillId="11" borderId="7" xfId="0" applyNumberFormat="1" applyFont="1" applyFill="1" applyBorder="1" applyAlignment="1">
      <alignment horizontal="center" vertical="center"/>
    </xf>
    <xf numFmtId="20" fontId="53" fillId="11" borderId="29" xfId="0" applyNumberFormat="1" applyFont="1" applyFill="1" applyBorder="1" applyAlignment="1">
      <alignment horizontal="center" vertical="center"/>
    </xf>
    <xf numFmtId="20" fontId="53" fillId="11" borderId="8" xfId="0" applyNumberFormat="1" applyFont="1" applyFill="1" applyBorder="1" applyAlignment="1">
      <alignment horizontal="center" vertical="center"/>
    </xf>
    <xf numFmtId="20" fontId="55" fillId="10" borderId="7" xfId="0" applyNumberFormat="1" applyFont="1" applyFill="1" applyBorder="1" applyAlignment="1">
      <alignment horizontal="center"/>
    </xf>
    <xf numFmtId="20" fontId="55" fillId="10" borderId="29" xfId="0" applyNumberFormat="1" applyFont="1" applyFill="1" applyBorder="1" applyAlignment="1">
      <alignment horizontal="center"/>
    </xf>
    <xf numFmtId="20" fontId="55" fillId="10" borderId="8" xfId="0" applyNumberFormat="1" applyFont="1" applyFill="1" applyBorder="1" applyAlignment="1">
      <alignment horizontal="center"/>
    </xf>
    <xf numFmtId="14" fontId="51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2" xfId="0" applyFont="1" applyFill="1" applyBorder="1" applyAlignment="1">
      <alignment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14" fontId="3" fillId="16" borderId="10" xfId="0" applyNumberFormat="1" applyFont="1" applyFill="1" applyBorder="1" applyAlignment="1">
      <alignment horizontal="left" vertical="center" wrapText="1"/>
    </xf>
    <xf numFmtId="14" fontId="1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1" fillId="16" borderId="17" xfId="0" applyNumberFormat="1" applyFont="1" applyFill="1" applyBorder="1" applyAlignment="1">
      <alignment horizontal="center" vertic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1.2658923534220321</c:v>
                </c:pt>
                <c:pt idx="1">
                  <c:v>2.7265373766012999</c:v>
                </c:pt>
                <c:pt idx="2">
                  <c:v>1.9475266975723573</c:v>
                </c:pt>
                <c:pt idx="3">
                  <c:v>5.8425800927170715E-2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31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40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34" t="s">
        <v>125</v>
      </c>
      <c r="I1" s="634"/>
      <c r="J1" s="634"/>
      <c r="K1" s="634"/>
      <c r="L1" s="634"/>
      <c r="M1" s="634"/>
      <c r="N1" s="634"/>
      <c r="O1" s="634"/>
      <c r="P1" s="634"/>
      <c r="Q1" s="634"/>
      <c r="R1" s="634"/>
      <c r="S1" s="634"/>
      <c r="T1" s="634"/>
      <c r="U1" s="634"/>
      <c r="V1" s="634"/>
      <c r="W1" s="634"/>
      <c r="X1" s="634"/>
      <c r="Y1" s="634"/>
      <c r="Z1" s="634"/>
      <c r="AA1" s="634"/>
      <c r="AB1" s="634"/>
      <c r="AC1" s="634"/>
      <c r="AD1" s="634"/>
      <c r="AE1" s="634"/>
      <c r="AF1" s="634"/>
      <c r="AG1" s="634"/>
      <c r="AH1" s="634"/>
      <c r="AI1" s="634"/>
      <c r="AJ1" s="634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35" t="s">
        <v>126</v>
      </c>
      <c r="I2" s="635"/>
      <c r="J2" s="635"/>
      <c r="K2" s="635"/>
      <c r="L2" s="635"/>
      <c r="M2" s="635"/>
      <c r="N2" s="635"/>
      <c r="O2" s="635"/>
      <c r="P2" s="635"/>
      <c r="Q2" s="635"/>
      <c r="R2" s="635"/>
      <c r="S2" s="635"/>
      <c r="T2" s="635"/>
      <c r="U2" s="635"/>
      <c r="V2" s="635"/>
      <c r="W2" s="635"/>
      <c r="X2" s="635"/>
      <c r="Y2" s="635"/>
      <c r="Z2" s="635"/>
      <c r="AA2" s="635"/>
      <c r="AB2" s="635"/>
      <c r="AC2" s="635"/>
      <c r="AD2" s="635"/>
      <c r="AE2" s="635"/>
      <c r="AF2" s="635"/>
      <c r="AG2" s="635"/>
      <c r="AH2" s="635"/>
      <c r="AI2" s="635"/>
      <c r="AJ2" s="635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40" t="s">
        <v>73</v>
      </c>
      <c r="C5" s="642" t="s">
        <v>74</v>
      </c>
      <c r="D5" s="632"/>
      <c r="E5" s="632"/>
      <c r="F5" s="632"/>
      <c r="G5" s="632"/>
      <c r="H5" s="633"/>
      <c r="I5" s="643" t="s">
        <v>444</v>
      </c>
      <c r="J5" s="643" t="s">
        <v>327</v>
      </c>
      <c r="K5" s="631" t="s">
        <v>75</v>
      </c>
      <c r="L5" s="632"/>
      <c r="M5" s="632"/>
      <c r="N5" s="640" t="s">
        <v>76</v>
      </c>
      <c r="O5" s="636" t="s">
        <v>178</v>
      </c>
      <c r="P5" s="636"/>
      <c r="Q5" s="636"/>
      <c r="R5" s="636"/>
      <c r="S5" s="636"/>
      <c r="T5" s="636"/>
      <c r="U5" s="636"/>
      <c r="V5" s="636"/>
      <c r="W5" s="636"/>
      <c r="X5" s="636"/>
      <c r="Y5" s="637"/>
      <c r="Z5" s="631" t="s">
        <v>77</v>
      </c>
      <c r="AA5" s="638"/>
      <c r="AB5" s="638"/>
      <c r="AC5" s="638"/>
      <c r="AD5" s="638"/>
      <c r="AE5" s="638"/>
      <c r="AF5" s="638"/>
      <c r="AG5" s="639"/>
      <c r="AH5" s="631" t="s">
        <v>78</v>
      </c>
      <c r="AI5" s="633"/>
      <c r="AJ5" s="631" t="s">
        <v>79</v>
      </c>
      <c r="AK5" s="632"/>
      <c r="AL5" s="632"/>
      <c r="AM5" s="632"/>
      <c r="AN5" s="632"/>
      <c r="AO5" s="633"/>
      <c r="AP5" s="631" t="s">
        <v>80</v>
      </c>
      <c r="AQ5" s="633"/>
      <c r="AR5" s="85"/>
      <c r="AS5" s="95" t="s">
        <v>81</v>
      </c>
    </row>
    <row r="6" spans="1:45" ht="29.4" thickBot="1" x14ac:dyDescent="0.35">
      <c r="A6" s="94"/>
      <c r="B6" s="641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41"/>
      <c r="J6" s="645"/>
      <c r="K6" s="96" t="s">
        <v>87</v>
      </c>
      <c r="L6" s="96" t="s">
        <v>88</v>
      </c>
      <c r="M6" s="96" t="s">
        <v>127</v>
      </c>
      <c r="N6" s="644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Consumption'!O25</f>
        <v>0</v>
      </c>
      <c r="AA21" s="99">
        <f>'Fuel Consumption'!F18</f>
        <v>0</v>
      </c>
      <c r="AB21" s="103">
        <f>'Reagent Consumption'!Q25</f>
        <v>0</v>
      </c>
      <c r="AC21" s="103">
        <f>'Reagent Consumption'!P25</f>
        <v>0</v>
      </c>
      <c r="AD21" s="103">
        <f>'Reagent Consumption'!R25</f>
        <v>0</v>
      </c>
      <c r="AE21" s="103">
        <f>'Reagent Consumption'!S25</f>
        <v>0</v>
      </c>
      <c r="AF21" s="103">
        <f>'Reagent Consumption'!T25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Consumption'!O26</f>
        <v>0</v>
      </c>
      <c r="AA22" s="99">
        <f>'Fuel Consumption'!F19</f>
        <v>0</v>
      </c>
      <c r="AB22" s="103">
        <f>'Reagent Consumption'!Q26</f>
        <v>0</v>
      </c>
      <c r="AC22" s="103">
        <f>'Reagent Consumption'!P26</f>
        <v>0</v>
      </c>
      <c r="AD22" s="103">
        <f>'Reagent Consumption'!R26</f>
        <v>0</v>
      </c>
      <c r="AE22" s="103">
        <f>'Reagent Consumption'!S26</f>
        <v>0</v>
      </c>
      <c r="AF22" s="103">
        <f>'Reagent Consumption'!T26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Consumption'!O27</f>
        <v>0</v>
      </c>
      <c r="AA23" s="99">
        <f>'Fuel Consumption'!F20</f>
        <v>0</v>
      </c>
      <c r="AB23" s="103">
        <f>'Reagent Consumption'!Q27</f>
        <v>0</v>
      </c>
      <c r="AC23" s="103">
        <f>'Reagent Consumption'!P27</f>
        <v>0</v>
      </c>
      <c r="AD23" s="103">
        <f>'Reagent Consumption'!R27</f>
        <v>0</v>
      </c>
      <c r="AE23" s="103">
        <f>'Reagent Consumption'!S27</f>
        <v>0</v>
      </c>
      <c r="AF23" s="103">
        <f>'Reagent Consumption'!T27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Consumption'!O28</f>
        <v>0</v>
      </c>
      <c r="AA24" s="99">
        <f>'Fuel Consumption'!F21</f>
        <v>0</v>
      </c>
      <c r="AB24" s="103">
        <f>'Reagent Consumption'!Q28</f>
        <v>0</v>
      </c>
      <c r="AC24" s="103">
        <f>'Reagent Consumption'!P28</f>
        <v>0</v>
      </c>
      <c r="AD24" s="103">
        <f>'Reagent Consumption'!R28</f>
        <v>0</v>
      </c>
      <c r="AE24" s="103">
        <f>'Reagent Consumption'!S28</f>
        <v>0</v>
      </c>
      <c r="AF24" s="103">
        <f>'Reagent Consumption'!T28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Consumption'!O29</f>
        <v>0</v>
      </c>
      <c r="AA25" s="99">
        <f>'Fuel Consumption'!F22</f>
        <v>0</v>
      </c>
      <c r="AB25" s="103">
        <f>'Reagent Consumption'!Q29</f>
        <v>0</v>
      </c>
      <c r="AC25" s="103">
        <f>'Reagent Consumption'!P29</f>
        <v>0</v>
      </c>
      <c r="AD25" s="103">
        <f>'Reagent Consumption'!R29</f>
        <v>0</v>
      </c>
      <c r="AE25" s="103">
        <f>'Reagent Consumption'!S29</f>
        <v>0</v>
      </c>
      <c r="AF25" s="103">
        <f>'Reagent Consumption'!T29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Consumption'!O30</f>
        <v>0</v>
      </c>
      <c r="AA26" s="99">
        <f>'Fuel Consumption'!F23</f>
        <v>0</v>
      </c>
      <c r="AB26" s="103">
        <f>'Reagent Consumption'!Q30</f>
        <v>0</v>
      </c>
      <c r="AC26" s="103">
        <f>'Reagent Consumption'!P30</f>
        <v>0</v>
      </c>
      <c r="AD26" s="103">
        <f>'Reagent Consumption'!R30</f>
        <v>0</v>
      </c>
      <c r="AE26" s="103">
        <f>'Reagent Consumption'!S30</f>
        <v>0</v>
      </c>
      <c r="AF26" s="103">
        <f>'Reagent Consumption'!T30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Consumption'!O31</f>
        <v>0</v>
      </c>
      <c r="AA27" s="99">
        <f>'Fuel Consumption'!F24</f>
        <v>0</v>
      </c>
      <c r="AB27" s="103">
        <f>'Reagent Consumption'!Q31</f>
        <v>0</v>
      </c>
      <c r="AC27" s="103">
        <f>'Reagent Consumption'!P31</f>
        <v>0</v>
      </c>
      <c r="AD27" s="103">
        <f>'Reagent Consumption'!R31</f>
        <v>0</v>
      </c>
      <c r="AE27" s="103">
        <f>'Reagent Consumption'!S31</f>
        <v>0</v>
      </c>
      <c r="AF27" s="103">
        <f>'Reagent Consumption'!T31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Consumption'!O32</f>
        <v>0</v>
      </c>
      <c r="AA28" s="99">
        <f>'Fuel Consumption'!F25</f>
        <v>0</v>
      </c>
      <c r="AB28" s="103">
        <f>'Reagent Consumption'!Q32</f>
        <v>0</v>
      </c>
      <c r="AC28" s="103">
        <f>'Reagent Consumption'!P32</f>
        <v>0</v>
      </c>
      <c r="AD28" s="103">
        <f>'Reagent Consumption'!R32</f>
        <v>0</v>
      </c>
      <c r="AE28" s="103">
        <f>'Reagent Consumption'!S32</f>
        <v>0</v>
      </c>
      <c r="AF28" s="103">
        <f>'Reagent Consumption'!T32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Consumption'!O33</f>
        <v>0</v>
      </c>
      <c r="AA29" s="99">
        <f>'Fuel Consumption'!F26</f>
        <v>0</v>
      </c>
      <c r="AB29" s="103">
        <f>'Reagent Consumption'!Q33</f>
        <v>0</v>
      </c>
      <c r="AC29" s="103">
        <f>'Reagent Consumption'!P33</f>
        <v>0</v>
      </c>
      <c r="AD29" s="103">
        <f>'Reagent Consumption'!R33</f>
        <v>0</v>
      </c>
      <c r="AE29" s="103">
        <f>'Reagent Consumption'!S33</f>
        <v>0</v>
      </c>
      <c r="AF29" s="103">
        <f>'Reagent Consumption'!T33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Consumption'!O34</f>
        <v>0</v>
      </c>
      <c r="AA30" s="99">
        <f>'Fuel Consumption'!F27</f>
        <v>0</v>
      </c>
      <c r="AB30" s="103">
        <f>'Reagent Consumption'!Q34</f>
        <v>0</v>
      </c>
      <c r="AC30" s="103">
        <f>'Reagent Consumption'!P34</f>
        <v>0</v>
      </c>
      <c r="AD30" s="103">
        <f>'Reagent Consumption'!R34</f>
        <v>0</v>
      </c>
      <c r="AE30" s="103">
        <f>'Reagent Consumption'!S34</f>
        <v>0</v>
      </c>
      <c r="AF30" s="103">
        <f>'Reagent Consumption'!T34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Consumption'!O35</f>
        <v>0</v>
      </c>
      <c r="AA31" s="99">
        <f>'Fuel Consumption'!F28</f>
        <v>0</v>
      </c>
      <c r="AB31" s="103">
        <f>'Reagent Consumption'!Q35</f>
        <v>0</v>
      </c>
      <c r="AC31" s="103">
        <f>'Reagent Consumption'!P35</f>
        <v>0</v>
      </c>
      <c r="AD31" s="103">
        <f>'Reagent Consumption'!R35</f>
        <v>0</v>
      </c>
      <c r="AE31" s="103">
        <f>'Reagent Consumption'!S35</f>
        <v>0</v>
      </c>
      <c r="AF31" s="103">
        <f>'Reagent Consumption'!T35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Consumption'!O36</f>
        <v>0</v>
      </c>
      <c r="AA32" s="99">
        <f>'Fuel Consumption'!F29</f>
        <v>0</v>
      </c>
      <c r="AB32" s="103">
        <f>'Reagent Consumption'!Q36</f>
        <v>0</v>
      </c>
      <c r="AC32" s="103">
        <f>'Reagent Consumption'!P36</f>
        <v>0</v>
      </c>
      <c r="AD32" s="103">
        <f>'Reagent Consumption'!R36</f>
        <v>0</v>
      </c>
      <c r="AE32" s="103">
        <f>'Reagent Consumption'!S36</f>
        <v>0</v>
      </c>
      <c r="AF32" s="103">
        <f>'Reagent Consumption'!T36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Consumption'!O37</f>
        <v>0</v>
      </c>
      <c r="AA33" s="99">
        <f>'Fuel Consumption'!F30</f>
        <v>0</v>
      </c>
      <c r="AB33" s="103">
        <f>'Reagent Consumption'!Q37</f>
        <v>0</v>
      </c>
      <c r="AC33" s="103">
        <f>'Reagent Consumption'!P37</f>
        <v>0</v>
      </c>
      <c r="AD33" s="103">
        <f>'Reagent Consumption'!R37</f>
        <v>0</v>
      </c>
      <c r="AE33" s="103">
        <f>'Reagent Consumption'!S37</f>
        <v>0</v>
      </c>
      <c r="AF33" s="103">
        <f>'Reagent Consumption'!T37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Consumption'!O38</f>
        <v>0</v>
      </c>
      <c r="AA34" s="99">
        <f>'Fuel Consumption'!F31</f>
        <v>0</v>
      </c>
      <c r="AB34" s="103">
        <f>'Reagent Consumption'!Q38</f>
        <v>0</v>
      </c>
      <c r="AC34" s="103">
        <f>'Reagent Consumption'!P38</f>
        <v>0</v>
      </c>
      <c r="AD34" s="103">
        <f>'Reagent Consumption'!R38</f>
        <v>0</v>
      </c>
      <c r="AE34" s="103">
        <f>'Reagent Consumption'!S38</f>
        <v>0</v>
      </c>
      <c r="AF34" s="103">
        <f>'Reagent Consumption'!T38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Consumption'!O39</f>
        <v>0</v>
      </c>
      <c r="AA35" s="99">
        <f>'Fuel Consumption'!F32</f>
        <v>0</v>
      </c>
      <c r="AB35" s="103">
        <f>'Reagent Consumption'!Q39</f>
        <v>0</v>
      </c>
      <c r="AC35" s="103">
        <f>'Reagent Consumption'!P39</f>
        <v>0</v>
      </c>
      <c r="AD35" s="103">
        <f>'Reagent Consumption'!R39</f>
        <v>0</v>
      </c>
      <c r="AE35" s="103">
        <f>'Reagent Consumption'!S39</f>
        <v>0</v>
      </c>
      <c r="AF35" s="103">
        <f>'Reagent Consumption'!T39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Consumption'!O40</f>
        <v>0</v>
      </c>
      <c r="AA36" s="238">
        <f>'Fuel Consumption'!F33</f>
        <v>0</v>
      </c>
      <c r="AB36" s="149">
        <f>'Reagent Consumption'!Q40</f>
        <v>0</v>
      </c>
      <c r="AC36" s="149">
        <f>'Reagent Consumption'!P40</f>
        <v>0</v>
      </c>
      <c r="AD36" s="149">
        <f>'Reagent Consumption'!R40</f>
        <v>0</v>
      </c>
      <c r="AE36" s="149">
        <f>'Reagent Consumption'!S40</f>
        <v>0</v>
      </c>
      <c r="AF36" s="149">
        <f>'Reagent Consumption'!T40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Consumption'!O41</f>
        <v>0</v>
      </c>
      <c r="AA37" s="238">
        <f>'Fuel Consumption'!F34</f>
        <v>0</v>
      </c>
      <c r="AB37" s="149">
        <f>'Reagent Consumption'!Q41</f>
        <v>0</v>
      </c>
      <c r="AC37" s="149">
        <f>'Reagent Consumption'!P41</f>
        <v>0</v>
      </c>
      <c r="AD37" s="149">
        <f>'Reagent Consumption'!R41</f>
        <v>0</v>
      </c>
      <c r="AE37" s="149">
        <f>'Reagent Consumption'!S41</f>
        <v>0</v>
      </c>
      <c r="AF37" s="149">
        <f>'Reagent Consumption'!T41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Consumption'!O42</f>
        <v>0</v>
      </c>
      <c r="AA38" s="238">
        <f>'Fuel Consumption'!F35</f>
        <v>0</v>
      </c>
      <c r="AB38" s="149">
        <f>'Reagent Consumption'!Q42</f>
        <v>0</v>
      </c>
      <c r="AC38" s="149">
        <f>'Reagent Consumption'!P42</f>
        <v>0</v>
      </c>
      <c r="AD38" s="149">
        <f>'Reagent Consumption'!R42</f>
        <v>0</v>
      </c>
      <c r="AE38" s="149">
        <f>'Reagent Consumption'!S42</f>
        <v>0</v>
      </c>
      <c r="AF38" s="149">
        <f>'Reagent Consumption'!T42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Consumption'!O43</f>
        <v>0</v>
      </c>
      <c r="AA39" s="238">
        <f>'Fuel Consumption'!F36</f>
        <v>0</v>
      </c>
      <c r="AB39" s="149">
        <f>'Reagent Consumption'!Q43</f>
        <v>0</v>
      </c>
      <c r="AC39" s="149">
        <f>'Reagent Consumption'!P43</f>
        <v>0</v>
      </c>
      <c r="AD39" s="149">
        <f>'Reagent Consumption'!R43</f>
        <v>0</v>
      </c>
      <c r="AE39" s="149">
        <f>'Reagent Consumption'!S43</f>
        <v>0</v>
      </c>
      <c r="AF39" s="149">
        <f>'Reagent Consumption'!T43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Consumption'!O44</f>
        <v>0</v>
      </c>
      <c r="AA40" s="238">
        <f>'Fuel Consumption'!F37</f>
        <v>0</v>
      </c>
      <c r="AB40" s="149">
        <f>'Reagent Consumption'!Q44</f>
        <v>0</v>
      </c>
      <c r="AC40" s="149">
        <f>'Reagent Consumption'!P44</f>
        <v>0</v>
      </c>
      <c r="AD40" s="149">
        <f>'Reagent Consumption'!R44</f>
        <v>0</v>
      </c>
      <c r="AE40" s="149">
        <f>'Reagent Consumption'!S44</f>
        <v>0</v>
      </c>
      <c r="AF40" s="149">
        <f>'Reagent Consumption'!T44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Consumption'!O45</f>
        <v>0</v>
      </c>
      <c r="AA41" s="238">
        <f>'Fuel Consumption'!F38</f>
        <v>0</v>
      </c>
      <c r="AB41" s="149">
        <f>'Reagent Consumption'!Q45</f>
        <v>0</v>
      </c>
      <c r="AC41" s="149">
        <f>'Reagent Consumption'!P45</f>
        <v>0</v>
      </c>
      <c r="AD41" s="149">
        <f>'Reagent Consumption'!R45</f>
        <v>0</v>
      </c>
      <c r="AE41" s="149">
        <f>'Reagent Consumption'!S45</f>
        <v>0</v>
      </c>
      <c r="AF41" s="149">
        <f>'Reagent Consumption'!T45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Consumption'!O46</f>
        <v>0</v>
      </c>
      <c r="AA42" s="238">
        <f>'Fuel Consumption'!F39</f>
        <v>0</v>
      </c>
      <c r="AB42" s="149">
        <f>'Reagent Consumption'!Q46</f>
        <v>0</v>
      </c>
      <c r="AC42" s="149">
        <f>'Reagent Consumption'!P46</f>
        <v>0</v>
      </c>
      <c r="AD42" s="149">
        <f>'Reagent Consumption'!R46</f>
        <v>0</v>
      </c>
      <c r="AE42" s="149">
        <f>'Reagent Consumption'!S46</f>
        <v>0</v>
      </c>
      <c r="AF42" s="149">
        <f>'Reagent Consumption'!T46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Consumption'!O47</f>
        <v>0</v>
      </c>
      <c r="AA43" s="238">
        <f>'Fuel Consumption'!F40</f>
        <v>0</v>
      </c>
      <c r="AB43" s="149">
        <f>'Reagent Consumption'!Q47</f>
        <v>0</v>
      </c>
      <c r="AC43" s="149">
        <f>'Reagent Consumption'!P47</f>
        <v>0</v>
      </c>
      <c r="AD43" s="149">
        <f>'Reagent Consumption'!R47</f>
        <v>0</v>
      </c>
      <c r="AE43" s="149">
        <f>'Reagent Consumption'!S47</f>
        <v>0</v>
      </c>
      <c r="AF43" s="149">
        <f>'Reagent Consumption'!T47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Consumption'!O48</f>
        <v>0</v>
      </c>
      <c r="AA44" s="238">
        <f>'Fuel Consumption'!F41</f>
        <v>0</v>
      </c>
      <c r="AB44" s="149">
        <f>'Reagent Consumption'!Q48</f>
        <v>0</v>
      </c>
      <c r="AC44" s="149">
        <f>'Reagent Consumption'!P48</f>
        <v>0</v>
      </c>
      <c r="AD44" s="149">
        <f>'Reagent Consumption'!R48</f>
        <v>0</v>
      </c>
      <c r="AE44" s="149">
        <f>'Reagent Consumption'!S48</f>
        <v>0</v>
      </c>
      <c r="AF44" s="149">
        <f>'Reagent Consumption'!T48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Consumption'!O49</f>
        <v>0</v>
      </c>
      <c r="AA45" s="238">
        <f>'Fuel Consumption'!F42</f>
        <v>0</v>
      </c>
      <c r="AB45" s="149">
        <f>'Reagent Consumption'!Q49</f>
        <v>0</v>
      </c>
      <c r="AC45" s="149">
        <f>'Reagent Consumption'!P49</f>
        <v>0</v>
      </c>
      <c r="AD45" s="149">
        <f>'Reagent Consumption'!R49</f>
        <v>0</v>
      </c>
      <c r="AE45" s="149">
        <f>'Reagent Consumption'!S49</f>
        <v>0</v>
      </c>
      <c r="AF45" s="149">
        <f>'Reagent Consumption'!T49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Consumption'!O50</f>
        <v>0</v>
      </c>
      <c r="AA46" s="238">
        <f>'Fuel Consumption'!F43</f>
        <v>0</v>
      </c>
      <c r="AB46" s="149">
        <f>'Reagent Consumption'!Q50</f>
        <v>0</v>
      </c>
      <c r="AC46" s="149">
        <f>'Reagent Consumption'!P50</f>
        <v>0</v>
      </c>
      <c r="AD46" s="149">
        <f>'Reagent Consumption'!R50</f>
        <v>0</v>
      </c>
      <c r="AE46" s="149">
        <f>'Reagent Consumption'!S50</f>
        <v>0</v>
      </c>
      <c r="AF46" s="149">
        <f>'Reagent Consumption'!T50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Consumption'!O51</f>
        <v>0</v>
      </c>
      <c r="AA47" s="238">
        <f>'Fuel Consumption'!F44</f>
        <v>0</v>
      </c>
      <c r="AB47" s="149">
        <f>'Reagent Consumption'!Q51</f>
        <v>0</v>
      </c>
      <c r="AC47" s="149">
        <f>'Reagent Consumption'!P51</f>
        <v>0</v>
      </c>
      <c r="AD47" s="149">
        <f>'Reagent Consumption'!R51</f>
        <v>0</v>
      </c>
      <c r="AE47" s="149">
        <f>'Reagent Consumption'!S51</f>
        <v>0</v>
      </c>
      <c r="AF47" s="149">
        <f>'Reagent Consumption'!T51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Consumption'!O52</f>
        <v>0</v>
      </c>
      <c r="AA48" s="238">
        <f>'Fuel Consumption'!F45</f>
        <v>0</v>
      </c>
      <c r="AB48" s="149">
        <f>'Reagent Consumption'!Q52</f>
        <v>0</v>
      </c>
      <c r="AC48" s="149">
        <f>'Reagent Consumption'!P52</f>
        <v>0</v>
      </c>
      <c r="AD48" s="149">
        <f>'Reagent Consumption'!R52</f>
        <v>0</v>
      </c>
      <c r="AE48" s="149">
        <f>'Reagent Consumption'!S52</f>
        <v>0</v>
      </c>
      <c r="AF48" s="149">
        <f>'Reagent Consumption'!T52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Consumption'!O53</f>
        <v>0</v>
      </c>
      <c r="AA49" s="238">
        <f>'Fuel Consumption'!F46</f>
        <v>0</v>
      </c>
      <c r="AB49" s="149">
        <f>'Reagent Consumption'!Q53</f>
        <v>0</v>
      </c>
      <c r="AC49" s="149">
        <f>'Reagent Consumption'!P53</f>
        <v>0</v>
      </c>
      <c r="AD49" s="149">
        <f>'Reagent Consumption'!R53</f>
        <v>0</v>
      </c>
      <c r="AE49" s="149">
        <f>'Reagent Consumption'!S53</f>
        <v>0</v>
      </c>
      <c r="AF49" s="149">
        <f>'Reagent Consumption'!T53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30" t="s">
        <v>205</v>
      </c>
      <c r="X54" s="630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30" t="s">
        <v>207</v>
      </c>
      <c r="X60" s="630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46" t="s">
        <v>346</v>
      </c>
      <c r="D3" s="646"/>
      <c r="E3" s="646"/>
      <c r="F3" s="646"/>
      <c r="G3" s="646"/>
      <c r="H3" s="646"/>
      <c r="L3" s="646" t="s">
        <v>346</v>
      </c>
      <c r="M3" s="646"/>
      <c r="N3" s="646"/>
      <c r="O3" s="646"/>
      <c r="P3" s="646"/>
      <c r="Q3" s="64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7"/>
  <sheetViews>
    <sheetView tabSelected="1" zoomScale="54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C25" sqref="C25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24" t="s">
        <v>283</v>
      </c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>
        <f>125+150</f>
        <v>275</v>
      </c>
    </row>
    <row r="2" spans="1:42" ht="18" x14ac:dyDescent="0.35">
      <c r="B2" s="624" t="s">
        <v>284</v>
      </c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  <c r="S2" s="624"/>
    </row>
    <row r="3" spans="1:42" ht="18" x14ac:dyDescent="0.35">
      <c r="B3" s="624" t="s">
        <v>285</v>
      </c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4"/>
      <c r="N3" s="624"/>
      <c r="O3" s="624"/>
      <c r="P3" s="624"/>
      <c r="Q3" s="624"/>
      <c r="R3" s="624"/>
      <c r="S3" s="624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26"/>
      <c r="C5" s="627"/>
      <c r="D5" s="626" t="s">
        <v>25</v>
      </c>
      <c r="E5" s="628"/>
      <c r="F5" s="627"/>
      <c r="G5" s="626" t="s">
        <v>26</v>
      </c>
      <c r="H5" s="628"/>
      <c r="I5" s="627"/>
      <c r="J5" s="626" t="s">
        <v>325</v>
      </c>
      <c r="K5" s="627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29" t="s">
        <v>163</v>
      </c>
      <c r="Y6" s="629"/>
      <c r="Z6" s="629"/>
      <c r="AA6" s="629"/>
      <c r="AB6" s="629"/>
      <c r="AC6" s="629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SUMIF(A$7:A$41,N7,D$7:D$41)+SUMIF(A$7:A$41,N7,G$7:G$41)</f>
        <v>0</v>
      </c>
      <c r="P7" s="21">
        <f>SUMIF(A$7:A$41,N7,E$7:E$41)+SUMIF(A$7:A$41,N7,J$7:J$41)</f>
        <v>0</v>
      </c>
      <c r="Q7" s="21">
        <f>SUMIF(A$7:A$41,N7,F$7:F$41)</f>
        <v>0</v>
      </c>
      <c r="R7" s="21">
        <f>SUMIF(A$7:A$54,N7,H$7:H$55)</f>
        <v>0</v>
      </c>
      <c r="S7" s="21">
        <f>SUMIF(A$7:A$54,N7,I$7:I$54)</f>
        <v>0</v>
      </c>
      <c r="T7" s="21">
        <f>SUMIF(A$7:A$41,N7,K$7:K$41)</f>
        <v>0</v>
      </c>
      <c r="U7" s="21">
        <f>SUMIF(A$7:A$55,N7,G$7:G$55)</f>
        <v>0</v>
      </c>
      <c r="V7" s="21">
        <f>SUMIF(A$7:A$55,N7,I$7:I$55)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SUMIF(A$7:A$41,N8,D$7:D$41)+SUMIF(A$7:A$41,N8,G$7:G$41)</f>
        <v>0</v>
      </c>
      <c r="P8" s="21">
        <f>SUMIF(A$7:A$41,N8,E$7:E$41)+SUMIF(A$7:A$41,N8,J$7:J$41)</f>
        <v>0</v>
      </c>
      <c r="Q8" s="21">
        <f>SUMIF(A$7:A$41,N8,F$7:F$41)</f>
        <v>0</v>
      </c>
      <c r="R8" s="21">
        <f>SUMIF(A$7:A$54,N8,H$7:H$55)</f>
        <v>0</v>
      </c>
      <c r="S8" s="21">
        <f>SUMIF(A$7:A$54,N8,I$7:I$54)</f>
        <v>0</v>
      </c>
      <c r="T8" s="21">
        <f>SUMIF(A$7:A$41,N8,K$7:K$41)</f>
        <v>0</v>
      </c>
      <c r="U8" s="21">
        <f>SUMIF(A$7:A$55,N8,G$7:G$55)</f>
        <v>0</v>
      </c>
      <c r="V8" s="21">
        <f>SUMIF(A$7:A$55,N8,I$7:I$55)</f>
        <v>0</v>
      </c>
      <c r="X8" s="134">
        <f>O55+U55</f>
        <v>1625</v>
      </c>
      <c r="Y8" s="134">
        <f t="shared" ref="Y8:Z8" si="0">P55</f>
        <v>3500</v>
      </c>
      <c r="Z8" s="134">
        <f t="shared" si="0"/>
        <v>2500</v>
      </c>
      <c r="AA8" s="134">
        <f>T55</f>
        <v>75</v>
      </c>
      <c r="AB8" s="135">
        <f>R55</f>
        <v>0</v>
      </c>
      <c r="AC8" s="21">
        <f>V55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SUMIF(A$7:A$41,N9,D$7:D$41)+SUMIF(A$7:A$41,N9,G$7:G$41)</f>
        <v>0</v>
      </c>
      <c r="P9" s="21">
        <f>SUMIF(A$7:A$41,N9,E$7:E$41)+SUMIF(A$7:A$41,N9,J$7:J$41)</f>
        <v>0</v>
      </c>
      <c r="Q9" s="21">
        <f>SUMIF(A$7:A$41,N9,F$7:F$41)</f>
        <v>0</v>
      </c>
      <c r="R9" s="21">
        <f>SUMIF(A$7:A$54,N9,H$7:H$55)</f>
        <v>0</v>
      </c>
      <c r="S9" s="21">
        <f>SUMIF(A$7:A$54,N9,I$7:I$54)</f>
        <v>0</v>
      </c>
      <c r="T9" s="21">
        <f>SUMIF(A$7:A$41,N9,K$7:K$41)</f>
        <v>0</v>
      </c>
      <c r="U9" s="21">
        <f>SUMIF(A$7:A$55,N9,G$7:G$55)</f>
        <v>0</v>
      </c>
      <c r="V9" s="21">
        <f>SUMIF(A$7:A$55,N9,I$7:I$55)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SUMIF(A$7:A$41,N10,D$7:D$41)+SUMIF(A$7:A$41,N10,G$7:G$41)</f>
        <v>150</v>
      </c>
      <c r="P10" s="21">
        <f>SUMIF(A$7:A$41,N10,E$7:E$41)+SUMIF(A$7:A$41,N10,J$7:J$41)</f>
        <v>250</v>
      </c>
      <c r="Q10" s="21">
        <f>SUMIF(A$7:A$41,N10,F$7:F$41)</f>
        <v>0</v>
      </c>
      <c r="R10" s="21">
        <f>SUMIF(A$7:A$54,N10,H$7:H$55)</f>
        <v>0</v>
      </c>
      <c r="S10" s="21">
        <f>SUMIF(A$7:A$54,N10,I$7:I$54)</f>
        <v>0</v>
      </c>
      <c r="T10" s="21">
        <f>SUMIF(A$7:A$41,N10,K$7:K$41)</f>
        <v>0</v>
      </c>
      <c r="U10" s="21">
        <f>SUMIF(A$7:A$55,N10,G$7:G$55)</f>
        <v>0</v>
      </c>
      <c r="V10" s="21">
        <f>SUMIF(A$7:A$55,N10,I$7:I$55)</f>
        <v>0</v>
      </c>
      <c r="X10" s="625" t="s">
        <v>342</v>
      </c>
      <c r="Y10" s="625"/>
      <c r="Z10" s="625"/>
      <c r="AA10" s="625"/>
      <c r="AB10" s="625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SUMIF(A$7:A$41,N11,D$7:D$41)+SUMIF(A$7:A$41,N11,G$7:G$41)</f>
        <v>225</v>
      </c>
      <c r="P11" s="21">
        <f>SUMIF(A$7:A$41,N11,E$7:E$41)+SUMIF(A$7:A$41,N11,J$7:J$41)</f>
        <v>1250</v>
      </c>
      <c r="Q11" s="21">
        <f>SUMIF(A$7:A$41,N11,F$7:F$41)</f>
        <v>1000</v>
      </c>
      <c r="R11" s="21">
        <f>SUMIF(A$7:A$54,N11,H$7:H$55)</f>
        <v>0</v>
      </c>
      <c r="S11" s="21">
        <f>SUMIF(A$7:A$54,N11,I$7:I$54)</f>
        <v>0</v>
      </c>
      <c r="T11" s="21">
        <f>SUMIF(A$7:A$41,N11,K$7:K$41)</f>
        <v>25</v>
      </c>
      <c r="U11" s="21">
        <f>SUMIF(A$7:A$55,N11,G$7:G$55)</f>
        <v>0</v>
      </c>
      <c r="V11" s="21">
        <f>SUMIF(A$7:A$55,N11,I$7:I$55)</f>
        <v>0</v>
      </c>
      <c r="X11" s="137">
        <f>X8/'Au Cal Leaching Tank'!K61</f>
        <v>1.2658923534220321</v>
      </c>
      <c r="Y11" s="137">
        <f>P55/'Au Cal Leaching Tank'!K61</f>
        <v>2.7265373766012999</v>
      </c>
      <c r="Z11" s="137">
        <f>Z8/'Au Cal Leaching Tank'!K61</f>
        <v>1.9475266975723573</v>
      </c>
      <c r="AA11" s="137">
        <f>AA8/'Au Cal Leaching Tank'!K61</f>
        <v>5.8425800927170715E-2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SUMIF(A$7:A$41,N13,E$7:E$41)+SUMIF(A$7:A$41,N13,J$7:J$41)</f>
        <v>500</v>
      </c>
      <c r="Q13" s="21">
        <f>SUMIF(A$7:A$41,N13,F$7:F$41)</f>
        <v>1000</v>
      </c>
      <c r="R13" s="21">
        <f>SUMIF(A$7:A$54,N13,H$7:H$55)</f>
        <v>0</v>
      </c>
      <c r="S13" s="21">
        <f>SUMIF(A$7:A$54,N13,I$7:I$54)</f>
        <v>0</v>
      </c>
      <c r="T13" s="21">
        <f>SUMIF(A$7:A$41,N13,K$7:K$41)</f>
        <v>25</v>
      </c>
      <c r="U13" s="21">
        <f>SUMIF(A$7:A$55,N13,G$7:G$55)</f>
        <v>0</v>
      </c>
      <c r="V13" s="21">
        <f>SUMIF(A$7:A$55,N13,I$7:I$55)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SUMIF(A$7:A$41,N15,D$7:D$41)+SUMIF(A$7:A$41,N15,G$7:G$41)</f>
        <v>100</v>
      </c>
      <c r="P15" s="21">
        <f>SUMIF(A$7:A$41,N15,E$7:E$41)+SUMIF(A$7:A$41,N15,J$7:J$41)</f>
        <v>250</v>
      </c>
      <c r="Q15" s="21">
        <f>SUMIF(A$7:A$41,N15,F$7:F$41)</f>
        <v>0</v>
      </c>
      <c r="R15" s="21">
        <f>SUMIF(A$7:A$54,N15,H$7:H$55)</f>
        <v>0</v>
      </c>
      <c r="S15" s="21">
        <f>SUMIF(A$7:A$54,N15,I$7:I$54)</f>
        <v>0</v>
      </c>
      <c r="T15" s="21">
        <f>SUMIF(A$7:A$41,N15,K$7:K$41)</f>
        <v>0</v>
      </c>
      <c r="U15" s="21">
        <f>SUMIF(A$7:A$55,N15,G$7:G$55)</f>
        <v>0</v>
      </c>
      <c r="V15" s="21">
        <f>SUMIF(A$7:A$55,N15,I$7:I$55)</f>
        <v>0</v>
      </c>
    </row>
    <row r="16" spans="1:42" x14ac:dyDescent="0.3">
      <c r="A16" s="22">
        <v>46269</v>
      </c>
      <c r="B16" s="19" t="s">
        <v>13</v>
      </c>
      <c r="C16" s="831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SUMIF(A$7:A$41,N16,D$7:D$41)+SUMIF(A$7:A$41,N16,G$7:G$41)</f>
        <v>0</v>
      </c>
      <c r="P16" s="21">
        <f>SUMIF(A$7:A$41,N16,E$7:E$41)+SUMIF(A$7:A$41,N16,J$7:J$41)</f>
        <v>0</v>
      </c>
      <c r="Q16" s="21">
        <f>SUMIF(A$7:A$41,N16,F$7:F$41)</f>
        <v>0</v>
      </c>
      <c r="R16" s="21">
        <f>SUMIF(A$7:A$54,N16,H$7:H$55)</f>
        <v>0</v>
      </c>
      <c r="S16" s="21">
        <f>SUMIF(A$7:A$54,N16,I$7:I$54)</f>
        <v>0</v>
      </c>
      <c r="T16" s="21">
        <f>SUMIF(A$7:A$41,N16,K$7:K$41)</f>
        <v>25</v>
      </c>
      <c r="U16" s="21">
        <f>SUMIF(A$7:A$55,N16,G$7:G$55)</f>
        <v>0</v>
      </c>
      <c r="V16" s="21">
        <f>SUMIF(A$7:A$55,N16,I$7:I$55)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SUMIF(A$7:A$41,N17,D$7:D$41)+SUMIF(A$7:A$41,N17,G$7:G$41)</f>
        <v>100</v>
      </c>
      <c r="P17" s="21">
        <f>SUMIF(A$7:A$41,N17,E$7:E$41)+SUMIF(A$7:A$41,N17,J$7:J$41)</f>
        <v>0</v>
      </c>
      <c r="Q17" s="21">
        <f>SUMIF(A$7:A$41,N17,F$7:F$41)</f>
        <v>0</v>
      </c>
      <c r="R17" s="21">
        <f>SUMIF(A$7:A$54,N17,H$7:H$55)</f>
        <v>0</v>
      </c>
      <c r="S17" s="21">
        <f>SUMIF(A$7:A$54,N17,I$7:I$54)</f>
        <v>0</v>
      </c>
      <c r="T17" s="21">
        <f>SUMIF(A$7:A$41,N17,K$7:K$41)</f>
        <v>0</v>
      </c>
      <c r="U17" s="21">
        <f>SUMIF(A$7:A$55,N17,G$7:G$55)</f>
        <v>0</v>
      </c>
      <c r="V17" s="21">
        <f>SUMIF(A$7:A$55,N17,I$7:I$55)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SUMIF(A$7:A$41,N18,D$7:D$41)+SUMIF(A$7:A$41,N18,G$7:G$41)</f>
        <v>175</v>
      </c>
      <c r="P18" s="21">
        <f>SUMIF(A$7:A$41,N18,E$7:E$41)+SUMIF(A$7:A$41,N18,J$7:J$41)</f>
        <v>500</v>
      </c>
      <c r="Q18" s="21">
        <f>SUMIF(A$7:A$41,N18,F$7:F$41)</f>
        <v>0</v>
      </c>
      <c r="R18" s="21">
        <f>SUMIF(A$7:A$54,N18,H$7:H$55)</f>
        <v>0</v>
      </c>
      <c r="S18" s="21">
        <f>SUMIF(A$7:A$54,N18,I$7:I$54)</f>
        <v>0</v>
      </c>
      <c r="T18" s="21">
        <f>SUMIF(A$7:A$41,N18,K$7:K$41)</f>
        <v>0</v>
      </c>
      <c r="U18" s="21">
        <f>SUMIF(A$7:A$55,N18,G$7:G$55)</f>
        <v>0</v>
      </c>
      <c r="V18" s="21">
        <f>SUMIF(A$7:A$55,N18,I$7:I$55)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SUMIF(A$7:A$41,N19,D$7:D$41)+SUMIF(A$7:A$41,N19,G$7:G$41)</f>
        <v>300</v>
      </c>
      <c r="P19" s="21">
        <f>SUMIF(A$7:A$41,N19,E$7:E$41)+SUMIF(A$7:A$41,N19,J$7:J$41)</f>
        <v>750</v>
      </c>
      <c r="Q19" s="21">
        <f>SUMIF(A$7:A$41,N19,F$7:F$41)</f>
        <v>0</v>
      </c>
      <c r="R19" s="21">
        <f>SUMIF(A$7:A$54,N19,H$7:H$55)</f>
        <v>0</v>
      </c>
      <c r="S19" s="21">
        <f>SUMIF(A$7:A$54,N19,I$7:I$54)</f>
        <v>0</v>
      </c>
      <c r="T19" s="21">
        <f>SUMIF(A$7:A$41,N19,K$7:K$41)</f>
        <v>0</v>
      </c>
      <c r="U19" s="21">
        <f>SUMIF(A$7:A$55,N19,G$7:G$55)</f>
        <v>0</v>
      </c>
      <c r="V19" s="21">
        <f>SUMIF(A$7:A$55,N19,I$7:I$55)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/>
      <c r="Q20" s="21"/>
      <c r="R20" s="21"/>
      <c r="S20" s="21"/>
      <c r="T20" s="21"/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SUMIF(A$7:A$41,N21,D$7:D$41)+SUMIF(A$7:A$41,N21,G$7:G$41)</f>
        <v>125</v>
      </c>
      <c r="P21" s="21">
        <f>SUMIF(A$7:A$41,N21,E$7:E$41)+SUMIF(A$7:A$41,N21,J$7:J$41)</f>
        <v>0</v>
      </c>
      <c r="Q21" s="21">
        <f>SUMIF(A$7:A$41,N21,F$7:F$41)</f>
        <v>0</v>
      </c>
      <c r="R21" s="21">
        <f>SUMIF(A$7:A$54,N21,H$7:H$55)</f>
        <v>0</v>
      </c>
      <c r="S21" s="21">
        <f>SUMIF(A$7:A$54,N21,I$7:I$54)</f>
        <v>0</v>
      </c>
      <c r="T21" s="21">
        <f>SUMIF(A$7:A$41,N21,K$7:K$41)</f>
        <v>0</v>
      </c>
      <c r="U21" s="21">
        <f>SUMIF(A$7:A$55,N21,G$7:G$55)</f>
        <v>0</v>
      </c>
      <c r="V21" s="21">
        <f>SUMIF(A$7:A$55,N21,I$7:I$55)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SUMIF(A$7:A$41,N22,D$7:D$41)+SUMIF(A$7:A$41,N22,G$7:G$41)</f>
        <v>50</v>
      </c>
      <c r="P22" s="21">
        <f>SUMIF(A$7:A$41,N22,E$7:E$41)+SUMIF(A$7:A$41,N22,J$7:J$41)</f>
        <v>0</v>
      </c>
      <c r="Q22" s="21">
        <f>SUMIF(A$7:A$41,N22,F$7:F$41)</f>
        <v>0</v>
      </c>
      <c r="R22" s="21">
        <f>SUMIF(A$7:A$54,N22,H$7:H$55)</f>
        <v>0</v>
      </c>
      <c r="S22" s="21">
        <f>SUMIF(A$7:A$54,N22,I$7:I$54)</f>
        <v>0</v>
      </c>
      <c r="T22" s="21">
        <f>SUMIF(A$7:A$41,N22,K$7:K$41)</f>
        <v>0</v>
      </c>
      <c r="U22" s="21">
        <f>SUMIF(A$7:A$55,N22,G$7:G$55)</f>
        <v>0</v>
      </c>
      <c r="V22" s="21">
        <f>SUMIF(A$7:A$55,N22,I$7:I$55)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/>
      <c r="Q23" s="21"/>
      <c r="R23" s="21"/>
      <c r="S23" s="21"/>
      <c r="T23" s="21"/>
      <c r="U23" s="21"/>
      <c r="V23" s="21"/>
    </row>
    <row r="24" spans="1:27" x14ac:dyDescent="0.3">
      <c r="A24" s="22">
        <v>46275</v>
      </c>
      <c r="B24" s="19" t="s">
        <v>13</v>
      </c>
      <c r="C24" s="831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SUMIF(A$7:A$41,N24,D$7:D$41)+SUMIF(A$7:A$41,N24,G$7:G$41)</f>
        <v>125</v>
      </c>
      <c r="P24" s="21">
        <f>SUMIF(A$7:A$41,N24,E$7:E$41)+SUMIF(A$7:A$41,N24,J$7:J$41)</f>
        <v>0</v>
      </c>
      <c r="Q24" s="21">
        <f>SUMIF(A$7:A$41,N24,F$7:F$41)</f>
        <v>500</v>
      </c>
      <c r="R24" s="21">
        <f>SUMIF(A$7:A$54,N24,H$7:H$55)</f>
        <v>0</v>
      </c>
      <c r="S24" s="21">
        <f>SUMIF(A$7:A$54,N24,I$7:I$54)</f>
        <v>0</v>
      </c>
      <c r="T24" s="21">
        <f>SUMIF(A$7:A$41,N24,K$7:K$41)</f>
        <v>0</v>
      </c>
      <c r="U24" s="21">
        <f>SUMIF(A$7:A$55,N24,G$7:G$55)</f>
        <v>0</v>
      </c>
      <c r="V24" s="21">
        <f>SUMIF(A$7:A$55,N24,I$7:I$55)</f>
        <v>0</v>
      </c>
      <c r="X24" s="294"/>
    </row>
    <row r="25" spans="1:27" x14ac:dyDescent="0.3">
      <c r="A25" s="22">
        <v>46276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46276</v>
      </c>
      <c r="O25" s="21">
        <f>SUMIF(A$7:A$41,N25,D$7:D$41)+SUMIF(A$7:A$41,N25,G$7:G$41)</f>
        <v>0</v>
      </c>
      <c r="P25" s="21">
        <f>SUMIF(A$7:A$41,N25,E$7:E$41)+SUMIF(A$7:A$41,N25,J$7:J$41)</f>
        <v>0</v>
      </c>
      <c r="Q25" s="21">
        <f>SUMIF(A$7:A$41,N25,F$7:F$41)</f>
        <v>0</v>
      </c>
      <c r="R25" s="21">
        <f>SUMIF(A$7:A$54,N25,H$7:H$55)</f>
        <v>0</v>
      </c>
      <c r="S25" s="21">
        <f>SUMIF(A$7:A$54,N25,I$7:I$54)</f>
        <v>0</v>
      </c>
      <c r="T25" s="21">
        <f>SUMIF(A$7:A$41,N25,K$7:K$41)</f>
        <v>0</v>
      </c>
      <c r="U25" s="21">
        <f>SUMIF(A$7:A$55,N25,G$7:G$55)</f>
        <v>0</v>
      </c>
      <c r="V25" s="21">
        <f>SUMIF(A$7:A$55,N25,I$7:I$55)</f>
        <v>0</v>
      </c>
      <c r="X25">
        <f>X22*O55</f>
        <v>78000000</v>
      </c>
      <c r="Y25">
        <f>P55*Y22</f>
        <v>8050000</v>
      </c>
      <c r="Z25">
        <f>Z22*T55</f>
        <v>2250000</v>
      </c>
      <c r="AA25">
        <f>AA22*Q55</f>
        <v>110000000</v>
      </c>
    </row>
    <row r="26" spans="1:27" x14ac:dyDescent="0.3">
      <c r="A26" s="22">
        <v>46277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46277</v>
      </c>
      <c r="O26" s="21">
        <f>SUMIF(A$7:A$41,N26,D$7:D$41)+SUMIF(A$7:A$41,N26,G$7:G$41)</f>
        <v>0</v>
      </c>
      <c r="P26" s="21">
        <f>SUMIF(A$7:A$41,N26,E$7:E$41)+SUMIF(A$7:A$41,N26,J$7:J$41)</f>
        <v>0</v>
      </c>
      <c r="Q26" s="21">
        <f>SUMIF(A$7:A$41,N26,F$7:F$41)</f>
        <v>0</v>
      </c>
      <c r="R26" s="21">
        <f>SUMIF(A$7:A$54,N26,H$7:H$55)</f>
        <v>0</v>
      </c>
      <c r="S26" s="21">
        <f>SUMIF(A$7:A$54,N26,I$7:I$54)</f>
        <v>0</v>
      </c>
      <c r="T26" s="21">
        <f>SUMIF(A$7:A$41,N26,K$7:K$41)</f>
        <v>0</v>
      </c>
      <c r="U26" s="21">
        <f>SUMIF(A$7:A$55,N26,G$7:G$55)</f>
        <v>0</v>
      </c>
      <c r="V26" s="21">
        <f>SUMIF(A$7:A$55,N26,I$7:I$55)</f>
        <v>0</v>
      </c>
    </row>
    <row r="27" spans="1:27" x14ac:dyDescent="0.3">
      <c r="A27" s="22">
        <v>46278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46278</v>
      </c>
      <c r="O27" s="21">
        <f>SUMIF(A$7:A$41,N27,D$7:D$41)+SUMIF(A$7:A$41,N27,G$7:G$41)</f>
        <v>0</v>
      </c>
      <c r="P27" s="21">
        <f>SUMIF(A$7:A$41,N27,E$7:E$41)+SUMIF(A$7:A$41,N27,J$7:J$41)</f>
        <v>0</v>
      </c>
      <c r="Q27" s="21">
        <f>SUMIF(A$7:A$41,N27,F$7:F$41)</f>
        <v>0</v>
      </c>
      <c r="R27" s="21">
        <f>SUMIF(A$7:A$54,N27,H$7:H$55)</f>
        <v>0</v>
      </c>
      <c r="S27" s="21">
        <f>SUMIF(A$7:A$54,N27,I$7:I$54)</f>
        <v>0</v>
      </c>
      <c r="T27" s="21">
        <f>SUMIF(A$7:A$41,N27,K$7:K$41)</f>
        <v>0</v>
      </c>
      <c r="U27" s="21">
        <f>SUMIF(A$7:A$55,N27,G$7:G$55)</f>
        <v>0</v>
      </c>
      <c r="V27" s="21">
        <f>SUMIF(A$7:A$55,N27,I$7:I$55)</f>
        <v>0</v>
      </c>
      <c r="X27" s="294"/>
    </row>
    <row r="28" spans="1:27" x14ac:dyDescent="0.3">
      <c r="A28" s="22">
        <v>46279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46279</v>
      </c>
      <c r="O28" s="21">
        <f>SUMIF(A$7:A$41,N28,D$7:D$41)+SUMIF(A$7:A$41,N28,G$7:G$41)</f>
        <v>0</v>
      </c>
      <c r="P28" s="21">
        <f>SUMIF(A$7:A$41,N28,E$7:E$41)+SUMIF(A$7:A$41,N28,J$7:J$41)</f>
        <v>0</v>
      </c>
      <c r="Q28" s="21">
        <f>SUMIF(A$7:A$41,N28,F$7:F$41)</f>
        <v>0</v>
      </c>
      <c r="R28" s="21">
        <f>SUMIF(A$7:A$54,N28,H$7:H$55)</f>
        <v>0</v>
      </c>
      <c r="S28" s="21">
        <f>SUMIF(A$7:A$54,N28,I$7:I$54)</f>
        <v>0</v>
      </c>
      <c r="T28" s="21">
        <f>SUMIF(A$7:A$41,N28,K$7:K$41)</f>
        <v>0</v>
      </c>
      <c r="U28" s="21">
        <f>SUMIF(A$7:A$55,N28,G$7:G$55)</f>
        <v>0</v>
      </c>
      <c r="V28" s="21">
        <f>SUMIF(A$7:A$55,N28,I$7:I$55)</f>
        <v>0</v>
      </c>
    </row>
    <row r="29" spans="1:27" x14ac:dyDescent="0.3">
      <c r="A29" s="22">
        <v>46280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46280</v>
      </c>
      <c r="O29" s="21">
        <f>SUMIF(A$7:A$41,N29,D$7:D$41)+SUMIF(A$7:A$41,N29,G$7:G$41)</f>
        <v>0</v>
      </c>
      <c r="P29" s="21">
        <f>SUMIF(A$7:A$41,N29,E$7:E$41)+SUMIF(A$7:A$41,N29,J$7:J$41)</f>
        <v>0</v>
      </c>
      <c r="Q29" s="21">
        <f>SUMIF(A$7:A$41,N29,F$7:F$41)</f>
        <v>0</v>
      </c>
      <c r="R29" s="21">
        <f>SUMIF(A$7:A$54,N29,H$7:H$55)</f>
        <v>0</v>
      </c>
      <c r="S29" s="21">
        <f>SUMIF(A$7:A$54,N29,I$7:I$54)</f>
        <v>0</v>
      </c>
      <c r="T29" s="21">
        <f>SUMIF(A$7:A$41,N29,K$7:K$41)</f>
        <v>0</v>
      </c>
      <c r="U29" s="21">
        <f>SUMIF(A$7:A$55,N29,G$7:G$55)</f>
        <v>0</v>
      </c>
      <c r="V29" s="21">
        <f>SUMIF(A$7:A$55,N29,I$7:I$55)</f>
        <v>0</v>
      </c>
    </row>
    <row r="30" spans="1:27" x14ac:dyDescent="0.3">
      <c r="A30" s="22">
        <v>46281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46281</v>
      </c>
      <c r="O30" s="21">
        <f>SUMIF(A$7:A$41,N30,D$7:D$41)+SUMIF(A$7:A$41,N30,G$7:G$41)</f>
        <v>0</v>
      </c>
      <c r="P30" s="21">
        <f>SUMIF(A$7:A$41,N30,E$7:E$41)+SUMIF(A$7:A$41,N30,J$7:J$41)</f>
        <v>0</v>
      </c>
      <c r="Q30" s="21">
        <f>SUMIF(A$7:A$41,N30,F$7:F$41)</f>
        <v>0</v>
      </c>
      <c r="R30" s="21">
        <f>SUMIF(A$7:A$54,N30,H$7:H$55)</f>
        <v>0</v>
      </c>
      <c r="S30" s="21">
        <f>SUMIF(A$7:A$54,N30,I$7:I$54)</f>
        <v>0</v>
      </c>
      <c r="T30" s="21">
        <f>SUMIF(A$7:A$41,N30,K$7:K$41)</f>
        <v>0</v>
      </c>
      <c r="U30" s="21">
        <f>SUMIF(A$7:A$55,N30,G$7:G$55)</f>
        <v>0</v>
      </c>
      <c r="V30" s="21">
        <f>SUMIF(A$7:A$55,N30,I$7:I$55)</f>
        <v>0</v>
      </c>
    </row>
    <row r="31" spans="1:27" x14ac:dyDescent="0.3">
      <c r="A31" s="22">
        <v>46282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46282</v>
      </c>
      <c r="O31" s="21">
        <f>SUMIF(A$7:A$41,N31,D$7:D$41)+SUMIF(A$7:A$41,N31,G$7:G$41)</f>
        <v>0</v>
      </c>
      <c r="P31" s="21">
        <f>SUMIF(A$7:A$41,N31,E$7:E$41)+SUMIF(A$7:A$41,N31,J$7:J$41)</f>
        <v>0</v>
      </c>
      <c r="Q31" s="21">
        <f>SUMIF(A$7:A$41,N31,F$7:F$41)</f>
        <v>0</v>
      </c>
      <c r="R31" s="21">
        <f>SUMIF(A$7:A$54,N31,H$7:H$55)</f>
        <v>0</v>
      </c>
      <c r="S31" s="21">
        <f>SUMIF(A$7:A$54,N31,I$7:I$54)</f>
        <v>0</v>
      </c>
      <c r="T31" s="21">
        <f>SUMIF(A$7:A$41,N31,K$7:K$41)</f>
        <v>0</v>
      </c>
      <c r="U31" s="21">
        <f>SUMIF(A$7:A$55,N31,G$7:G$55)</f>
        <v>0</v>
      </c>
      <c r="V31" s="21">
        <f>SUMIF(A$7:A$55,N31,I$7:I$55)</f>
        <v>0</v>
      </c>
    </row>
    <row r="32" spans="1:27" x14ac:dyDescent="0.3">
      <c r="A32" s="22">
        <v>46283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46283</v>
      </c>
      <c r="O32" s="21">
        <f>SUMIF(A$7:A$41,N32,D$7:D$41)+SUMIF(A$7:A$41,N32,G$7:G$41)</f>
        <v>0</v>
      </c>
      <c r="P32" s="21">
        <f>SUMIF(A$7:A$41,N32,E$7:E$41)+SUMIF(A$7:A$41,N32,J$7:J$41)</f>
        <v>0</v>
      </c>
      <c r="Q32" s="21">
        <f>SUMIF(A$7:A$41,N32,F$7:F$41)</f>
        <v>0</v>
      </c>
      <c r="R32" s="21">
        <f>SUMIF(A$7:A$54,N32,H$7:H$55)</f>
        <v>0</v>
      </c>
      <c r="S32" s="21">
        <f>SUMIF(A$7:A$54,N32,I$7:I$54)</f>
        <v>0</v>
      </c>
      <c r="T32" s="21">
        <f>SUMIF(A$7:A$41,N32,K$7:K$41)</f>
        <v>0</v>
      </c>
      <c r="U32" s="21">
        <f>SUMIF(A$7:A$55,N32,G$7:G$55)</f>
        <v>0</v>
      </c>
      <c r="V32" s="21">
        <f>SUMIF(A$7:A$55,N32,I$7:I$55)</f>
        <v>0</v>
      </c>
    </row>
    <row r="33" spans="1:22" x14ac:dyDescent="0.3">
      <c r="A33" s="22">
        <v>46284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46284</v>
      </c>
      <c r="O33" s="21">
        <f>SUMIF(A$7:A$41,N33,D$7:D$41)+SUMIF(A$7:A$41,N33,G$7:G$41)</f>
        <v>0</v>
      </c>
      <c r="P33" s="21">
        <f>SUMIF(A$7:A$41,N33,E$7:E$41)+SUMIF(A$7:A$41,N33,J$7:J$41)</f>
        <v>0</v>
      </c>
      <c r="Q33" s="21">
        <f>SUMIF(A$7:A$41,N33,F$7:F$41)</f>
        <v>0</v>
      </c>
      <c r="R33" s="21">
        <f>SUMIF(A$7:A$54,N33,H$7:H$55)</f>
        <v>0</v>
      </c>
      <c r="S33" s="21">
        <f>SUMIF(A$7:A$54,N33,I$7:I$54)</f>
        <v>0</v>
      </c>
      <c r="T33" s="21">
        <f>SUMIF(A$7:A$41,N33,K$7:K$41)</f>
        <v>0</v>
      </c>
      <c r="U33" s="21">
        <f>SUMIF(A$7:A$55,N33,G$7:G$55)</f>
        <v>0</v>
      </c>
      <c r="V33" s="21">
        <f>SUMIF(A$7:A$55,N33,I$7:I$55)</f>
        <v>0</v>
      </c>
    </row>
    <row r="34" spans="1:22" x14ac:dyDescent="0.3">
      <c r="A34" s="22">
        <v>46285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46285</v>
      </c>
      <c r="O34" s="21">
        <f>SUMIF(A$7:A$41,N34,D$7:D$41)+SUMIF(A$7:A$41,N34,G$7:G$41)</f>
        <v>0</v>
      </c>
      <c r="P34" s="21">
        <f>SUMIF(A$7:A$41,N34,E$7:E$41)+SUMIF(A$7:A$41,N34,J$7:J$41)</f>
        <v>0</v>
      </c>
      <c r="Q34" s="21">
        <f>SUMIF(A$7:A$41,N34,F$7:F$41)</f>
        <v>0</v>
      </c>
      <c r="R34" s="21">
        <f>SUMIF(A$7:A$54,N34,H$7:H$55)</f>
        <v>0</v>
      </c>
      <c r="S34" s="21">
        <f>SUMIF(A$7:A$54,N34,I$7:I$54)</f>
        <v>0</v>
      </c>
      <c r="T34" s="21">
        <f>SUMIF(A$7:A$41,N34,K$7:K$41)</f>
        <v>0</v>
      </c>
      <c r="U34" s="21">
        <f>SUMIF(A$7:A$55,N34,G$7:G$55)</f>
        <v>0</v>
      </c>
      <c r="V34" s="21">
        <f>SUMIF(A$7:A$55,N34,I$7:I$55)</f>
        <v>0</v>
      </c>
    </row>
    <row r="35" spans="1:22" x14ac:dyDescent="0.3">
      <c r="A35" s="22">
        <v>46286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46286</v>
      </c>
      <c r="O35" s="21">
        <f>SUMIF(A$7:A$41,N35,D$7:D$41)+SUMIF(A$7:A$41,N35,G$7:G$41)</f>
        <v>0</v>
      </c>
      <c r="P35" s="21">
        <f>SUMIF(A$7:A$41,N35,E$7:E$41)+SUMIF(A$7:A$41,N35,J$7:J$41)</f>
        <v>0</v>
      </c>
      <c r="Q35" s="21">
        <f>SUMIF(A$7:A$41,N35,F$7:F$41)</f>
        <v>0</v>
      </c>
      <c r="R35" s="21">
        <f>SUMIF(A$7:A$54,N35,H$7:H$55)</f>
        <v>0</v>
      </c>
      <c r="S35" s="21">
        <f>SUMIF(A$7:A$54,N35,I$7:I$54)</f>
        <v>0</v>
      </c>
      <c r="T35" s="21">
        <f>SUMIF(A$7:A$41,N35,K$7:K$41)</f>
        <v>0</v>
      </c>
      <c r="U35" s="21">
        <f>SUMIF(A$7:A$55,N35,G$7:G$55)</f>
        <v>0</v>
      </c>
      <c r="V35" s="21">
        <f>SUMIF(A$7:A$55,N35,I$7:I$55)</f>
        <v>0</v>
      </c>
    </row>
    <row r="36" spans="1:22" x14ac:dyDescent="0.3">
      <c r="A36" s="22">
        <v>46287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46287</v>
      </c>
      <c r="O36" s="21">
        <f>SUMIF(A$7:A$41,N36,D$7:D$41)+SUMIF(A$7:A$41,N36,G$7:G$41)</f>
        <v>0</v>
      </c>
      <c r="P36" s="21">
        <f>SUMIF(A$7:A$41,N36,E$7:E$41)+SUMIF(A$7:A$41,N36,J$7:J$41)</f>
        <v>0</v>
      </c>
      <c r="Q36" s="21">
        <f>SUMIF(A$7:A$41,N36,F$7:F$41)</f>
        <v>0</v>
      </c>
      <c r="R36" s="21">
        <f>SUMIF(A$7:A$54,N36,H$7:H$55)</f>
        <v>0</v>
      </c>
      <c r="S36" s="21">
        <f>SUMIF(A$7:A$54,N36,I$7:I$54)</f>
        <v>0</v>
      </c>
      <c r="T36" s="21">
        <f>SUMIF(A$7:A$54,N36,K$7:K$55)</f>
        <v>0</v>
      </c>
      <c r="U36" s="21">
        <f>SUMIF(A$7:A$55,N36,G$7:G$55)</f>
        <v>0</v>
      </c>
      <c r="V36" s="21">
        <f>SUMIF(A$7:A$55,N36,I$7:I$55)</f>
        <v>0</v>
      </c>
    </row>
    <row r="37" spans="1:22" x14ac:dyDescent="0.3">
      <c r="A37" s="22">
        <v>46288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46288</v>
      </c>
      <c r="O37" s="21">
        <f>SUMIF(A$7:A$41,N37,D$7:D$41)+SUMIF(A$7:A$41,N37,G$7:G$41)</f>
        <v>0</v>
      </c>
      <c r="P37" s="21">
        <f>SUMIF(A$7:A$41,N37,E$7:E$41)+SUMIF(A$7:A$41,N37,J$7:J$41)</f>
        <v>0</v>
      </c>
      <c r="Q37" s="21">
        <f>SUMIF(A$7:A$41,N37,F$7:F$41)</f>
        <v>0</v>
      </c>
      <c r="R37" s="21">
        <f>SUMIF(A$7:A$54,N37,H$7:H$55)</f>
        <v>0</v>
      </c>
      <c r="S37" s="21">
        <f>SUMIF(A$7:A$54,N37,I$7:I$54)</f>
        <v>0</v>
      </c>
      <c r="T37" s="21">
        <f>SUMIF(A$7:A$54,N37,K$7:K$55)</f>
        <v>0</v>
      </c>
      <c r="U37" s="21">
        <f>SUMIF(A$7:A$55,N37,G$7:G$55)</f>
        <v>0</v>
      </c>
      <c r="V37" s="21">
        <f>SUMIF(A$7:A$55,N37,I$7:I$55)</f>
        <v>0</v>
      </c>
    </row>
    <row r="38" spans="1:22" x14ac:dyDescent="0.3">
      <c r="A38" s="22">
        <v>46289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46289</v>
      </c>
      <c r="O38" s="21">
        <f>SUMIF(A$7:A$55,N38,D$7:D$55)+SUMIF(A$7:A$41,N38,G$7:G$55)</f>
        <v>0</v>
      </c>
      <c r="P38" s="21">
        <f>SUMIF(A$7:A$41,N38,E$7:E$41)+SUMIF(A$7:A$41,N38,J$7:J$41)</f>
        <v>0</v>
      </c>
      <c r="Q38" s="21">
        <f>SUMIF(A$7:A$41,N38,F$7:F$41)</f>
        <v>0</v>
      </c>
      <c r="R38" s="21">
        <f>SUMIF(A$7:A$54,N38,H$7:H$55)</f>
        <v>0</v>
      </c>
      <c r="S38" s="21">
        <f>SUMIF(A$7:A$54,N38,I$7:I$54)</f>
        <v>0</v>
      </c>
      <c r="T38" s="21">
        <f>SUMIF(A$7:A$54,N38,K$7:K$55)</f>
        <v>0</v>
      </c>
      <c r="U38" s="21">
        <f>SUMIF(A$7:A$55,N38,G$7:G$55)</f>
        <v>0</v>
      </c>
      <c r="V38" s="21">
        <f>SUMIF(A$7:A$55,N38,I$7:I$55)</f>
        <v>0</v>
      </c>
    </row>
    <row r="39" spans="1:22" x14ac:dyDescent="0.3">
      <c r="A39" s="22">
        <v>46290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77"/>
      <c r="N39" s="20">
        <v>46290</v>
      </c>
      <c r="O39" s="21">
        <f>SUMIF(A$7:A$55,N39,D$7:D$55)+SUMIF(A$7:A$41,N39,G$7:G$55)</f>
        <v>0</v>
      </c>
      <c r="P39" s="21">
        <f>SUMIF(A$7:A$41,N39,E$7:E$41)+SUMIF(A$7:A$41,N39,J$7:J$41)</f>
        <v>0</v>
      </c>
      <c r="Q39" s="21">
        <f>SUMIF(A$7:A$41,N39,F$7:F$41)</f>
        <v>0</v>
      </c>
      <c r="R39" s="21">
        <f>SUMIF(A$7:A$54,N39,H$7:H$55)</f>
        <v>0</v>
      </c>
      <c r="S39" s="21">
        <f>SUMIF(A$7:A$54,N39,I$7:I$54)</f>
        <v>0</v>
      </c>
      <c r="T39" s="21">
        <f>SUMIF(A$7:A$54,N39,K$7:K$55)</f>
        <v>0</v>
      </c>
      <c r="U39" s="21">
        <f>SUMIF(A$7:A$55,N39,G$7:G$55)</f>
        <v>0</v>
      </c>
      <c r="V39" s="21">
        <f>SUMIF(A$7:A$55,N39,I$7:I$55)</f>
        <v>0</v>
      </c>
    </row>
    <row r="40" spans="1:22" x14ac:dyDescent="0.3">
      <c r="A40" s="22">
        <v>46291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46291</v>
      </c>
      <c r="O40" s="21">
        <f>SUMIF(A$7:A$55,N40,D$7:D$55)+SUMIF(A$7:A$41,N40,G$7:G$55)</f>
        <v>0</v>
      </c>
      <c r="P40" s="21">
        <f>SUMIF(A$7:A$41,N40,E$7:E$41)+SUMIF(A$7:A$41,N40,J$7:J$41)</f>
        <v>0</v>
      </c>
      <c r="Q40" s="21">
        <f>SUMIF(A$7:A$41,N40,F$7:F$41)</f>
        <v>0</v>
      </c>
      <c r="R40" s="21">
        <f>SUMIF(A$7:A$54,N40,H$7:H$55)</f>
        <v>0</v>
      </c>
      <c r="S40" s="21">
        <f>SUMIF(A$7:A$54,N40,I$7:I$54)</f>
        <v>0</v>
      </c>
      <c r="T40" s="21">
        <f>SUMIF(A$7:A$54,N40,K$7:K$55)</f>
        <v>0</v>
      </c>
      <c r="U40" s="21">
        <f>SUMIF(A$7:A$55,N40,G$7:G$55)</f>
        <v>0</v>
      </c>
      <c r="V40" s="21">
        <f>SUMIF(A$7:A$55,N40,I$7:I$55)</f>
        <v>0</v>
      </c>
    </row>
    <row r="41" spans="1:22" x14ac:dyDescent="0.3">
      <c r="A41" s="22">
        <v>46292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46292</v>
      </c>
      <c r="O41" s="21">
        <f>SUMIF(A$7:A$55,N41,D$7:D$55)+SUMIF(A$7:A$41,N41,G$7:G$55)</f>
        <v>0</v>
      </c>
      <c r="P41" s="21">
        <f>SUMIF(A$7:A$41,N41,E$7:E$41)+SUMIF(A$7:A$41,N41,J$7:J$41)</f>
        <v>0</v>
      </c>
      <c r="Q41" s="21">
        <f>SUMIF(A$7:A$41,N41,F$7:F$41)</f>
        <v>0</v>
      </c>
      <c r="R41" s="21">
        <f>SUMIF(A$7:A$54,N41,H$7:H$55)</f>
        <v>0</v>
      </c>
      <c r="S41" s="21">
        <f>SUMIF(A$7:A$54,N41,I$7:I$54)</f>
        <v>0</v>
      </c>
      <c r="T41" s="21">
        <f>SUMIF(A$7:A$54,N41,K$7:K$55)</f>
        <v>0</v>
      </c>
      <c r="U41" s="21">
        <f>SUMIF(A$7:A$55,N41,G$7:G$55)</f>
        <v>0</v>
      </c>
      <c r="V41" s="21">
        <f>SUMIF(A$7:A$55,N41,I$7:I$55)</f>
        <v>0</v>
      </c>
    </row>
    <row r="42" spans="1:22" x14ac:dyDescent="0.3">
      <c r="A42" s="22">
        <v>46293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46293</v>
      </c>
      <c r="O42" s="21">
        <f>SUMIF(A$7:A$55,N42,D$7:D$55)+SUMIF(A$7:A$41,N42,G$7:G$55)</f>
        <v>0</v>
      </c>
      <c r="P42" s="21">
        <f>SUMIF(A$7:A$41,N42,E$7:E$41)+SUMIF(A$7:A$41,N42,J$7:J$41)</f>
        <v>0</v>
      </c>
      <c r="Q42" s="21">
        <f>SUMIF(A$7:A$41,N42,F$7:F$41)</f>
        <v>0</v>
      </c>
      <c r="R42" s="21">
        <f>SUMIF(A$7:A$54,N42,H$7:H$55)</f>
        <v>0</v>
      </c>
      <c r="S42" s="21">
        <f>SUMIF(A$7:A$54,N42,I$7:I$54)</f>
        <v>0</v>
      </c>
      <c r="T42" s="21">
        <f>SUMIF(A$7:A$54,N42,K$7:K$55)</f>
        <v>0</v>
      </c>
      <c r="U42" s="21">
        <f>SUMIF(A$7:A$55,N42,G$7:G$55)</f>
        <v>0</v>
      </c>
      <c r="V42" s="21">
        <f>SUMIF(A$7:A$55,N42,I$7:I$55)</f>
        <v>0</v>
      </c>
    </row>
    <row r="43" spans="1:22" x14ac:dyDescent="0.3">
      <c r="A43" s="22">
        <v>46294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46294</v>
      </c>
      <c r="O43" s="21">
        <f>SUMIF(A$7:A$55,N43,D$7:D$55)+SUMIF(A$7:A$41,N43,G$7:G$55)</f>
        <v>0</v>
      </c>
      <c r="P43" s="21">
        <f>SUMIF(A$7:A$41,N43,E$7:E$41)+SUMIF(A$7:A$41,N43,J$7:J$41)</f>
        <v>0</v>
      </c>
      <c r="Q43" s="21">
        <f>SUMIF(A$7:A$41,N43,F$7:F$41)</f>
        <v>0</v>
      </c>
      <c r="R43" s="21">
        <f>SUMIF(A$7:A$54,N43,H$7:H$55)</f>
        <v>0</v>
      </c>
      <c r="S43" s="21">
        <f>SUMIF(A$7:A$54,N43,I$7:I$54)</f>
        <v>0</v>
      </c>
      <c r="T43" s="21">
        <f>SUMIF(A$7:A$54,N43,K$7:K$55)</f>
        <v>0</v>
      </c>
      <c r="U43" s="21">
        <f>SUMIF(A$7:A$55,N43,G$7:G$55)</f>
        <v>0</v>
      </c>
      <c r="V43" s="21">
        <f>SUMIF(A$7:A$55,N43,I$7:I$55)</f>
        <v>0</v>
      </c>
    </row>
    <row r="44" spans="1:22" x14ac:dyDescent="0.3">
      <c r="A44" s="22">
        <v>46295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46295</v>
      </c>
      <c r="O44" s="21">
        <f>SUMIF(A$7:A$55,N44,D$7:D$55)+SUMIF(A$7:A$41,N44,G$7:G$55)</f>
        <v>0</v>
      </c>
      <c r="P44" s="21">
        <f>SUMIF(A$7:A$41,N44,E$7:E$41)+SUMIF(A$7:A$41,N44,J$7:J$41)</f>
        <v>0</v>
      </c>
      <c r="Q44" s="21">
        <f>SUMIF(A$7:A$41,N44,F$7:F$41)</f>
        <v>0</v>
      </c>
      <c r="R44" s="21">
        <f>SUMIF(A$7:A$54,N44,H$7:H$55)</f>
        <v>0</v>
      </c>
      <c r="S44" s="21">
        <f>SUMIF(A$7:A$54,N44,I$7:I$54)</f>
        <v>0</v>
      </c>
      <c r="T44" s="21">
        <f>SUMIF(A$7:A$54,N44,K$7:K$55)</f>
        <v>0</v>
      </c>
      <c r="U44" s="21">
        <f>SUMIF(A$7:A$55,N44,G$7:G$55)</f>
        <v>0</v>
      </c>
      <c r="V44" s="21">
        <f>SUMIF(A$7:A$55,N44,I$7:I$55)</f>
        <v>0</v>
      </c>
    </row>
    <row r="45" spans="1:22" x14ac:dyDescent="0.3">
      <c r="A45" s="22">
        <v>46296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46296</v>
      </c>
      <c r="O45" s="21">
        <f>SUMIF(A$7:A$55,N45,D$7:D$55)+SUMIF(A$7:A$41,N45,G$7:G$55)</f>
        <v>0</v>
      </c>
      <c r="P45" s="21">
        <f>SUMIF(A$7:A$41,N45,E$7:E$41)+SUMIF(A$7:A$41,N45,J$7:J$41)</f>
        <v>0</v>
      </c>
      <c r="Q45" s="21">
        <f>SUMIF(A$7:A$41,N45,F$7:F$41)</f>
        <v>0</v>
      </c>
      <c r="R45" s="21">
        <f>SUMIF(A$7:A$54,N45,H$7:H$55)</f>
        <v>0</v>
      </c>
      <c r="S45" s="21">
        <f>SUMIF(A$7:A$54,N45,I$7:I$54)</f>
        <v>0</v>
      </c>
      <c r="T45" s="21">
        <f>SUMIF(A$7:A$54,N45,K$7:K$55)</f>
        <v>0</v>
      </c>
      <c r="U45" s="21">
        <f>SUMIF(A$7:A$55,N45,G$7:G$55)</f>
        <v>0</v>
      </c>
      <c r="V45" s="21">
        <f>SUMIF(A$7:A$55,N45,I$7:I$55)</f>
        <v>0</v>
      </c>
    </row>
    <row r="46" spans="1:22" x14ac:dyDescent="0.3">
      <c r="A46" s="22">
        <v>46297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46297</v>
      </c>
      <c r="O46" s="21">
        <f>SUMIF(A$7:A$55,N46,D$7:D$55)+SUMIF(A$7:A$41,N46,G$7:G$55)</f>
        <v>0</v>
      </c>
      <c r="P46" s="21">
        <f>SUMIF(A$7:A$41,N46,E$7:E$41)+SUMIF(A$7:A$41,N46,J$7:J$41)</f>
        <v>0</v>
      </c>
      <c r="Q46" s="21">
        <f>SUMIF(A$7:A$41,N46,F$7:F$41)</f>
        <v>0</v>
      </c>
      <c r="R46" s="21">
        <f>SUMIF(A$7:A$54,N46,H$7:H$55)</f>
        <v>0</v>
      </c>
      <c r="S46" s="21">
        <f>SUMIF(A$7:A$54,N46,I$7:I$54)</f>
        <v>0</v>
      </c>
      <c r="T46" s="21">
        <f>SUMIF(A$7:A$54,N46,K$7:K$55)</f>
        <v>0</v>
      </c>
      <c r="U46" s="21">
        <f>SUMIF(A$7:A$55,N46,G$7:G$55)</f>
        <v>0</v>
      </c>
      <c r="V46" s="21">
        <f>SUMIF(A$7:A$55,N46,I$7:I$55)</f>
        <v>0</v>
      </c>
    </row>
    <row r="47" spans="1:22" x14ac:dyDescent="0.3">
      <c r="A47" s="22">
        <v>46298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46298</v>
      </c>
      <c r="O47" s="21">
        <f>SUMIF(A$7:A$55,N47,D$7:D$55)+SUMIF(A$7:A$41,N47,G$7:G$55)</f>
        <v>0</v>
      </c>
      <c r="P47" s="21">
        <f>SUMIF(A$7:A$41,N47,E$7:E$41)+SUMIF(A$7:A$41,N47,J$7:J$41)</f>
        <v>0</v>
      </c>
      <c r="Q47" s="21">
        <f>SUMIF(A$7:A$41,N47,F$7:F$41)</f>
        <v>0</v>
      </c>
      <c r="R47" s="21">
        <f>SUMIF(A$7:A$54,N47,H$7:H$55)</f>
        <v>0</v>
      </c>
      <c r="S47" s="21">
        <f>SUMIF(A$7:A$54,N47,I$7:I$54)</f>
        <v>0</v>
      </c>
      <c r="T47" s="21">
        <f>SUMIF(A$7:A$54,N47,K$7:K$55)</f>
        <v>0</v>
      </c>
      <c r="U47" s="21">
        <f>SUMIF(A$7:A$55,N47,G$7:G$55)</f>
        <v>0</v>
      </c>
      <c r="V47" s="21">
        <f>SUMIF(A$7:A$55,N47,I$7:I$55)</f>
        <v>0</v>
      </c>
    </row>
    <row r="48" spans="1:22" x14ac:dyDescent="0.3">
      <c r="A48" s="22">
        <v>46299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46299</v>
      </c>
      <c r="O48" s="21">
        <f>SUMIF(A$7:A$55,N48,D$7:D$55)+SUMIF(A$7:A$41,N48,G$7:G$55)</f>
        <v>0</v>
      </c>
      <c r="P48" s="21">
        <f>SUMIF(A$7:A$41,N48,E$7:E$41)+SUMIF(A$7:A$41,N48,J$7:J$41)</f>
        <v>0</v>
      </c>
      <c r="Q48" s="21">
        <f>SUMIF(A$7:A$41,N48,F$7:F$41)</f>
        <v>0</v>
      </c>
      <c r="R48" s="21">
        <f>SUMIF(A$7:A$54,N48,H$7:H$55)</f>
        <v>0</v>
      </c>
      <c r="S48" s="21">
        <f>SUMIF(A$7:A$54,N48,I$7:I$54)</f>
        <v>0</v>
      </c>
      <c r="T48" s="21">
        <f>SUMIF(A$7:A$54,N48,K$7:K$55)</f>
        <v>0</v>
      </c>
      <c r="U48" s="21">
        <f>SUMIF(A$7:A$55,N48,G$7:G$55)</f>
        <v>0</v>
      </c>
      <c r="V48" s="21">
        <f>SUMIF(A$7:A$55,N48,I$7:I$55)</f>
        <v>0</v>
      </c>
    </row>
    <row r="49" spans="1:22" x14ac:dyDescent="0.3">
      <c r="A49" s="22">
        <v>46300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46300</v>
      </c>
      <c r="O49" s="21">
        <f>SUMIF(A$7:A$55,N49,D$7:D$55)+SUMIF(A$7:A$41,N49,G$7:G$55)</f>
        <v>0</v>
      </c>
      <c r="P49" s="21">
        <f>SUMIF(A$7:A$41,N49,E$7:E$41)+SUMIF(A$7:A$41,N49,J$7:J$41)</f>
        <v>0</v>
      </c>
      <c r="Q49" s="21">
        <f>SUMIF(A$7:A$41,N49,F$7:F$41)</f>
        <v>0</v>
      </c>
      <c r="R49" s="21">
        <f>SUMIF(A$7:A$54,N49,H$7:H$55)</f>
        <v>0</v>
      </c>
      <c r="S49" s="21">
        <f>SUMIF(A$7:A$54,N49,I$7:I$54)</f>
        <v>0</v>
      </c>
      <c r="T49" s="21">
        <f>SUMIF(A$7:A$54,N49,K$7:K$55)</f>
        <v>0</v>
      </c>
      <c r="U49" s="21">
        <f>SUMIF(A$7:A$55,N49,G$7:G$55)</f>
        <v>0</v>
      </c>
      <c r="V49" s="21">
        <f>SUMIF(A$7:A$55,N49,I$7:I$55)</f>
        <v>0</v>
      </c>
    </row>
    <row r="50" spans="1:22" x14ac:dyDescent="0.3">
      <c r="A50" s="22">
        <v>46301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46301</v>
      </c>
      <c r="O50" s="21">
        <f>SUMIF(A$7:A$55,N50,D$7:D$55)+SUMIF(A$7:A$41,N50,G$7:G$55)</f>
        <v>0</v>
      </c>
      <c r="P50" s="21">
        <f>SUMIF(A$7:A$41,N50,E$7:E$41)+SUMIF(A$7:A$41,N50,J$7:J$41)</f>
        <v>0</v>
      </c>
      <c r="Q50" s="21">
        <f>SUMIF(A$7:A$41,N50,F$7:F$41)</f>
        <v>0</v>
      </c>
      <c r="R50" s="21">
        <f>SUMIF(A$7:A$54,N50,H$7:H$55)</f>
        <v>0</v>
      </c>
      <c r="S50" s="21">
        <f>SUMIF(A$7:A$54,N50,I$7:I$54)</f>
        <v>0</v>
      </c>
      <c r="T50" s="21">
        <f>SUMIF(A$7:A$54,N50,K$7:K$55)</f>
        <v>0</v>
      </c>
      <c r="U50" s="21">
        <f>SUMIF(A$7:A$55,N50,G$7:G$55)</f>
        <v>0</v>
      </c>
      <c r="V50" s="21">
        <f>SUMIF(A$7:A$55,N50,I$7:I$55)</f>
        <v>0</v>
      </c>
    </row>
    <row r="51" spans="1:22" x14ac:dyDescent="0.3">
      <c r="A51" s="22">
        <v>46302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46302</v>
      </c>
      <c r="O51" s="21">
        <f>SUMIF(A$7:A$55,N51,D$7:D$55)+SUMIF(A$7:A$41,N51,G$7:G$55)</f>
        <v>0</v>
      </c>
      <c r="P51" s="21">
        <f>SUMIF(A$7:A$41,N51,E$7:E$41)+SUMIF(A$7:A$41,N51,J$7:J$41)</f>
        <v>0</v>
      </c>
      <c r="Q51" s="21">
        <f>SUMIF(A$7:A$41,N51,F$7:F$41)</f>
        <v>0</v>
      </c>
      <c r="R51" s="21">
        <f>SUMIF(A$7:A$54,N51,H$7:H$55)</f>
        <v>0</v>
      </c>
      <c r="S51" s="21">
        <f>SUMIF(A$7:A$54,N51,I$7:I$54)</f>
        <v>0</v>
      </c>
      <c r="T51" s="21">
        <f>SUMIF(A$7:A$54,N51,K$7:K$55)</f>
        <v>0</v>
      </c>
      <c r="U51" s="21">
        <f>SUMIF(A$7:A$55,N51,G$7:G$55)</f>
        <v>0</v>
      </c>
      <c r="V51" s="21">
        <f>SUMIF(A$7:A$55,N51,I$7:I$55)</f>
        <v>0</v>
      </c>
    </row>
    <row r="52" spans="1:22" x14ac:dyDescent="0.3">
      <c r="A52" s="22">
        <v>46303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46303</v>
      </c>
      <c r="O52" s="21">
        <f>SUMIF(A$7:A$55,N52,D$7:D$55)+SUMIF(A$7:A$41,N52,G$7:G$55)</f>
        <v>0</v>
      </c>
      <c r="P52" s="21">
        <f>SUMIF(A$7:A$41,N52,E$7:E$41)+SUMIF(A$7:A$41,N52,J$7:J$41)</f>
        <v>0</v>
      </c>
      <c r="Q52" s="21">
        <f>SUMIF(A$7:A$41,N52,F$7:F$41)</f>
        <v>0</v>
      </c>
      <c r="R52" s="21">
        <f>SUMIF(A$7:A$54,N52,H$7:H$55)</f>
        <v>0</v>
      </c>
      <c r="S52" s="21">
        <f>SUMIF(A$7:A$54,N52,I$7:I$54)</f>
        <v>0</v>
      </c>
      <c r="T52" s="21">
        <f>SUMIF(A$7:A$54,N52,K$7:K$55)</f>
        <v>0</v>
      </c>
      <c r="U52" s="21">
        <f>SUMIF(A$7:A$55,N52,G$7:G$55)</f>
        <v>0</v>
      </c>
      <c r="V52" s="21">
        <f>SUMIF(A$7:A$55,N52,I$7:I$55)</f>
        <v>0</v>
      </c>
    </row>
    <row r="53" spans="1:22" x14ac:dyDescent="0.3">
      <c r="A53" s="22">
        <v>46304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46304</v>
      </c>
      <c r="O53" s="21">
        <f>SUMIF(A$7:A$55,N53,D$7:D$55)+SUMIF(A$7:A$41,N53,G$7:G$55)</f>
        <v>0</v>
      </c>
      <c r="P53" s="21">
        <f>SUMIF(A$7:A$41,N53,E$7:E$41)+SUMIF(A$7:A$41,N53,J$7:J$41)</f>
        <v>0</v>
      </c>
      <c r="Q53" s="21">
        <f>SUMIF(A$7:A$41,N53,F$7:F$41)</f>
        <v>0</v>
      </c>
      <c r="R53" s="21">
        <f>SUMIF(A$7:A$54,N53,H$7:H$55)</f>
        <v>0</v>
      </c>
      <c r="S53" s="21">
        <f>SUMIF(A$7:A$54,N53,I$7:I$54)</f>
        <v>0</v>
      </c>
      <c r="T53" s="21">
        <f>SUMIF(A$7:A$54,N53,K$7:K$55)</f>
        <v>0</v>
      </c>
      <c r="U53" s="21">
        <f>SUMIF(A$7:A$55,N53,G$7:G$55)</f>
        <v>0</v>
      </c>
      <c r="V53" s="21">
        <f>SUMIF(A$7:A$55,N53,I$7:I$55)</f>
        <v>0</v>
      </c>
    </row>
    <row r="54" spans="1:22" x14ac:dyDescent="0.3">
      <c r="A54" s="22">
        <v>46305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46305</v>
      </c>
      <c r="O54" s="21">
        <f>SUMIF(A$7:A$55,N54,D$7:D$55)+SUMIF(A$7:A$41,N54,G$7:G$55)</f>
        <v>0</v>
      </c>
      <c r="P54" s="21">
        <f>SUMIF(A$7:A$41,N54,E$7:E$41)+SUMIF(A$7:A$41,N54,J$7:J$41)</f>
        <v>0</v>
      </c>
      <c r="Q54" s="21">
        <f>SUMIF(A$7:A$41,N54,F$7:F$41)</f>
        <v>0</v>
      </c>
      <c r="R54" s="21">
        <f>SUMIF(A$7:A$54,N54,H$7:H$55)</f>
        <v>0</v>
      </c>
      <c r="S54" s="21">
        <f>SUMIF(A$7:A$54,N54,I$7:I$54)</f>
        <v>0</v>
      </c>
      <c r="T54" s="21">
        <f>SUMIF(A$7:A$54,N54,K$7:K$55)</f>
        <v>0</v>
      </c>
      <c r="U54" s="21">
        <f>SUMIF(A$7:A$55,N54,G$7:G$55)</f>
        <v>0</v>
      </c>
      <c r="V54" s="21">
        <f>SUMIF(A$7:A$55,N54,I$7:I$55)</f>
        <v>0</v>
      </c>
    </row>
    <row r="55" spans="1:22" x14ac:dyDescent="0.3">
      <c r="A55" s="22"/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3" t="s">
        <v>18</v>
      </c>
      <c r="O55" s="24">
        <f>SUM(O7:O54)</f>
        <v>1625</v>
      </c>
      <c r="P55" s="24">
        <f t="shared" ref="P55:V55" si="1">SUM(P7:P54)</f>
        <v>3500</v>
      </c>
      <c r="Q55" s="24">
        <f t="shared" si="1"/>
        <v>2500</v>
      </c>
      <c r="R55" s="24">
        <f t="shared" si="1"/>
        <v>0</v>
      </c>
      <c r="S55" s="24">
        <f t="shared" si="1"/>
        <v>0</v>
      </c>
      <c r="T55" s="24">
        <f t="shared" si="1"/>
        <v>75</v>
      </c>
      <c r="U55" s="24">
        <f t="shared" si="1"/>
        <v>0</v>
      </c>
      <c r="V55" s="24">
        <f t="shared" si="1"/>
        <v>0</v>
      </c>
    </row>
    <row r="57" spans="1:22" x14ac:dyDescent="0.3">
      <c r="O57">
        <f>O55*X22</f>
        <v>78000000</v>
      </c>
      <c r="P57">
        <f>P55*Y22</f>
        <v>8050000</v>
      </c>
      <c r="Q57">
        <f>Q55*AA22</f>
        <v>110000000</v>
      </c>
      <c r="T57">
        <f>Z22*T55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51" t="s">
        <v>0</v>
      </c>
      <c r="C4" s="652"/>
      <c r="D4" s="652"/>
      <c r="E4" s="652"/>
      <c r="F4" s="652"/>
      <c r="G4" s="652"/>
      <c r="H4" s="652"/>
      <c r="I4" s="652"/>
      <c r="J4" s="652"/>
      <c r="K4" s="652"/>
      <c r="L4" s="652"/>
      <c r="M4" s="652"/>
      <c r="N4" s="652"/>
      <c r="O4" s="653"/>
    </row>
    <row r="5" spans="2:27" ht="57.6" customHeight="1" thickBot="1" x14ac:dyDescent="0.35">
      <c r="B5" s="664" t="s">
        <v>1</v>
      </c>
      <c r="C5" s="665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626" t="s">
        <v>12</v>
      </c>
      <c r="T5" s="627"/>
      <c r="W5" s="646" t="s">
        <v>19</v>
      </c>
      <c r="X5" s="646"/>
      <c r="Y5" s="646"/>
      <c r="Z5" s="646"/>
      <c r="AA5" s="646"/>
    </row>
    <row r="6" spans="2:27" ht="13.95" customHeight="1" thickBot="1" x14ac:dyDescent="0.4">
      <c r="B6" s="647">
        <v>46174</v>
      </c>
      <c r="C6" s="648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662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49"/>
      <c r="C7" s="650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663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56">
        <v>46175</v>
      </c>
      <c r="C8" s="657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660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58"/>
      <c r="C9" s="659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661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47">
        <v>46176</v>
      </c>
      <c r="C10" s="648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666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49"/>
      <c r="C11" s="650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667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56">
        <v>46177</v>
      </c>
      <c r="C12" s="657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660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58"/>
      <c r="C13" s="659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661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47">
        <v>46252</v>
      </c>
      <c r="C14" s="648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666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49"/>
      <c r="C15" s="650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667"/>
      <c r="O15" s="337"/>
    </row>
    <row r="16" spans="2:27" ht="18.600000000000001" thickBot="1" x14ac:dyDescent="0.4">
      <c r="B16" s="656">
        <v>46253</v>
      </c>
      <c r="C16" s="657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660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658"/>
      <c r="C17" s="659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661"/>
      <c r="O17" s="401" t="s">
        <v>396</v>
      </c>
    </row>
    <row r="18" spans="2:23" ht="18.600000000000001" thickBot="1" x14ac:dyDescent="0.4">
      <c r="B18" s="647">
        <v>46254</v>
      </c>
      <c r="C18" s="648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666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49"/>
      <c r="C19" s="650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668"/>
      <c r="O19" s="337" t="s">
        <v>418</v>
      </c>
      <c r="T19" s="123"/>
    </row>
    <row r="20" spans="2:23" ht="18.600000000000001" thickBot="1" x14ac:dyDescent="0.4">
      <c r="B20" s="647">
        <v>46255</v>
      </c>
      <c r="C20" s="648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666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49"/>
      <c r="C21" s="650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668"/>
      <c r="O21" s="337"/>
      <c r="S21" s="2"/>
      <c r="T21" s="124"/>
    </row>
    <row r="22" spans="2:23" ht="18.600000000000001" thickBot="1" x14ac:dyDescent="0.4">
      <c r="B22" s="647">
        <v>46256</v>
      </c>
      <c r="C22" s="648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666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49"/>
      <c r="C23" s="650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667"/>
      <c r="O23" s="337"/>
      <c r="P23" s="11"/>
      <c r="T23" s="123"/>
    </row>
    <row r="24" spans="2:23" ht="18.600000000000001" thickBot="1" x14ac:dyDescent="0.4">
      <c r="B24" s="647">
        <v>46257</v>
      </c>
      <c r="C24" s="648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666">
        <f>SUM(L24:L25)-V26</f>
        <v>0</v>
      </c>
      <c r="O24" s="337"/>
    </row>
    <row r="25" spans="2:23" ht="18.600000000000001" thickBot="1" x14ac:dyDescent="0.4">
      <c r="B25" s="649"/>
      <c r="C25" s="650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667"/>
      <c r="O25" s="337"/>
      <c r="T25" s="3"/>
    </row>
    <row r="26" spans="2:23" ht="18.600000000000001" thickBot="1" x14ac:dyDescent="0.4">
      <c r="B26" s="647">
        <v>46258</v>
      </c>
      <c r="C26" s="648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666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49"/>
      <c r="C27" s="650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667"/>
      <c r="O27" s="337"/>
    </row>
    <row r="28" spans="2:23" ht="18.600000000000001" thickBot="1" x14ac:dyDescent="0.4">
      <c r="B28" s="647">
        <v>46259</v>
      </c>
      <c r="C28" s="648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662">
        <f>SUM(L28:L29)</f>
        <v>0</v>
      </c>
      <c r="O28" s="337"/>
    </row>
    <row r="29" spans="2:23" ht="18.600000000000001" thickBot="1" x14ac:dyDescent="0.4">
      <c r="B29" s="649"/>
      <c r="C29" s="650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663"/>
      <c r="O29" s="337"/>
      <c r="P29" s="11"/>
    </row>
    <row r="30" spans="2:23" ht="18.600000000000001" thickBot="1" x14ac:dyDescent="0.4">
      <c r="B30" s="647">
        <v>46260</v>
      </c>
      <c r="C30" s="648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662">
        <f t="shared" ref="N30" si="13">SUM(L30:L31)</f>
        <v>0</v>
      </c>
      <c r="O30" s="337"/>
    </row>
    <row r="31" spans="2:23" ht="18.600000000000001" thickBot="1" x14ac:dyDescent="0.4">
      <c r="B31" s="649"/>
      <c r="C31" s="650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663"/>
      <c r="O31" s="337"/>
    </row>
    <row r="32" spans="2:23" ht="54.6" thickBot="1" x14ac:dyDescent="0.4">
      <c r="B32" s="647">
        <v>46261</v>
      </c>
      <c r="C32" s="648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662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49"/>
      <c r="C33" s="650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663"/>
      <c r="O33" s="337"/>
    </row>
    <row r="34" spans="2:24" ht="18.600000000000001" thickBot="1" x14ac:dyDescent="0.4">
      <c r="B34" s="647">
        <v>46262</v>
      </c>
      <c r="C34" s="648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662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49"/>
      <c r="C35" s="650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663"/>
      <c r="O35" s="337"/>
    </row>
    <row r="36" spans="2:24" ht="18.600000000000001" thickBot="1" x14ac:dyDescent="0.35">
      <c r="B36" s="647">
        <v>46263</v>
      </c>
      <c r="C36" s="648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662">
        <f>SUM(L36:L37)</f>
        <v>240.43500000000003</v>
      </c>
      <c r="O36" s="673" t="str">
        <f>'Crushing Down Time Hours'!G17</f>
        <v>istirahat jam 12-13, 14:00-15:00 ada loading material dari mining</v>
      </c>
    </row>
    <row r="37" spans="2:24" ht="18.600000000000001" thickBot="1" x14ac:dyDescent="0.35">
      <c r="B37" s="649"/>
      <c r="C37" s="650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663"/>
      <c r="O37" s="674"/>
    </row>
    <row r="38" spans="2:24" ht="18.600000000000001" thickBot="1" x14ac:dyDescent="0.4">
      <c r="B38" s="647">
        <v>46264</v>
      </c>
      <c r="C38" s="648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662">
        <f t="shared" ref="N38" si="15">SUM(L38:L39)</f>
        <v>53.820000000000007</v>
      </c>
      <c r="O38" s="337"/>
      <c r="Q38" s="4"/>
    </row>
    <row r="39" spans="2:24" ht="18.600000000000001" thickBot="1" x14ac:dyDescent="0.4">
      <c r="B39" s="649"/>
      <c r="C39" s="650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663"/>
      <c r="O39" s="337"/>
    </row>
    <row r="40" spans="2:24" ht="18.600000000000001" thickBot="1" x14ac:dyDescent="0.4">
      <c r="B40" s="647">
        <v>46265</v>
      </c>
      <c r="C40" s="648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662">
        <f>SUM(L40:L41)</f>
        <v>0</v>
      </c>
      <c r="O40" s="337"/>
    </row>
    <row r="41" spans="2:24" ht="18.600000000000001" thickBot="1" x14ac:dyDescent="0.4">
      <c r="B41" s="649"/>
      <c r="C41" s="650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663"/>
      <c r="O41" s="337"/>
    </row>
    <row r="42" spans="2:24" ht="18.600000000000001" thickBot="1" x14ac:dyDescent="0.4">
      <c r="B42" s="647">
        <v>46266</v>
      </c>
      <c r="C42" s="648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662">
        <f t="shared" ref="N42" si="16">SUM(L42:L43)</f>
        <v>0</v>
      </c>
      <c r="O42" s="337"/>
    </row>
    <row r="43" spans="2:24" ht="18.600000000000001" thickBot="1" x14ac:dyDescent="0.4">
      <c r="B43" s="649"/>
      <c r="C43" s="650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663"/>
      <c r="O43" s="337"/>
    </row>
    <row r="44" spans="2:24" ht="18.600000000000001" thickBot="1" x14ac:dyDescent="0.4">
      <c r="B44" s="647">
        <v>46267</v>
      </c>
      <c r="C44" s="648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662">
        <f t="shared" ref="N44" si="17">SUM(L44:L45)</f>
        <v>0</v>
      </c>
      <c r="O44" s="337"/>
    </row>
    <row r="45" spans="2:24" ht="18.600000000000001" thickBot="1" x14ac:dyDescent="0.4">
      <c r="B45" s="649"/>
      <c r="C45" s="650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663"/>
      <c r="O45" s="337"/>
    </row>
    <row r="46" spans="2:24" ht="18.600000000000001" thickBot="1" x14ac:dyDescent="0.4">
      <c r="B46" s="647">
        <v>46268</v>
      </c>
      <c r="C46" s="648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662">
        <f t="shared" ref="N46:N58" si="18">SUM(L46:L47)</f>
        <v>0</v>
      </c>
      <c r="O46" s="337"/>
    </row>
    <row r="47" spans="2:24" ht="18.600000000000001" thickBot="1" x14ac:dyDescent="0.4">
      <c r="B47" s="649"/>
      <c r="C47" s="650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663"/>
      <c r="O47" s="337"/>
    </row>
    <row r="48" spans="2:24" ht="18.600000000000001" thickBot="1" x14ac:dyDescent="0.4">
      <c r="B48" s="647">
        <v>46269</v>
      </c>
      <c r="C48" s="648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662">
        <f t="shared" si="18"/>
        <v>0</v>
      </c>
      <c r="O48" s="337"/>
    </row>
    <row r="49" spans="2:22" ht="18.600000000000001" thickBot="1" x14ac:dyDescent="0.4">
      <c r="B49" s="649"/>
      <c r="C49" s="650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663"/>
      <c r="O49" s="337"/>
    </row>
    <row r="50" spans="2:22" ht="18.600000000000001" thickBot="1" x14ac:dyDescent="0.4">
      <c r="B50" s="647">
        <v>46270</v>
      </c>
      <c r="C50" s="648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662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649"/>
      <c r="C51" s="650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663"/>
      <c r="O51" s="337"/>
      <c r="P51" s="4"/>
    </row>
    <row r="52" spans="2:22" ht="18.600000000000001" thickBot="1" x14ac:dyDescent="0.4">
      <c r="B52" s="647">
        <v>46271</v>
      </c>
      <c r="C52" s="648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662">
        <f t="shared" si="18"/>
        <v>0</v>
      </c>
      <c r="O52" s="337"/>
    </row>
    <row r="53" spans="2:22" ht="18.600000000000001" thickBot="1" x14ac:dyDescent="0.4">
      <c r="B53" s="649"/>
      <c r="C53" s="650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663"/>
      <c r="O53" s="337"/>
      <c r="R53" s="1">
        <f>R50*4</f>
        <v>60</v>
      </c>
    </row>
    <row r="54" spans="2:22" ht="18.600000000000001" thickBot="1" x14ac:dyDescent="0.4">
      <c r="B54" s="647">
        <v>46272</v>
      </c>
      <c r="C54" s="648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662">
        <f t="shared" si="18"/>
        <v>0</v>
      </c>
      <c r="O54" s="337"/>
    </row>
    <row r="55" spans="2:22" ht="18.600000000000001" thickBot="1" x14ac:dyDescent="0.4">
      <c r="B55" s="649"/>
      <c r="C55" s="650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663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647">
        <v>46273</v>
      </c>
      <c r="C56" s="648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662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649"/>
      <c r="C57" s="650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663"/>
      <c r="O57" s="337"/>
      <c r="Q57" s="4"/>
      <c r="R57" s="4"/>
      <c r="S57" s="1">
        <v>1190</v>
      </c>
    </row>
    <row r="58" spans="2:22" ht="18.600000000000001" thickBot="1" x14ac:dyDescent="0.4">
      <c r="B58" s="647">
        <v>46274</v>
      </c>
      <c r="C58" s="648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662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649"/>
      <c r="C59" s="650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663"/>
      <c r="O59" s="337"/>
      <c r="P59" s="4"/>
      <c r="S59" s="2">
        <f>(S55-S58)/S55</f>
        <v>0.10083594566353186</v>
      </c>
    </row>
    <row r="60" spans="2:22" ht="18.600000000000001" thickBot="1" x14ac:dyDescent="0.4">
      <c r="B60" s="647">
        <v>46275</v>
      </c>
      <c r="C60" s="648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654">
        <f>SUM(L60:L61)</f>
        <v>0</v>
      </c>
      <c r="O60" s="337"/>
      <c r="P60" s="11"/>
    </row>
    <row r="61" spans="2:22" ht="18.600000000000001" thickBot="1" x14ac:dyDescent="0.4">
      <c r="B61" s="649"/>
      <c r="C61" s="650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655"/>
      <c r="O61" s="337"/>
      <c r="P61" s="11"/>
    </row>
    <row r="62" spans="2:22" ht="18.600000000000001" thickBot="1" x14ac:dyDescent="0.4">
      <c r="B62" s="647">
        <v>46276</v>
      </c>
      <c r="C62" s="648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654">
        <f>SUM(L62:L63)</f>
        <v>0</v>
      </c>
      <c r="O62" s="337"/>
      <c r="P62" s="11"/>
    </row>
    <row r="63" spans="2:22" ht="18.600000000000001" thickBot="1" x14ac:dyDescent="0.4">
      <c r="B63" s="649"/>
      <c r="C63" s="650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655"/>
      <c r="O63" s="337"/>
      <c r="P63" s="11"/>
    </row>
    <row r="64" spans="2:22" ht="18.600000000000001" thickBot="1" x14ac:dyDescent="0.4">
      <c r="B64" s="647">
        <v>46277</v>
      </c>
      <c r="C64" s="648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654">
        <f>SUM(L64:L65)</f>
        <v>0</v>
      </c>
      <c r="O64" s="337"/>
      <c r="P64" s="11"/>
    </row>
    <row r="65" spans="2:16" ht="18.600000000000001" thickBot="1" x14ac:dyDescent="0.4">
      <c r="B65" s="649"/>
      <c r="C65" s="650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655"/>
      <c r="O65" s="337"/>
      <c r="P65" s="11"/>
    </row>
    <row r="66" spans="2:16" ht="18.600000000000001" thickBot="1" x14ac:dyDescent="0.4">
      <c r="B66" s="647">
        <v>46278</v>
      </c>
      <c r="C66" s="648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654">
        <f>SUM(L66:L67)</f>
        <v>0</v>
      </c>
      <c r="O66" s="337"/>
      <c r="P66" s="11"/>
    </row>
    <row r="67" spans="2:16" ht="18.600000000000001" thickBot="1" x14ac:dyDescent="0.4">
      <c r="B67" s="649"/>
      <c r="C67" s="650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655"/>
      <c r="O67" s="337"/>
      <c r="P67" s="11"/>
    </row>
    <row r="68" spans="2:16" ht="18.600000000000001" thickBot="1" x14ac:dyDescent="0.4">
      <c r="B68" s="647">
        <v>46279</v>
      </c>
      <c r="C68" s="648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654">
        <f t="shared" ref="N68" si="31">SUM(L68:L69)</f>
        <v>0</v>
      </c>
      <c r="O68" s="337"/>
      <c r="P68" s="11"/>
    </row>
    <row r="69" spans="2:16" ht="18.600000000000001" thickBot="1" x14ac:dyDescent="0.4">
      <c r="B69" s="649"/>
      <c r="C69" s="650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655"/>
      <c r="O69" s="337"/>
      <c r="P69" s="11"/>
    </row>
    <row r="70" spans="2:16" ht="18.600000000000001" thickBot="1" x14ac:dyDescent="0.4">
      <c r="B70" s="647">
        <v>46280</v>
      </c>
      <c r="C70" s="648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654">
        <f t="shared" ref="N70" si="32">SUM(L70:L71)</f>
        <v>0</v>
      </c>
      <c r="O70" s="337"/>
      <c r="P70" s="11"/>
    </row>
    <row r="71" spans="2:16" ht="18.600000000000001" thickBot="1" x14ac:dyDescent="0.4">
      <c r="B71" s="649"/>
      <c r="C71" s="650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655"/>
      <c r="O71" s="337"/>
      <c r="P71" s="11"/>
    </row>
    <row r="72" spans="2:16" ht="18.600000000000001" thickBot="1" x14ac:dyDescent="0.4">
      <c r="B72" s="647">
        <v>46281</v>
      </c>
      <c r="C72" s="648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654">
        <f t="shared" ref="N72" si="33">SUM(L72:L73)</f>
        <v>0</v>
      </c>
      <c r="O72" s="337"/>
      <c r="P72" s="11"/>
    </row>
    <row r="73" spans="2:16" ht="18.600000000000001" thickBot="1" x14ac:dyDescent="0.4">
      <c r="B73" s="649"/>
      <c r="C73" s="650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655"/>
      <c r="O73" s="337"/>
      <c r="P73" s="11"/>
    </row>
    <row r="74" spans="2:16" ht="18.600000000000001" thickBot="1" x14ac:dyDescent="0.4">
      <c r="B74" s="647">
        <v>46282</v>
      </c>
      <c r="C74" s="648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654">
        <f t="shared" ref="N74" si="34">SUM(L74:L75)</f>
        <v>0</v>
      </c>
      <c r="O74" s="337"/>
      <c r="P74" s="11"/>
    </row>
    <row r="75" spans="2:16" ht="18.600000000000001" thickBot="1" x14ac:dyDescent="0.4">
      <c r="B75" s="649"/>
      <c r="C75" s="650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655"/>
      <c r="O75" s="337"/>
      <c r="P75" s="11"/>
    </row>
    <row r="76" spans="2:16" ht="18.600000000000001" thickBot="1" x14ac:dyDescent="0.4">
      <c r="B76" s="647">
        <v>46283</v>
      </c>
      <c r="C76" s="648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654">
        <f>SUM(L76:L77)</f>
        <v>0</v>
      </c>
      <c r="O76" s="337"/>
      <c r="P76" s="11"/>
    </row>
    <row r="77" spans="2:16" ht="18.600000000000001" thickBot="1" x14ac:dyDescent="0.4">
      <c r="B77" s="649"/>
      <c r="C77" s="650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655"/>
      <c r="O77" s="337"/>
      <c r="P77" s="11"/>
    </row>
    <row r="78" spans="2:16" ht="18.600000000000001" thickBot="1" x14ac:dyDescent="0.4">
      <c r="B78" s="647">
        <v>46284</v>
      </c>
      <c r="C78" s="648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654">
        <f t="shared" ref="N78" si="38">SUM(L78:L79)</f>
        <v>0</v>
      </c>
      <c r="O78" s="337"/>
      <c r="P78" s="11"/>
    </row>
    <row r="79" spans="2:16" ht="18.600000000000001" thickBot="1" x14ac:dyDescent="0.4">
      <c r="B79" s="649"/>
      <c r="C79" s="650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655"/>
      <c r="O79" s="337"/>
      <c r="P79" s="11"/>
    </row>
    <row r="80" spans="2:16" ht="18.600000000000001" thickBot="1" x14ac:dyDescent="0.4">
      <c r="B80" s="647">
        <v>46285</v>
      </c>
      <c r="C80" s="648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654">
        <f t="shared" ref="N80" si="42">SUM(L80:L81)</f>
        <v>0</v>
      </c>
      <c r="O80" s="337"/>
      <c r="P80" s="11"/>
    </row>
    <row r="81" spans="2:19" ht="18.600000000000001" thickBot="1" x14ac:dyDescent="0.4">
      <c r="B81" s="649"/>
      <c r="C81" s="650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655"/>
      <c r="O81" s="337"/>
      <c r="P81" s="11"/>
    </row>
    <row r="82" spans="2:19" ht="18.600000000000001" thickBot="1" x14ac:dyDescent="0.4">
      <c r="B82" s="647">
        <v>46286</v>
      </c>
      <c r="C82" s="648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654">
        <f t="shared" ref="N82" si="43">SUM(L82:L83)</f>
        <v>0</v>
      </c>
      <c r="O82" s="337"/>
      <c r="P82" s="11"/>
    </row>
    <row r="83" spans="2:19" ht="18.600000000000001" thickBot="1" x14ac:dyDescent="0.4">
      <c r="B83" s="649"/>
      <c r="C83" s="650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655"/>
      <c r="O83" s="337"/>
      <c r="P83" s="11"/>
    </row>
    <row r="84" spans="2:19" ht="18.600000000000001" thickBot="1" x14ac:dyDescent="0.4">
      <c r="B84" s="647">
        <v>46287</v>
      </c>
      <c r="C84" s="648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654">
        <f t="shared" ref="N84" si="47">SUM(L84:L85)</f>
        <v>0</v>
      </c>
      <c r="O84" s="337"/>
      <c r="P84" s="11"/>
    </row>
    <row r="85" spans="2:19" ht="18.600000000000001" thickBot="1" x14ac:dyDescent="0.4">
      <c r="B85" s="649"/>
      <c r="C85" s="650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655"/>
      <c r="O85" s="337"/>
      <c r="P85" s="11"/>
    </row>
    <row r="86" spans="2:19" ht="18" x14ac:dyDescent="0.35">
      <c r="B86" s="669" t="s">
        <v>17</v>
      </c>
      <c r="C86" s="670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671" t="s">
        <v>18</v>
      </c>
      <c r="C87" s="672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4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75" t="s">
        <v>420</v>
      </c>
      <c r="C2" s="676"/>
      <c r="D2" s="676"/>
      <c r="E2" s="676"/>
      <c r="F2" s="676"/>
      <c r="G2" s="676"/>
      <c r="H2" s="676"/>
      <c r="I2" s="676"/>
      <c r="J2" s="676"/>
      <c r="K2" s="676"/>
      <c r="L2" s="676"/>
      <c r="M2" s="677"/>
      <c r="AD2" s="16">
        <v>2</v>
      </c>
      <c r="AE2" s="16">
        <v>9.9000000000000005E-2</v>
      </c>
    </row>
    <row r="3" spans="2:31" ht="15" thickBot="1" x14ac:dyDescent="0.35">
      <c r="B3" s="675" t="s">
        <v>198</v>
      </c>
      <c r="C3" s="676"/>
      <c r="D3" s="676"/>
      <c r="E3" s="676"/>
      <c r="F3" s="676"/>
      <c r="G3" s="676"/>
      <c r="H3" s="676"/>
      <c r="I3" s="676"/>
      <c r="J3" s="676"/>
      <c r="K3" s="676"/>
      <c r="L3" s="676"/>
      <c r="M3" s="677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646" t="s">
        <v>346</v>
      </c>
      <c r="R7" s="646"/>
      <c r="S7" s="646"/>
      <c r="T7" s="646"/>
      <c r="U7" s="646"/>
      <c r="V7" s="646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78" t="s">
        <v>423</v>
      </c>
      <c r="AH39" s="679"/>
      <c r="AI39" s="679"/>
      <c r="AJ39" s="679"/>
      <c r="AK39" s="679"/>
      <c r="AL39" s="680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81"/>
      <c r="AH40" s="682"/>
      <c r="AI40" s="682"/>
      <c r="AJ40" s="682"/>
      <c r="AK40" s="682"/>
      <c r="AL40" s="683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684" t="s">
        <v>435</v>
      </c>
      <c r="C112" s="684"/>
      <c r="D112" s="684"/>
      <c r="E112" s="684"/>
      <c r="F112" s="684"/>
      <c r="G112" s="684"/>
      <c r="H112" s="684"/>
      <c r="I112" s="684"/>
      <c r="J112" s="684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684"/>
      <c r="C113" s="684"/>
      <c r="D113" s="684"/>
      <c r="E113" s="684"/>
      <c r="F113" s="684"/>
      <c r="G113" s="684"/>
      <c r="H113" s="684"/>
      <c r="I113" s="684"/>
      <c r="J113" s="684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4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63" zoomScaleNormal="60" workbookViewId="0">
      <pane ySplit="9" topLeftCell="A10" activePane="bottomLeft" state="frozen"/>
      <selection pane="bottomLeft" activeCell="AK37" sqref="AK3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689" t="s">
        <v>244</v>
      </c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90"/>
      <c r="V2" s="690"/>
      <c r="W2" s="690"/>
      <c r="X2" s="690"/>
      <c r="Y2" s="690"/>
      <c r="Z2" s="690"/>
      <c r="AA2" s="690"/>
      <c r="AB2" s="690"/>
      <c r="AC2" s="691"/>
    </row>
    <row r="3" spans="2:62" ht="24" thickBot="1" x14ac:dyDescent="0.5">
      <c r="D3" s="689" t="s">
        <v>198</v>
      </c>
      <c r="E3" s="690"/>
      <c r="F3" s="690"/>
      <c r="G3" s="690"/>
      <c r="H3" s="690"/>
      <c r="I3" s="690"/>
      <c r="J3" s="690"/>
      <c r="K3" s="690"/>
      <c r="L3" s="690"/>
      <c r="M3" s="690"/>
      <c r="N3" s="690"/>
      <c r="O3" s="690"/>
      <c r="P3" s="690"/>
      <c r="Q3" s="690"/>
      <c r="R3" s="690"/>
      <c r="S3" s="690"/>
      <c r="T3" s="690"/>
      <c r="U3" s="690"/>
      <c r="V3" s="690"/>
      <c r="W3" s="690"/>
      <c r="X3" s="690"/>
      <c r="Y3" s="690"/>
      <c r="Z3" s="690"/>
      <c r="AA3" s="690"/>
      <c r="AB3" s="690"/>
      <c r="AC3" s="691"/>
      <c r="AG3" s="153"/>
    </row>
    <row r="4" spans="2:62" ht="24" thickBot="1" x14ac:dyDescent="0.5">
      <c r="D4" s="695">
        <v>46143</v>
      </c>
      <c r="E4" s="696"/>
      <c r="F4" s="696"/>
      <c r="G4" s="696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  <c r="AA4" s="696"/>
      <c r="AB4" s="696"/>
      <c r="AC4" s="697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88" t="s">
        <v>260</v>
      </c>
      <c r="C7" s="224" t="s">
        <v>334</v>
      </c>
      <c r="D7" s="688" t="s">
        <v>245</v>
      </c>
      <c r="E7" s="688" t="s">
        <v>246</v>
      </c>
      <c r="F7" s="688" t="s">
        <v>247</v>
      </c>
      <c r="G7" s="688" t="s">
        <v>248</v>
      </c>
      <c r="H7" s="688" t="s">
        <v>249</v>
      </c>
      <c r="I7" s="688" t="s">
        <v>145</v>
      </c>
      <c r="J7" s="688" t="s">
        <v>251</v>
      </c>
      <c r="K7" s="692" t="s">
        <v>250</v>
      </c>
      <c r="L7" s="259" t="s">
        <v>250</v>
      </c>
      <c r="M7" s="692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688" t="s">
        <v>252</v>
      </c>
      <c r="T7" s="224" t="s">
        <v>308</v>
      </c>
      <c r="U7" s="688" t="s">
        <v>261</v>
      </c>
      <c r="V7" s="688"/>
      <c r="W7" s="688"/>
      <c r="X7" s="625" t="s">
        <v>263</v>
      </c>
      <c r="Y7" s="625"/>
      <c r="Z7" s="625"/>
      <c r="AA7" s="688" t="s">
        <v>270</v>
      </c>
      <c r="AB7" s="688" t="s">
        <v>294</v>
      </c>
      <c r="AC7" s="625" t="s">
        <v>257</v>
      </c>
      <c r="AD7" s="625"/>
      <c r="AE7" s="625"/>
      <c r="AF7" s="625"/>
      <c r="AG7" s="625"/>
      <c r="AH7" s="625"/>
      <c r="AI7" s="625" t="s">
        <v>267</v>
      </c>
      <c r="AJ7" s="625"/>
      <c r="AK7" s="625"/>
      <c r="AL7" s="625" t="s">
        <v>268</v>
      </c>
      <c r="AM7" s="625"/>
      <c r="AN7" s="625"/>
      <c r="AO7" s="147"/>
      <c r="AP7" s="300" t="s">
        <v>340</v>
      </c>
      <c r="AQ7" s="698" t="s">
        <v>274</v>
      </c>
      <c r="AR7" s="699"/>
      <c r="AS7" s="700"/>
      <c r="AT7" s="264"/>
      <c r="AU7" s="692" t="s">
        <v>306</v>
      </c>
      <c r="AV7" s="625" t="s">
        <v>303</v>
      </c>
      <c r="AW7" s="625"/>
      <c r="AX7" s="625"/>
      <c r="AY7" s="147" t="s">
        <v>297</v>
      </c>
      <c r="AZ7" s="625" t="s">
        <v>281</v>
      </c>
      <c r="BA7" s="625"/>
      <c r="BB7" s="625"/>
    </row>
    <row r="8" spans="2:62" x14ac:dyDescent="0.3">
      <c r="B8" s="688"/>
      <c r="C8" s="224" t="s">
        <v>300</v>
      </c>
      <c r="D8" s="688"/>
      <c r="E8" s="688"/>
      <c r="F8" s="688"/>
      <c r="G8" s="688"/>
      <c r="H8" s="688"/>
      <c r="I8" s="688"/>
      <c r="J8" s="688"/>
      <c r="K8" s="693"/>
      <c r="L8" s="260" t="s">
        <v>321</v>
      </c>
      <c r="M8" s="693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688"/>
      <c r="T8" s="224" t="s">
        <v>185</v>
      </c>
      <c r="U8" s="688" t="s">
        <v>262</v>
      </c>
      <c r="V8" s="688"/>
      <c r="W8" s="688"/>
      <c r="X8" s="625" t="s">
        <v>479</v>
      </c>
      <c r="Y8" s="625"/>
      <c r="Z8" s="625"/>
      <c r="AA8" s="688"/>
      <c r="AB8" s="688"/>
      <c r="AC8" s="625" t="s">
        <v>264</v>
      </c>
      <c r="AD8" s="625"/>
      <c r="AE8" s="625"/>
      <c r="AF8" s="625" t="s">
        <v>265</v>
      </c>
      <c r="AG8" s="625"/>
      <c r="AH8" s="625"/>
      <c r="AI8" s="625" t="s">
        <v>266</v>
      </c>
      <c r="AJ8" s="625"/>
      <c r="AK8" s="625"/>
      <c r="AL8" s="625" t="s">
        <v>258</v>
      </c>
      <c r="AM8" s="625"/>
      <c r="AN8" s="625"/>
      <c r="AO8" s="147" t="s">
        <v>259</v>
      </c>
      <c r="AP8" s="301" t="s">
        <v>298</v>
      </c>
      <c r="AQ8" s="701"/>
      <c r="AR8" s="702"/>
      <c r="AS8" s="703"/>
      <c r="AT8" s="264" t="s">
        <v>305</v>
      </c>
      <c r="AU8" s="694"/>
      <c r="AV8" s="625" t="s">
        <v>262</v>
      </c>
      <c r="AW8" s="625"/>
      <c r="AX8" s="625"/>
      <c r="AY8" s="147" t="s">
        <v>298</v>
      </c>
      <c r="AZ8" s="625" t="s">
        <v>41</v>
      </c>
      <c r="BA8" s="625"/>
      <c r="BB8" s="625"/>
    </row>
    <row r="9" spans="2:62" x14ac:dyDescent="0.3">
      <c r="B9" s="688"/>
      <c r="C9" s="224" t="s">
        <v>301</v>
      </c>
      <c r="D9" s="688"/>
      <c r="E9" s="688"/>
      <c r="F9" s="688"/>
      <c r="G9" s="688"/>
      <c r="H9" s="688"/>
      <c r="I9" s="688"/>
      <c r="J9" s="688"/>
      <c r="K9" s="694"/>
      <c r="L9" s="223" t="s">
        <v>320</v>
      </c>
      <c r="M9" s="694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88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88"/>
      <c r="AB9" s="688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>
        <f>'LT Floculation'!G8</f>
        <v>0.13733333333333334</v>
      </c>
      <c r="AD12" s="150">
        <f>'LT Floculation'!H8</f>
        <v>0.32666666666666666</v>
      </c>
      <c r="AE12" s="150">
        <f>'LT Floculation'!I8</f>
        <v>9.4233333333333338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44.90399402100001</v>
      </c>
      <c r="AM12" s="50">
        <f>AD12*$L12</f>
        <v>106.81047121500002</v>
      </c>
      <c r="AN12" s="50">
        <f>AE12*$L12</f>
        <v>3081.1551237225008</v>
      </c>
      <c r="AO12" s="50">
        <f t="shared" ref="AO12:AO15" si="8">AF12*S12</f>
        <v>10.721760500000002</v>
      </c>
      <c r="AP12" s="50">
        <v>3</v>
      </c>
      <c r="AQ12" s="49">
        <f>IFERROR(((AI12-(AL12+AO12))/AI12),"")</f>
        <v>0.81796211488900372</v>
      </c>
      <c r="AR12" s="49">
        <f>IFERROR((AJ12-AM12)/AJ12,"")</f>
        <v>0.50421585160202353</v>
      </c>
      <c r="AS12" s="49">
        <f>IFERROR((AK12-AN12)/AK12,"")</f>
        <v>-3.9083557951482252E-2</v>
      </c>
      <c r="AT12" s="271">
        <v>2</v>
      </c>
      <c r="AU12" s="534">
        <v>1</v>
      </c>
      <c r="AV12" s="50">
        <f>(AZ10+AZ12)/AU12</f>
        <v>415.46031539374997</v>
      </c>
      <c r="AW12" s="50">
        <f>(BA10+BA12)/AU12</f>
        <v>224.5106212578267</v>
      </c>
      <c r="AX12" s="287">
        <f>(AX10+BB12)/AU12</f>
        <v>143.20788229718778</v>
      </c>
      <c r="AY12" s="287">
        <v>3</v>
      </c>
      <c r="AZ12" s="50">
        <f t="shared" si="5"/>
        <v>249.94665139375002</v>
      </c>
      <c r="BA12" s="50">
        <f t="shared" ref="BA12:BA13" si="9">(AJ12-AM12)</f>
        <v>108.6269758275</v>
      </c>
      <c r="BB12" s="50">
        <f t="shared" ref="BB12:BB13" si="10">(AK12-AN12)</f>
        <v>-115.89299427749938</v>
      </c>
      <c r="BD12" s="13" t="e">
        <f>AZ10+AZ12+AZ14</f>
        <v>#DIV/0!</v>
      </c>
      <c r="BE12" s="13">
        <f t="shared" ref="BE12:BF12" si="11">BA10+BA12+BA14</f>
        <v>224.5106212578267</v>
      </c>
      <c r="BF12" s="13">
        <f t="shared" si="11"/>
        <v>143.20788229718778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16"/>
      <c r="P13" s="16"/>
      <c r="Q13" s="16"/>
      <c r="R13" s="50"/>
      <c r="S13" s="50">
        <f t="shared" ref="S13:S14" si="12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6"/>
      <c r="AB13" s="6"/>
      <c r="AC13" s="150"/>
      <c r="AD13" s="150"/>
      <c r="AE13" s="150"/>
      <c r="AF13" s="16">
        <v>7.2999999999999995E-2</v>
      </c>
      <c r="AG13" s="6"/>
      <c r="AH13" s="6"/>
      <c r="AI13" s="50">
        <f t="shared" ref="AI13:AI14" si="13">$L13*U13</f>
        <v>294.40648242500004</v>
      </c>
      <c r="AJ13" s="50">
        <f t="shared" ref="AJ13:AJ14" si="14">$L13*V13</f>
        <v>232.15510725000001</v>
      </c>
      <c r="AK13" s="50">
        <f t="shared" ref="AK13:AK14" si="15">$L13*W13</f>
        <v>2900.2221077500008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34.516414800000007</v>
      </c>
      <c r="AP13" s="50">
        <v>4</v>
      </c>
      <c r="AQ13" s="49">
        <f t="shared" ref="AQ13:AQ59" si="17">IFERROR(((AI13-(AL13+AO13))/AI13),"")</f>
        <v>0.88275932474145491</v>
      </c>
      <c r="AR13" s="49">
        <f t="shared" ref="AR13:AR59" si="18">IFERROR((AJ13-AM13)/AJ13,"")</f>
        <v>1</v>
      </c>
      <c r="AS13" s="49">
        <f t="shared" ref="AS13:AS59" si="19">IFERROR((AK13-AN13)/AK13,"")</f>
        <v>1</v>
      </c>
      <c r="AT13" s="271">
        <v>3</v>
      </c>
      <c r="AU13" s="534">
        <v>1</v>
      </c>
      <c r="AV13" s="50">
        <f>(AZ11+AZ13)/AU13</f>
        <v>436.91635071250005</v>
      </c>
      <c r="AW13" s="50">
        <f>(AZ11+AZ13)/AU13</f>
        <v>436.91635071250005</v>
      </c>
      <c r="AX13" s="287">
        <f>(BA11+BA13)/AU13</f>
        <v>395.23234208333338</v>
      </c>
      <c r="AY13" s="287">
        <v>4</v>
      </c>
      <c r="AZ13" s="50">
        <f t="shared" si="5"/>
        <v>259.89006762500003</v>
      </c>
      <c r="BA13" s="50">
        <f t="shared" si="9"/>
        <v>232.15510725000001</v>
      </c>
      <c r="BB13" s="50">
        <f t="shared" si="10"/>
        <v>2900.2221077500008</v>
      </c>
      <c r="BD13" s="13">
        <f>AZ11+AZ13</f>
        <v>436.91635071250005</v>
      </c>
      <c r="BE13" s="13">
        <f t="shared" ref="BE13:BF13" si="20">BA11+BA13</f>
        <v>395.23234208333338</v>
      </c>
      <c r="BF13" s="13">
        <f t="shared" si="20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2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 t="e">
        <f t="shared" si="8"/>
        <v>#DIV/0!</v>
      </c>
      <c r="AP14" s="50">
        <v>5</v>
      </c>
      <c r="AQ14" s="49" t="str">
        <f t="shared" si="17"/>
        <v/>
      </c>
      <c r="AR14" s="49" t="str">
        <f t="shared" si="18"/>
        <v/>
      </c>
      <c r="AS14" s="49" t="str">
        <f t="shared" si="19"/>
        <v/>
      </c>
      <c r="AT14" s="271">
        <v>2</v>
      </c>
      <c r="AU14" s="534">
        <v>1</v>
      </c>
      <c r="AV14" s="50" t="e">
        <f>(AZ10+AZ12+AZ14)/AU14</f>
        <v>#DIV/0!</v>
      </c>
      <c r="AW14" s="50">
        <f>(BA10+BA12+BA14)/AU14</f>
        <v>224.5106212578267</v>
      </c>
      <c r="AX14" s="50">
        <f>(BB10+BB12+BB14)/AU14</f>
        <v>143.20788229718778</v>
      </c>
      <c r="AY14" s="50">
        <v>5</v>
      </c>
      <c r="AZ14" s="50" t="e">
        <f t="shared" si="5"/>
        <v>#DIV/0!</v>
      </c>
      <c r="BA14" s="50">
        <f t="shared" ref="BA14" si="21">(AJ14-AM14)</f>
        <v>0</v>
      </c>
      <c r="BB14" s="50">
        <f t="shared" ref="BB14" si="22">(AK14-AN14)</f>
        <v>0</v>
      </c>
      <c r="BD14" s="13" t="e">
        <f>BD12+BD13</f>
        <v>#DIV/0!</v>
      </c>
      <c r="BE14" s="13">
        <f t="shared" ref="BE14:BF14" si="23">BE12+BE13</f>
        <v>619.74296334116002</v>
      </c>
      <c r="BF14" s="13">
        <f t="shared" si="23"/>
        <v>3253.1126309499668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 t="shared" si="8"/>
        <v>0</v>
      </c>
      <c r="AP15" s="50">
        <v>6</v>
      </c>
      <c r="AQ15" s="49" t="str">
        <f t="shared" si="17"/>
        <v/>
      </c>
      <c r="AR15" s="49" t="str">
        <f t="shared" si="18"/>
        <v/>
      </c>
      <c r="AS15" s="49" t="str">
        <f t="shared" si="19"/>
        <v/>
      </c>
      <c r="AT15" s="271">
        <v>3</v>
      </c>
      <c r="AU15" s="535">
        <v>1</v>
      </c>
      <c r="AV15" s="50">
        <f>(AZ11+AZ13+AZ15)/AU15</f>
        <v>436.91635071250005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29">(AJ15-AM15)</f>
        <v>0</v>
      </c>
      <c r="BB15" s="50">
        <f t="shared" ref="BB15" si="30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7"/>
        <v/>
      </c>
      <c r="AR16" s="49" t="str">
        <f t="shared" si="18"/>
        <v/>
      </c>
      <c r="AS16" s="49" t="str">
        <f t="shared" si="19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7"/>
        <v/>
      </c>
      <c r="AR17" s="49" t="str">
        <f t="shared" si="18"/>
        <v/>
      </c>
      <c r="AS17" s="49" t="str">
        <f t="shared" si="19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7"/>
        <v/>
      </c>
      <c r="AR18" s="49" t="str">
        <f t="shared" si="18"/>
        <v/>
      </c>
      <c r="AS18" s="49" t="str">
        <f t="shared" si="19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7"/>
        <v/>
      </c>
      <c r="AR19" s="49" t="str">
        <f t="shared" si="18"/>
        <v/>
      </c>
      <c r="AS19" s="49" t="str">
        <f t="shared" si="19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7"/>
        <v/>
      </c>
      <c r="AR20" s="49" t="str">
        <f t="shared" si="18"/>
        <v/>
      </c>
      <c r="AS20" s="49" t="str">
        <f t="shared" si="19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224.5106212578267</v>
      </c>
      <c r="BG20" s="54">
        <f>AX14*$AU14</f>
        <v>143.20788229718778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7"/>
        <v/>
      </c>
      <c r="AR21" s="49" t="str">
        <f t="shared" si="18"/>
        <v/>
      </c>
      <c r="AS21" s="49" t="str">
        <f t="shared" si="19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7"/>
        <v/>
      </c>
      <c r="AR22" s="49" t="str">
        <f t="shared" si="18"/>
        <v/>
      </c>
      <c r="AS22" s="49" t="str">
        <f t="shared" si="19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7"/>
        <v/>
      </c>
      <c r="AR23" s="49" t="str">
        <f t="shared" si="18"/>
        <v/>
      </c>
      <c r="AS23" s="49" t="str">
        <f t="shared" si="19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7"/>
        <v/>
      </c>
      <c r="AR24" s="49" t="str">
        <f t="shared" si="18"/>
        <v/>
      </c>
      <c r="AS24" s="49" t="str">
        <f t="shared" si="19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7"/>
        <v/>
      </c>
      <c r="AR25" s="49" t="str">
        <f t="shared" si="18"/>
        <v/>
      </c>
      <c r="AS25" s="49" t="str">
        <f t="shared" si="19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7"/>
        <v/>
      </c>
      <c r="AR26" s="49" t="str">
        <f t="shared" si="18"/>
        <v/>
      </c>
      <c r="AS26" s="49" t="str">
        <f t="shared" si="19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7"/>
        <v/>
      </c>
      <c r="AR27" s="49" t="str">
        <f t="shared" si="18"/>
        <v/>
      </c>
      <c r="AS27" s="49" t="str">
        <f t="shared" si="19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7"/>
        <v/>
      </c>
      <c r="AR28" s="49" t="str">
        <f t="shared" si="18"/>
        <v/>
      </c>
      <c r="AS28" s="49" t="str">
        <f t="shared" si="19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7"/>
        <v/>
      </c>
      <c r="AR29" s="49" t="str">
        <f t="shared" si="18"/>
        <v/>
      </c>
      <c r="AS29" s="49" t="str">
        <f t="shared" si="19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7"/>
        <v/>
      </c>
      <c r="AR30" s="49" t="str">
        <f t="shared" si="18"/>
        <v/>
      </c>
      <c r="AS30" s="49" t="str">
        <f t="shared" si="19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7"/>
        <v/>
      </c>
      <c r="AR31" s="49" t="str">
        <f t="shared" si="18"/>
        <v/>
      </c>
      <c r="AS31" s="49" t="str">
        <f t="shared" si="19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7"/>
        <v/>
      </c>
      <c r="AR32" s="49" t="str">
        <f t="shared" si="18"/>
        <v/>
      </c>
      <c r="AS32" s="49" t="str">
        <f t="shared" si="19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7"/>
        <v/>
      </c>
      <c r="AR33" s="49" t="str">
        <f t="shared" si="18"/>
        <v/>
      </c>
      <c r="AS33" s="49" t="str">
        <f t="shared" si="19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7"/>
        <v/>
      </c>
      <c r="AR34" s="49" t="str">
        <f t="shared" si="18"/>
        <v/>
      </c>
      <c r="AS34" s="49" t="str">
        <f t="shared" si="19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7"/>
        <v/>
      </c>
      <c r="AR35" s="49" t="str">
        <f t="shared" si="18"/>
        <v/>
      </c>
      <c r="AS35" s="49" t="str">
        <f t="shared" si="19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7"/>
        <v/>
      </c>
      <c r="AR36" s="49" t="str">
        <f t="shared" si="18"/>
        <v/>
      </c>
      <c r="AS36" s="49" t="str">
        <f t="shared" si="19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7"/>
        <v/>
      </c>
      <c r="AR37" s="49" t="str">
        <f t="shared" si="18"/>
        <v/>
      </c>
      <c r="AS37" s="49" t="str">
        <f t="shared" si="19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7"/>
        <v/>
      </c>
      <c r="AR38" s="49" t="str">
        <f t="shared" si="18"/>
        <v/>
      </c>
      <c r="AS38" s="49" t="str">
        <f t="shared" si="19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7"/>
        <v/>
      </c>
      <c r="AR39" s="49" t="str">
        <f t="shared" si="18"/>
        <v/>
      </c>
      <c r="AS39" s="49" t="str">
        <f t="shared" si="19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7"/>
        <v/>
      </c>
      <c r="AR40" s="49" t="str">
        <f t="shared" si="18"/>
        <v/>
      </c>
      <c r="AS40" s="49" t="str">
        <f t="shared" si="19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7"/>
        <v/>
      </c>
      <c r="AR41" s="49" t="str">
        <f t="shared" si="18"/>
        <v/>
      </c>
      <c r="AS41" s="49" t="str">
        <f t="shared" si="19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7"/>
        <v/>
      </c>
      <c r="AR42" s="49" t="str">
        <f t="shared" si="18"/>
        <v/>
      </c>
      <c r="AS42" s="49" t="str">
        <f t="shared" si="19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7"/>
        <v/>
      </c>
      <c r="AR43" s="49" t="str">
        <f t="shared" si="18"/>
        <v/>
      </c>
      <c r="AS43" s="49" t="str">
        <f t="shared" si="19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7"/>
        <v/>
      </c>
      <c r="AR44" s="49" t="str">
        <f t="shared" si="18"/>
        <v/>
      </c>
      <c r="AS44" s="49" t="str">
        <f t="shared" si="19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7"/>
        <v/>
      </c>
      <c r="AR45" s="49" t="str">
        <f t="shared" si="18"/>
        <v/>
      </c>
      <c r="AS45" s="49" t="str">
        <f t="shared" si="19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7"/>
        <v/>
      </c>
      <c r="AR46" s="49" t="str">
        <f t="shared" si="18"/>
        <v/>
      </c>
      <c r="AS46" s="49" t="str">
        <f t="shared" si="19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7"/>
        <v/>
      </c>
      <c r="AR47" s="49" t="str">
        <f t="shared" si="18"/>
        <v/>
      </c>
      <c r="AS47" s="49" t="str">
        <f t="shared" si="19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7"/>
        <v/>
      </c>
      <c r="AR48" s="49" t="str">
        <f t="shared" si="18"/>
        <v/>
      </c>
      <c r="AS48" s="49" t="str">
        <f t="shared" si="19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7"/>
        <v/>
      </c>
      <c r="AR49" s="49" t="str">
        <f t="shared" si="18"/>
        <v/>
      </c>
      <c r="AS49" s="49" t="str">
        <f t="shared" si="19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7"/>
        <v/>
      </c>
      <c r="AR50" s="49" t="str">
        <f t="shared" si="18"/>
        <v/>
      </c>
      <c r="AS50" s="49" t="str">
        <f t="shared" si="19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7"/>
        <v/>
      </c>
      <c r="AR51" s="49" t="str">
        <f t="shared" si="18"/>
        <v/>
      </c>
      <c r="AS51" s="49" t="str">
        <f t="shared" si="19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7"/>
        <v/>
      </c>
      <c r="AR52" s="49" t="str">
        <f t="shared" si="18"/>
        <v/>
      </c>
      <c r="AS52" s="49" t="str">
        <f t="shared" si="19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7"/>
        <v/>
      </c>
      <c r="AR53" s="49" t="str">
        <f t="shared" si="18"/>
        <v/>
      </c>
      <c r="AS53" s="49" t="str">
        <f t="shared" si="19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7"/>
        <v/>
      </c>
      <c r="AR54" s="49" t="str">
        <f t="shared" si="18"/>
        <v/>
      </c>
      <c r="AS54" s="49" t="str">
        <f t="shared" si="19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7"/>
        <v/>
      </c>
      <c r="AR55" s="49" t="str">
        <f t="shared" si="18"/>
        <v/>
      </c>
      <c r="AS55" s="49" t="str">
        <f t="shared" si="19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7"/>
        <v/>
      </c>
      <c r="AR56" s="49" t="str">
        <f t="shared" si="18"/>
        <v/>
      </c>
      <c r="AS56" s="49" t="str">
        <f t="shared" si="19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7"/>
        <v/>
      </c>
      <c r="AR57" s="49" t="str">
        <f t="shared" si="18"/>
        <v/>
      </c>
      <c r="AS57" s="49" t="str">
        <f t="shared" si="19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7"/>
        <v/>
      </c>
      <c r="AR58" s="49" t="str">
        <f t="shared" si="18"/>
        <v/>
      </c>
      <c r="AS58" s="49" t="str">
        <f t="shared" si="19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7"/>
        <v/>
      </c>
      <c r="AR59" s="49" t="str">
        <f t="shared" si="18"/>
        <v/>
      </c>
      <c r="AS59" s="49" t="str">
        <f t="shared" si="19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1">AVERAGE(V10:V59)</f>
        <v>0.67999305555555556</v>
      </c>
      <c r="W60" s="226">
        <f t="shared" si="31"/>
        <v>8.6233125000000008</v>
      </c>
      <c r="X60" s="226">
        <f>AVERAGE(X10:X59)</f>
        <v>0.69166516060305239</v>
      </c>
      <c r="Y60" s="226">
        <f t="shared" ref="Y60:Z60" si="32">AVERAGE(Y10:Y59)</f>
        <v>0.62709344776163578</v>
      </c>
      <c r="Z60" s="226">
        <f t="shared" si="32"/>
        <v>7.8946687819048167</v>
      </c>
      <c r="AA60" s="151"/>
      <c r="AB60" s="151"/>
      <c r="AC60" s="226">
        <f>AVERAGE(AC10:AC15)</f>
        <v>0.10202777777777777</v>
      </c>
      <c r="AD60" s="226">
        <f t="shared" ref="AD60:AE60" si="33">AVERAGE(AD10:AD15)</f>
        <v>0.24888888888888891</v>
      </c>
      <c r="AE60" s="226">
        <f t="shared" si="33"/>
        <v>8.1086111111111112</v>
      </c>
      <c r="AF60" s="226">
        <f>AVERAGE(AF10:AF15)</f>
        <v>3.6250000000000004E-2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0.84068977875289219</v>
      </c>
      <c r="AR60" s="273">
        <f t="shared" ref="AR60:AS60" si="34">AVERAGE(AR10:AR15)</f>
        <v>0.71349344032231443</v>
      </c>
      <c r="AS60" s="273">
        <f t="shared" si="34"/>
        <v>0.28783422027830735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1283.6794500000001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5">SUM(BA10:BA15)</f>
        <v>619.74296334116002</v>
      </c>
      <c r="BB61" s="253">
        <f t="shared" si="35"/>
        <v>3253.1126309499668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6">MEDIAN(V10:V59)</f>
        <v>0.69569444444444439</v>
      </c>
      <c r="W62" s="292">
        <f t="shared" si="36"/>
        <v>9.0600000000000023</v>
      </c>
      <c r="X62" s="292">
        <f>MEDIAN(X10:X59)</f>
        <v>0.67216021885388333</v>
      </c>
      <c r="Y62" s="292">
        <f t="shared" ref="Y62:Z62" si="37">MEDIAN(Y10:Y59)</f>
        <v>0.66263131436274558</v>
      </c>
      <c r="Z62" s="292">
        <f t="shared" si="37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878.30702964423142</v>
      </c>
    </row>
    <row r="64" spans="2:57" x14ac:dyDescent="0.3">
      <c r="V64" s="153"/>
    </row>
    <row r="65" spans="9:52" x14ac:dyDescent="0.3">
      <c r="AL65" s="630" t="s">
        <v>315</v>
      </c>
      <c r="AM65" s="630"/>
      <c r="AN65" s="630"/>
      <c r="AO65" s="630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8.1382889898562993</v>
      </c>
      <c r="L67" s="50"/>
      <c r="M67" s="50">
        <f>(K61/I68)</f>
        <v>195.31893575655116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38">AVERAGE(V10:V15)</f>
        <v>0.67999305555555556</v>
      </c>
      <c r="AO67" s="150">
        <f t="shared" si="38"/>
        <v>8.6233125000000008</v>
      </c>
      <c r="AP67" s="292"/>
    </row>
    <row r="68" spans="9:52" x14ac:dyDescent="0.3">
      <c r="I68" s="54">
        <f>I67/24</f>
        <v>6.572222222222222</v>
      </c>
      <c r="AA68" s="625" t="s">
        <v>261</v>
      </c>
      <c r="AB68" s="625"/>
      <c r="AC68" s="625"/>
      <c r="AD68" s="625"/>
      <c r="AE68" s="625"/>
      <c r="AL68" s="16" t="s">
        <v>202</v>
      </c>
      <c r="AM68" s="150">
        <f>MEDIAN(U10:U15)</f>
        <v>0.81845833333333329</v>
      </c>
      <c r="AN68" s="150">
        <f t="shared" ref="AN68:AO68" si="39">MEDIAN(V10:V15)</f>
        <v>0.69569444444444439</v>
      </c>
      <c r="AO68" s="150">
        <f t="shared" si="39"/>
        <v>9.0600000000000023</v>
      </c>
      <c r="AP68" s="292"/>
    </row>
    <row r="69" spans="9:52" x14ac:dyDescent="0.3">
      <c r="AA69" s="688" t="s">
        <v>260</v>
      </c>
      <c r="AB69" s="688" t="s">
        <v>500</v>
      </c>
      <c r="AC69" s="625" t="s">
        <v>262</v>
      </c>
      <c r="AD69" s="625"/>
      <c r="AE69" s="625"/>
      <c r="AL69" s="16" t="s">
        <v>204</v>
      </c>
      <c r="AM69" s="150">
        <f>MIN(U10:U15)</f>
        <v>0.68400000000000005</v>
      </c>
      <c r="AN69" s="150">
        <f t="shared" ref="AN69:AO69" si="40">MIN(V10:V15)</f>
        <v>0.53525</v>
      </c>
      <c r="AO69" s="150">
        <f t="shared" si="40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688"/>
      <c r="AB70" s="688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1">MAX(V10:V15)</f>
        <v>0.79333333333333333</v>
      </c>
      <c r="AO70" s="150">
        <f t="shared" si="41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8.1382889898562993</v>
      </c>
    </row>
    <row r="75" spans="9:52" x14ac:dyDescent="0.3">
      <c r="I75" s="161" t="s">
        <v>82</v>
      </c>
      <c r="J75" s="77">
        <f>M67</f>
        <v>195.31893575655116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25" t="s">
        <v>330</v>
      </c>
      <c r="M92" s="625"/>
      <c r="N92" s="625"/>
      <c r="O92" s="528"/>
      <c r="P92" s="528"/>
      <c r="Q92" s="528"/>
      <c r="R92" s="685" t="s">
        <v>333</v>
      </c>
      <c r="S92" s="686"/>
      <c r="T92" s="687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2">V10</f>
        <v>0.53525</v>
      </c>
      <c r="N94" s="150">
        <f t="shared" si="42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3">AD10</f>
        <v>0.17</v>
      </c>
      <c r="T94" s="150">
        <f t="shared" si="43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4">U11</f>
        <v>0.68400000000000005</v>
      </c>
      <c r="M95" s="150">
        <f t="shared" si="42"/>
        <v>0.79333333333333333</v>
      </c>
      <c r="N95" s="150">
        <f t="shared" si="42"/>
        <v>9.051111111111112</v>
      </c>
      <c r="O95" s="150"/>
      <c r="P95" s="150"/>
      <c r="Q95" s="150"/>
      <c r="R95" s="150">
        <f t="shared" ref="R95:R98" si="45">AC11</f>
        <v>5.5749999999999994E-2</v>
      </c>
      <c r="S95" s="150">
        <f t="shared" si="43"/>
        <v>0.25</v>
      </c>
      <c r="T95" s="150">
        <f t="shared" si="43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4"/>
        <v>0.93455555555555547</v>
      </c>
      <c r="M96" s="150">
        <f t="shared" si="42"/>
        <v>0.65888888888888886</v>
      </c>
      <c r="N96" s="150">
        <f t="shared" si="42"/>
        <v>9.0688888888888908</v>
      </c>
      <c r="O96" s="150"/>
      <c r="P96" s="150"/>
      <c r="Q96" s="150"/>
      <c r="R96" s="150">
        <f t="shared" si="45"/>
        <v>0.13733333333333334</v>
      </c>
      <c r="S96" s="150">
        <f t="shared" si="43"/>
        <v>0.32666666666666666</v>
      </c>
      <c r="T96" s="150">
        <f t="shared" si="43"/>
        <v>9.4233333333333338</v>
      </c>
    </row>
    <row r="97" spans="9:20" x14ac:dyDescent="0.3">
      <c r="I97" s="16">
        <v>4</v>
      </c>
      <c r="J97" s="16">
        <v>3</v>
      </c>
      <c r="K97" s="50">
        <f t="shared" ref="K97:K98" si="46">L13</f>
        <v>316.93530000000004</v>
      </c>
      <c r="L97" s="150">
        <f t="shared" si="44"/>
        <v>0.92891666666666661</v>
      </c>
      <c r="M97" s="150">
        <f t="shared" si="42"/>
        <v>0.73249999999999993</v>
      </c>
      <c r="N97" s="150">
        <f t="shared" si="42"/>
        <v>9.1508333333333347</v>
      </c>
      <c r="O97" s="150"/>
      <c r="P97" s="150"/>
      <c r="Q97" s="150"/>
      <c r="R97" s="150">
        <f t="shared" si="45"/>
        <v>0</v>
      </c>
      <c r="S97" s="150">
        <f t="shared" si="43"/>
        <v>0</v>
      </c>
      <c r="T97" s="150">
        <f t="shared" si="43"/>
        <v>0</v>
      </c>
    </row>
    <row r="98" spans="9:20" x14ac:dyDescent="0.3">
      <c r="I98" s="16">
        <v>5</v>
      </c>
      <c r="J98" s="16">
        <v>2</v>
      </c>
      <c r="K98" s="50">
        <f t="shared" si="46"/>
        <v>0</v>
      </c>
      <c r="L98" s="150">
        <f t="shared" si="44"/>
        <v>0</v>
      </c>
      <c r="M98" s="150">
        <f t="shared" si="42"/>
        <v>0</v>
      </c>
      <c r="N98" s="150">
        <f t="shared" si="42"/>
        <v>0</v>
      </c>
      <c r="O98" s="150"/>
      <c r="P98" s="150"/>
      <c r="Q98" s="150"/>
      <c r="R98" s="150">
        <f t="shared" si="45"/>
        <v>0</v>
      </c>
      <c r="S98" s="150">
        <f t="shared" si="43"/>
        <v>0</v>
      </c>
      <c r="T98" s="150">
        <f t="shared" si="43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7">AVERAGE(M94:M98)</f>
        <v>0.54399444444444445</v>
      </c>
      <c r="N99" s="288">
        <f t="shared" si="47"/>
        <v>6.8986500000000008</v>
      </c>
      <c r="O99" s="288"/>
      <c r="P99" s="288"/>
      <c r="Q99" s="288"/>
      <c r="R99" s="288">
        <f>AVERAGE(R94:R98)</f>
        <v>6.1216666666666662E-2</v>
      </c>
      <c r="S99" s="288">
        <f t="shared" ref="S99:T99" si="48">AVERAGE(S94:S98)</f>
        <v>0.14933333333333335</v>
      </c>
      <c r="T99" s="288">
        <f t="shared" si="48"/>
        <v>4.8651666666666671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4" zoomScale="79" workbookViewId="0">
      <selection activeCell="H40" sqref="H4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46" t="s">
        <v>471</v>
      </c>
      <c r="C2" s="646"/>
      <c r="D2" s="646"/>
      <c r="E2" s="646"/>
      <c r="F2" s="646"/>
      <c r="G2" s="646"/>
      <c r="H2" s="646"/>
      <c r="T2" s="704" t="s">
        <v>512</v>
      </c>
      <c r="U2" s="704"/>
      <c r="V2" s="704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x14ac:dyDescent="0.3">
      <c r="B46" s="274">
        <v>43</v>
      </c>
      <c r="C46" s="6"/>
      <c r="D46" s="6"/>
      <c r="E46" s="274"/>
      <c r="F46" s="6"/>
      <c r="G46" s="6"/>
      <c r="H46" s="6"/>
    </row>
    <row r="47" spans="2:8" x14ac:dyDescent="0.3">
      <c r="B47" s="274">
        <v>44</v>
      </c>
      <c r="C47" s="6"/>
      <c r="D47" s="6"/>
      <c r="E47" s="274"/>
      <c r="F47" s="6"/>
      <c r="G47" s="6"/>
      <c r="H47" s="6"/>
    </row>
    <row r="48" spans="2:8" x14ac:dyDescent="0.3">
      <c r="B48" s="274">
        <v>45</v>
      </c>
      <c r="C48" s="6"/>
      <c r="D48" s="6"/>
      <c r="E48" s="274"/>
      <c r="F48" s="6"/>
      <c r="G48" s="6"/>
      <c r="H48" s="6"/>
    </row>
    <row r="49" spans="2:8" x14ac:dyDescent="0.3">
      <c r="B49" s="274">
        <v>46</v>
      </c>
      <c r="C49" s="6"/>
      <c r="D49" s="6"/>
      <c r="E49" s="274"/>
      <c r="F49" s="6"/>
      <c r="G49" s="6"/>
      <c r="H49" s="6"/>
    </row>
    <row r="50" spans="2:8" x14ac:dyDescent="0.3">
      <c r="B50" s="274">
        <v>47</v>
      </c>
      <c r="C50" s="6"/>
      <c r="D50" s="6"/>
      <c r="E50" s="274"/>
      <c r="F50" s="6"/>
      <c r="G50" s="6"/>
      <c r="H50" s="6"/>
    </row>
    <row r="51" spans="2:8" x14ac:dyDescent="0.3">
      <c r="B51" s="274">
        <v>48</v>
      </c>
      <c r="C51" s="6"/>
      <c r="D51" s="6"/>
      <c r="E51" s="274"/>
      <c r="F51" s="6"/>
      <c r="G51" s="6"/>
      <c r="H51" s="6"/>
    </row>
    <row r="52" spans="2:8" x14ac:dyDescent="0.3">
      <c r="B52" s="274">
        <v>49</v>
      </c>
      <c r="C52" s="6"/>
      <c r="D52" s="6"/>
      <c r="E52" s="274"/>
      <c r="F52" s="6"/>
      <c r="G52" s="6"/>
      <c r="H52" s="6"/>
    </row>
    <row r="53" spans="2:8" x14ac:dyDescent="0.3">
      <c r="B53" s="274">
        <v>50</v>
      </c>
      <c r="C53" s="6"/>
      <c r="D53" s="6"/>
      <c r="E53" s="274"/>
      <c r="F53" s="6"/>
      <c r="G53" s="6"/>
      <c r="H53" s="6"/>
    </row>
    <row r="54" spans="2:8" x14ac:dyDescent="0.3">
      <c r="B54" s="274">
        <v>51</v>
      </c>
      <c r="C54" s="6"/>
      <c r="D54" s="6"/>
      <c r="E54" s="274"/>
      <c r="F54" s="6"/>
      <c r="G54" s="6"/>
      <c r="H54" s="6"/>
    </row>
    <row r="55" spans="2:8" x14ac:dyDescent="0.3">
      <c r="B55" s="274">
        <v>52</v>
      </c>
      <c r="C55" s="6"/>
      <c r="D55" s="6"/>
      <c r="E55" s="274"/>
      <c r="F55" s="6"/>
      <c r="G55" s="6"/>
      <c r="H55" s="6"/>
    </row>
    <row r="56" spans="2:8" x14ac:dyDescent="0.3">
      <c r="B56" s="274">
        <v>53</v>
      </c>
      <c r="C56" s="6"/>
      <c r="D56" s="6"/>
      <c r="E56" s="274"/>
      <c r="F56" s="6"/>
      <c r="G56" s="6"/>
      <c r="H56" s="6"/>
    </row>
    <row r="57" spans="2:8" x14ac:dyDescent="0.3">
      <c r="B57" s="274">
        <v>54</v>
      </c>
      <c r="C57" s="6"/>
      <c r="D57" s="6"/>
      <c r="E57" s="274"/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57" t="s">
        <v>123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</row>
    <row r="2" spans="1:27" ht="18" x14ac:dyDescent="0.35">
      <c r="F2" s="763" t="s">
        <v>431</v>
      </c>
      <c r="G2" s="763"/>
      <c r="H2" s="763"/>
      <c r="I2" s="763"/>
      <c r="J2" s="763"/>
    </row>
    <row r="3" spans="1:27" ht="15" thickBot="1" x14ac:dyDescent="0.35">
      <c r="A3" s="731" t="s">
        <v>199</v>
      </c>
      <c r="B3" s="760"/>
      <c r="C3" s="760"/>
      <c r="D3" s="760"/>
      <c r="E3" s="760"/>
      <c r="F3" s="760"/>
      <c r="G3" s="732"/>
    </row>
    <row r="4" spans="1:27" ht="15" thickBot="1" x14ac:dyDescent="0.35">
      <c r="A4" s="761" t="s">
        <v>1</v>
      </c>
      <c r="B4" s="762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58">
        <v>46252</v>
      </c>
      <c r="B6" s="759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58">
        <v>46253</v>
      </c>
      <c r="B7" s="759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58">
        <v>46254</v>
      </c>
      <c r="B8" s="759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55" t="s">
        <v>210</v>
      </c>
      <c r="AA8" s="756"/>
    </row>
    <row r="9" spans="1:27" x14ac:dyDescent="0.3">
      <c r="A9" s="758">
        <v>46255</v>
      </c>
      <c r="B9" s="759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58">
        <v>46256</v>
      </c>
      <c r="B10" s="759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58">
        <v>46257</v>
      </c>
      <c r="B11" s="759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58">
        <v>46258</v>
      </c>
      <c r="B12" s="759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58">
        <v>46259</v>
      </c>
      <c r="B13" s="759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58">
        <v>46260</v>
      </c>
      <c r="B14" s="759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58">
        <v>46261</v>
      </c>
      <c r="B15" s="759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58">
        <v>46262</v>
      </c>
      <c r="B16" s="759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58">
        <v>46263</v>
      </c>
      <c r="B17" s="759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58">
        <v>46264</v>
      </c>
      <c r="B18" s="759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58">
        <v>46265</v>
      </c>
      <c r="B19" s="759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58">
        <v>46266</v>
      </c>
      <c r="B20" s="759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58">
        <v>46267</v>
      </c>
      <c r="B21" s="759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58">
        <v>46268</v>
      </c>
      <c r="B22" s="759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58">
        <v>46269</v>
      </c>
      <c r="B23" s="759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58">
        <v>46270</v>
      </c>
      <c r="B24" s="759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58">
        <v>46271</v>
      </c>
      <c r="B25" s="759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58">
        <v>46272</v>
      </c>
      <c r="B26" s="759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58">
        <v>46273</v>
      </c>
      <c r="B27" s="759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58">
        <v>46274</v>
      </c>
      <c r="B28" s="759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58">
        <v>46275</v>
      </c>
      <c r="B29" s="759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58">
        <v>46276</v>
      </c>
      <c r="B30" s="759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58">
        <v>46277</v>
      </c>
      <c r="B31" s="759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58">
        <v>46278</v>
      </c>
      <c r="B32" s="759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58">
        <v>46279</v>
      </c>
      <c r="B33" s="759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58">
        <v>46280</v>
      </c>
      <c r="B34" s="759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58">
        <v>46281</v>
      </c>
      <c r="B35" s="759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58">
        <v>46282</v>
      </c>
      <c r="B36" s="759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58">
        <v>46283</v>
      </c>
      <c r="B37" s="759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58">
        <v>46284</v>
      </c>
      <c r="B38" s="759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58">
        <v>46285</v>
      </c>
      <c r="B39" s="759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58">
        <v>46286</v>
      </c>
      <c r="B40" s="759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58">
        <v>46287</v>
      </c>
      <c r="B41" s="759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58">
        <v>46288</v>
      </c>
      <c r="B42" s="759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G20" sqref="G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31" t="s">
        <v>64</v>
      </c>
      <c r="B3" s="760"/>
      <c r="C3" s="760"/>
      <c r="D3" s="760"/>
      <c r="E3" s="760"/>
      <c r="F3" s="760"/>
      <c r="G3" s="760"/>
      <c r="H3" s="732"/>
    </row>
    <row r="4" spans="1:16" ht="15" thickBot="1" x14ac:dyDescent="0.35">
      <c r="A4" s="761" t="s">
        <v>1</v>
      </c>
      <c r="B4" s="762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64">
        <v>46265</v>
      </c>
      <c r="B5" s="759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64">
        <v>46266</v>
      </c>
      <c r="B6" s="759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64">
        <v>46267</v>
      </c>
      <c r="B7" s="759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64">
        <v>46268</v>
      </c>
      <c r="B8" s="759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64">
        <v>46269</v>
      </c>
      <c r="B9" s="759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64">
        <v>46270</v>
      </c>
      <c r="B10" s="759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64">
        <v>46271</v>
      </c>
      <c r="B11" s="759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64">
        <v>46271</v>
      </c>
      <c r="B12" s="759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64">
        <v>46272</v>
      </c>
      <c r="B13" s="759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821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64">
        <v>46272</v>
      </c>
      <c r="B14" s="759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821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64">
        <v>46273</v>
      </c>
      <c r="B15" s="759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64">
        <v>46273</v>
      </c>
      <c r="B16" s="759"/>
      <c r="C16" s="587" t="s">
        <v>14</v>
      </c>
      <c r="D16" s="819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821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64">
        <v>46274</v>
      </c>
      <c r="B17" s="759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821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64">
        <v>46274</v>
      </c>
      <c r="B18" s="759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820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64">
        <v>46275</v>
      </c>
      <c r="B19" s="759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821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64">
        <v>46275</v>
      </c>
      <c r="B20" s="759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64">
        <v>46280</v>
      </c>
      <c r="B21" s="759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64">
        <v>46281</v>
      </c>
      <c r="B22" s="759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64">
        <v>46282</v>
      </c>
      <c r="B23" s="759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64">
        <v>46283</v>
      </c>
      <c r="B24" s="759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64">
        <v>46284</v>
      </c>
      <c r="B25" s="759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64">
        <v>46285</v>
      </c>
      <c r="B26" s="759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64">
        <v>46286</v>
      </c>
      <c r="B27" s="759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64">
        <v>46287</v>
      </c>
      <c r="B28" s="759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64">
        <v>46288</v>
      </c>
      <c r="B29" s="759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64">
        <v>46289</v>
      </c>
      <c r="B30" s="759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64">
        <v>46290</v>
      </c>
      <c r="B31" s="759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64">
        <v>46291</v>
      </c>
      <c r="B32" s="759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64">
        <v>46292</v>
      </c>
      <c r="B33" s="759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64">
        <v>46293</v>
      </c>
      <c r="B34" s="759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64">
        <v>46294</v>
      </c>
      <c r="B35" s="759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64">
        <v>46295</v>
      </c>
      <c r="B36" s="759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64">
        <v>46296</v>
      </c>
      <c r="B37" s="759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64">
        <v>46297</v>
      </c>
      <c r="B38" s="759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64">
        <v>46298</v>
      </c>
      <c r="B39" s="759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64">
        <v>46299</v>
      </c>
      <c r="B40" s="759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64">
        <v>46300</v>
      </c>
      <c r="B41" s="759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64">
        <v>46301</v>
      </c>
      <c r="B42" s="759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64">
        <v>46302</v>
      </c>
      <c r="B43" s="759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64">
        <v>46303</v>
      </c>
      <c r="B44" s="759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64">
        <v>46304</v>
      </c>
      <c r="B45" s="759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64">
        <v>46305</v>
      </c>
      <c r="B46" s="759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64">
        <v>46306</v>
      </c>
      <c r="B47" s="759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64">
        <v>46307</v>
      </c>
      <c r="B48" s="759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64">
        <v>46308</v>
      </c>
      <c r="B49" s="759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64">
        <v>46309</v>
      </c>
      <c r="B50" s="759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64">
        <v>46310</v>
      </c>
      <c r="B51" s="759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64">
        <v>46311</v>
      </c>
      <c r="B52" s="759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64">
        <v>46312</v>
      </c>
      <c r="B53" s="759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64">
        <v>46313</v>
      </c>
      <c r="B54" s="759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64">
        <v>46314</v>
      </c>
      <c r="B55" s="759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64">
        <v>46315</v>
      </c>
      <c r="B56" s="759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64">
        <v>46316</v>
      </c>
      <c r="B57" s="759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64">
        <v>46317</v>
      </c>
      <c r="B58" s="759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64">
        <v>46318</v>
      </c>
      <c r="B59" s="759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64">
        <v>46319</v>
      </c>
      <c r="B60" s="759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64">
        <v>46320</v>
      </c>
      <c r="B61" s="759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5.3936111344537823</v>
      </c>
    </row>
    <row r="62" spans="1:19" x14ac:dyDescent="0.3">
      <c r="A62" s="764">
        <v>46321</v>
      </c>
      <c r="B62" s="759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1262.1050054621851</v>
      </c>
    </row>
    <row r="63" spans="1:19" x14ac:dyDescent="0.3">
      <c r="A63" s="764">
        <v>46322</v>
      </c>
      <c r="B63" s="759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</mergeCells>
  <phoneticPr fontId="54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zoomScale="79" zoomScaleNormal="80" workbookViewId="0">
      <pane ySplit="4" topLeftCell="A13" activePane="bottomLeft" state="frozen"/>
      <selection pane="bottomLeft" activeCell="T23" sqref="T23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82" t="s">
        <v>33</v>
      </c>
      <c r="I2" s="682"/>
      <c r="J2" s="682"/>
      <c r="K2" s="682"/>
      <c r="O2" s="1">
        <f>720+180</f>
        <v>900</v>
      </c>
    </row>
    <row r="4" spans="2:33" ht="29.4" thickBot="1" x14ac:dyDescent="0.35">
      <c r="B4" s="731" t="s">
        <v>1</v>
      </c>
      <c r="C4" s="732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705">
        <v>46265</v>
      </c>
      <c r="C5" s="706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739">
        <f>SUM(M5:M6)</f>
        <v>74.069659139999999</v>
      </c>
      <c r="O5" s="29">
        <f t="shared" ref="O5:O11" si="1">M5/((720-R5)/60)</f>
        <v>2.8865657961661344</v>
      </c>
      <c r="P5" s="741">
        <f>'Milling Down Time Hours'!M5</f>
        <v>22.433333333333334</v>
      </c>
      <c r="Q5" s="232"/>
      <c r="R5" s="77">
        <f>'Milling Down Time Hours'!L5</f>
        <v>94</v>
      </c>
      <c r="S5" s="739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07"/>
      <c r="C6" s="708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740"/>
      <c r="O6" s="29">
        <f t="shared" si="1"/>
        <v>3.6627629999999995</v>
      </c>
      <c r="P6" s="742"/>
      <c r="Q6" s="582"/>
      <c r="R6" s="77">
        <v>0</v>
      </c>
      <c r="S6" s="747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733">
        <v>46266</v>
      </c>
      <c r="C7" s="734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750">
        <f>SUM(M7:M8)</f>
        <v>218.24394086000001</v>
      </c>
      <c r="O7" s="511">
        <f t="shared" si="1"/>
        <v>8.6932442900719415</v>
      </c>
      <c r="P7" s="737">
        <f>'Milling Down Time Hours'!M6</f>
        <v>22.9</v>
      </c>
      <c r="Q7" s="513"/>
      <c r="R7" s="514">
        <v>25</v>
      </c>
      <c r="S7" s="747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735"/>
      <c r="C8" s="736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751"/>
      <c r="O8" s="511">
        <f t="shared" si="1"/>
        <v>10.387086406480119</v>
      </c>
      <c r="P8" s="738"/>
      <c r="Q8" s="513"/>
      <c r="R8" s="514">
        <v>41</v>
      </c>
      <c r="S8" s="740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1300</v>
      </c>
      <c r="AD8" s="517" t="s">
        <v>41</v>
      </c>
      <c r="AF8" s="560"/>
    </row>
    <row r="9" spans="2:33" ht="16.2" thickBot="1" x14ac:dyDescent="0.35">
      <c r="B9" s="705">
        <v>46267</v>
      </c>
      <c r="C9" s="706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39">
        <f>SUM(M9:M10)</f>
        <v>209.804</v>
      </c>
      <c r="O9" s="29">
        <f t="shared" si="1"/>
        <v>10.565099999999999</v>
      </c>
      <c r="P9" s="711">
        <f>'Milling Down Time Hours'!M7</f>
        <v>22</v>
      </c>
      <c r="Q9" s="502"/>
      <c r="R9" s="50">
        <f>'Milling Down Time Hours'!L7</f>
        <v>120.00000000000001</v>
      </c>
      <c r="S9" s="739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07"/>
      <c r="C10" s="708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40"/>
      <c r="O10" s="29">
        <f t="shared" si="1"/>
        <v>8.6794166666666666</v>
      </c>
      <c r="P10" s="712"/>
      <c r="Q10" s="502"/>
      <c r="R10" s="50">
        <v>0</v>
      </c>
      <c r="S10" s="747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1.3</v>
      </c>
      <c r="AD10" s="39" t="s">
        <v>45</v>
      </c>
    </row>
    <row r="11" spans="2:33" s="518" customFormat="1" ht="16.2" thickBot="1" x14ac:dyDescent="0.35">
      <c r="B11" s="733">
        <v>46268</v>
      </c>
      <c r="C11" s="734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750">
        <f>SUM(M11:M12)</f>
        <v>90.338150000000013</v>
      </c>
      <c r="O11" s="511">
        <f t="shared" si="1"/>
        <v>8.2125590909090924</v>
      </c>
      <c r="P11" s="752">
        <f>'Milling Down Time Hours'!M8</f>
        <v>11.016666666666667</v>
      </c>
      <c r="Q11" s="599"/>
      <c r="R11" s="513">
        <v>60</v>
      </c>
      <c r="S11" s="747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735"/>
      <c r="C12" s="736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751"/>
      <c r="O12" s="511"/>
      <c r="P12" s="753"/>
      <c r="Q12" s="586"/>
      <c r="R12" s="545">
        <v>720</v>
      </c>
      <c r="S12" s="742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705">
        <v>46269</v>
      </c>
      <c r="C13" s="706"/>
      <c r="D13" s="743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11">
        <f>'Milling Down Time Hours'!M9</f>
        <v>3.3333333333333333E-2</v>
      </c>
      <c r="Q13" s="281"/>
      <c r="R13" s="711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0.44055944055944063</v>
      </c>
      <c r="AD13" s="39"/>
      <c r="AE13" s="12"/>
      <c r="AF13" s="8"/>
    </row>
    <row r="14" spans="2:33" ht="15.6" x14ac:dyDescent="0.3">
      <c r="B14" s="709"/>
      <c r="C14" s="710"/>
      <c r="D14" s="744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19"/>
      <c r="Q14" s="502"/>
      <c r="R14" s="720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572.72727272727286</v>
      </c>
      <c r="AD14" s="39" t="s">
        <v>41</v>
      </c>
      <c r="AE14" s="12"/>
      <c r="AF14" s="8"/>
    </row>
    <row r="15" spans="2:33" ht="15.6" x14ac:dyDescent="0.3">
      <c r="B15" s="746">
        <v>46270</v>
      </c>
      <c r="C15" s="746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727.27272727272714</v>
      </c>
      <c r="AD15" s="39" t="s">
        <v>41</v>
      </c>
      <c r="AE15" s="12"/>
      <c r="AF15" s="8"/>
    </row>
    <row r="16" spans="2:33" ht="15.6" x14ac:dyDescent="0.3">
      <c r="B16" s="746"/>
      <c r="C16" s="746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830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09">
        <v>46271</v>
      </c>
      <c r="C17" s="710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3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719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828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07"/>
      <c r="C18" s="708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712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828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05">
        <v>46272</v>
      </c>
      <c r="C19" s="706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711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829"/>
      <c r="T19" s="826">
        <f>AVERAGE('LT Ball Mill'!F34:F36)</f>
        <v>0.91199999999999992</v>
      </c>
      <c r="U19" s="826">
        <f>AVERAGE('LT Ball Mill'!G34:G36)</f>
        <v>0.95333333333333325</v>
      </c>
      <c r="V19" s="826">
        <f>AVERAGE('LT Ball Mill'!H34:H36)</f>
        <v>9.3966666666666665</v>
      </c>
      <c r="W19" s="177">
        <f t="shared" si="2"/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0.44055944055944063</v>
      </c>
    </row>
    <row r="20" spans="2:32" ht="15" thickBot="1" x14ac:dyDescent="0.35">
      <c r="B20" s="707"/>
      <c r="C20" s="708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45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741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705">
        <v>46273</v>
      </c>
      <c r="C21" s="706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39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747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07"/>
      <c r="C22" s="708"/>
      <c r="D22" s="623" t="s">
        <v>537</v>
      </c>
      <c r="E22" s="822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754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747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705">
        <v>46274</v>
      </c>
      <c r="C23" s="706"/>
      <c r="D23" s="825" t="s">
        <v>170</v>
      </c>
      <c r="E23" s="824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739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747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07"/>
      <c r="C24" s="708"/>
      <c r="D24" s="822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754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747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705">
        <v>46275</v>
      </c>
      <c r="C25" s="706"/>
      <c r="D25" s="827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4:I25" si="12">H25/((720-R25)/60)</f>
        <v>20.441640378548897</v>
      </c>
      <c r="J25" s="523">
        <v>323</v>
      </c>
      <c r="K25" s="523">
        <v>1.3</v>
      </c>
      <c r="L25" s="521"/>
      <c r="M25" s="536">
        <f>J25*K25*G25-'Au Cal Leaching Tank'!$R$12</f>
        <v>123.06580000000004</v>
      </c>
      <c r="N25" s="739">
        <f>SUM(M25:M26)</f>
        <v>123.06580000000004</v>
      </c>
      <c r="O25" s="50">
        <f t="shared" si="7"/>
        <v>11.646605678233442</v>
      </c>
      <c r="P25" s="50">
        <f t="shared" si="10"/>
        <v>10.566666666666666</v>
      </c>
      <c r="Q25" s="50">
        <f t="shared" si="11"/>
        <v>634</v>
      </c>
      <c r="R25" s="50">
        <f>'Milling Down Time Hours'!G19</f>
        <v>86</v>
      </c>
      <c r="S25" s="823"/>
      <c r="T25" s="256"/>
      <c r="U25" s="256"/>
      <c r="V25" s="256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4">
        <f>AB24*AC10*AC13</f>
        <v>185.30518745454546</v>
      </c>
    </row>
    <row r="26" spans="2:32" ht="15" thickBot="1" x14ac:dyDescent="0.35">
      <c r="B26" s="707"/>
      <c r="C26" s="708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754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151.87518745454545</v>
      </c>
    </row>
    <row r="27" spans="2:32" ht="15" thickBot="1" x14ac:dyDescent="0.35">
      <c r="B27" s="705">
        <v>46276</v>
      </c>
      <c r="C27" s="706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707"/>
      <c r="C28" s="708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711">
        <f>'Milling Down Time Hours'!M17</f>
        <v>15</v>
      </c>
      <c r="Q28" s="281"/>
      <c r="R28" s="711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123.30518745454546</v>
      </c>
    </row>
    <row r="29" spans="2:32" ht="15" thickBot="1" x14ac:dyDescent="0.35">
      <c r="B29" s="705">
        <v>46277</v>
      </c>
      <c r="C29" s="706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712"/>
      <c r="Q29" s="257"/>
      <c r="R29" s="712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07"/>
      <c r="C30" s="708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739">
        <f>N31/P30</f>
        <v>0</v>
      </c>
      <c r="P30" s="711">
        <f>'Milling Down Time Hours'!M18</f>
        <v>12</v>
      </c>
      <c r="Q30" s="281"/>
      <c r="R30" s="711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05">
        <v>46278</v>
      </c>
      <c r="C31" s="706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740"/>
      <c r="P31" s="712"/>
      <c r="Q31" s="257"/>
      <c r="R31" s="712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07"/>
      <c r="C32" s="708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739">
        <f>SUM(N32:N33)/P32</f>
        <v>0</v>
      </c>
      <c r="P32" s="719">
        <f>'Milling Down Time Hours'!M19</f>
        <v>22.566666666666666</v>
      </c>
      <c r="Q32" s="502"/>
      <c r="R32" s="711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05">
        <v>46279</v>
      </c>
      <c r="C33" s="706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740"/>
      <c r="P33" s="712"/>
      <c r="Q33" s="257"/>
      <c r="R33" s="712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07"/>
      <c r="C34" s="708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739">
        <f>SUM(N34:N35)/P34</f>
        <v>0</v>
      </c>
      <c r="P34" s="711">
        <f>'Milling Down Time Hours'!M20</f>
        <v>24</v>
      </c>
      <c r="Q34" s="281"/>
      <c r="R34" s="711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05">
        <v>46280</v>
      </c>
      <c r="C35" s="706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740"/>
      <c r="P35" s="712"/>
      <c r="Q35" s="257"/>
      <c r="R35" s="712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07"/>
      <c r="C36" s="708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748">
        <f>SUM(N36:N37)/P36</f>
        <v>0</v>
      </c>
      <c r="P36" s="713">
        <f>'Milling Down Time Hours'!M21</f>
        <v>24</v>
      </c>
      <c r="Q36" s="584"/>
      <c r="R36" s="713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05">
        <v>46281</v>
      </c>
      <c r="C37" s="706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749"/>
      <c r="P37" s="714"/>
      <c r="Q37" s="585"/>
      <c r="R37" s="714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07"/>
      <c r="C38" s="708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48">
        <f t="shared" ref="O38" si="13">SUM(N38:N39)/P38</f>
        <v>0</v>
      </c>
      <c r="P38" s="711">
        <f>'Milling Down Time Hours'!M22</f>
        <v>24</v>
      </c>
      <c r="Q38" s="281"/>
      <c r="R38" s="711">
        <f>'Milling Down Time Hours'!L22</f>
        <v>0</v>
      </c>
      <c r="S38" s="6"/>
      <c r="T38" s="715"/>
      <c r="U38" s="715"/>
      <c r="V38" s="717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05">
        <v>46282</v>
      </c>
      <c r="C39" s="706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49"/>
      <c r="P39" s="712"/>
      <c r="Q39" s="257"/>
      <c r="R39" s="712"/>
      <c r="S39" s="6"/>
      <c r="T39" s="716"/>
      <c r="U39" s="716"/>
      <c r="V39" s="718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07"/>
      <c r="C40" s="708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48">
        <f>SUM(N40:N41)/P40</f>
        <v>0</v>
      </c>
      <c r="P40" s="711">
        <f>'Milling Down Time Hours'!M23</f>
        <v>24</v>
      </c>
      <c r="Q40" s="281"/>
      <c r="R40" s="711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05">
        <v>46283</v>
      </c>
      <c r="C41" s="706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749"/>
      <c r="P41" s="712"/>
      <c r="Q41" s="257"/>
      <c r="R41" s="712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07"/>
      <c r="C42" s="708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05">
        <v>46284</v>
      </c>
      <c r="C43" s="706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07"/>
      <c r="C44" s="708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711">
        <f>'Milling Down Time Hours'!M25</f>
        <v>24</v>
      </c>
      <c r="Q44" s="281"/>
      <c r="R44" s="711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05">
        <v>46285</v>
      </c>
      <c r="C45" s="706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712"/>
      <c r="Q45" s="257"/>
      <c r="R45" s="712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07"/>
      <c r="C46" s="708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711">
        <f>'Milling Down Time Hours'!M26</f>
        <v>24</v>
      </c>
      <c r="Q46" s="281"/>
      <c r="R46" s="711">
        <f>'Milling Down Time Hours'!L26</f>
        <v>0</v>
      </c>
      <c r="S46" s="6"/>
      <c r="T46" s="715"/>
      <c r="U46" s="715"/>
      <c r="V46" s="717"/>
      <c r="W46" s="177"/>
      <c r="X46" s="129"/>
      <c r="Y46" s="129"/>
    </row>
    <row r="47" spans="2:32" ht="15" thickBot="1" x14ac:dyDescent="0.35">
      <c r="B47" s="705">
        <v>46286</v>
      </c>
      <c r="C47" s="706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712"/>
      <c r="Q47" s="257"/>
      <c r="R47" s="712"/>
      <c r="S47" s="6"/>
      <c r="T47" s="716"/>
      <c r="U47" s="716"/>
      <c r="V47" s="718"/>
      <c r="W47" s="177"/>
      <c r="X47" s="129"/>
      <c r="Y47" s="129"/>
    </row>
    <row r="48" spans="2:32" ht="15" thickBot="1" x14ac:dyDescent="0.35">
      <c r="B48" s="707"/>
      <c r="C48" s="708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711">
        <f>'Milling Down Time Hours'!M54</f>
        <v>0</v>
      </c>
      <c r="Q48" s="281"/>
      <c r="R48" s="711">
        <f>'Milling Down Time Hours'!L54</f>
        <v>0</v>
      </c>
      <c r="S48" s="6"/>
      <c r="T48" s="715"/>
      <c r="U48" s="715"/>
      <c r="V48" s="717"/>
      <c r="W48" s="177"/>
      <c r="X48" s="129"/>
      <c r="Y48" s="129"/>
    </row>
    <row r="49" spans="2:28" ht="15" thickBot="1" x14ac:dyDescent="0.35">
      <c r="B49" s="705">
        <v>46287</v>
      </c>
      <c r="C49" s="706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712"/>
      <c r="Q49" s="257"/>
      <c r="R49" s="712"/>
      <c r="S49" s="6"/>
      <c r="T49" s="716"/>
      <c r="U49" s="716"/>
      <c r="V49" s="718"/>
      <c r="W49" s="177"/>
      <c r="X49" s="129"/>
      <c r="Y49" s="129"/>
    </row>
    <row r="50" spans="2:28" ht="15" thickBot="1" x14ac:dyDescent="0.35">
      <c r="B50" s="707"/>
      <c r="C50" s="708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711">
        <f>'Milling Down Time Hours'!M56</f>
        <v>0</v>
      </c>
      <c r="Q50" s="281"/>
      <c r="R50" s="711">
        <f>'Milling Down Time Hours'!L56</f>
        <v>0</v>
      </c>
      <c r="S50" s="6"/>
      <c r="T50" s="715"/>
      <c r="U50" s="715"/>
      <c r="V50" s="717"/>
      <c r="W50" s="177"/>
      <c r="X50" s="129"/>
      <c r="Y50" s="129"/>
    </row>
    <row r="51" spans="2:28" ht="15" thickBot="1" x14ac:dyDescent="0.35">
      <c r="B51" s="705">
        <v>46288</v>
      </c>
      <c r="C51" s="706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712"/>
      <c r="Q51" s="257"/>
      <c r="R51" s="712"/>
      <c r="S51" s="6"/>
      <c r="T51" s="716"/>
      <c r="U51" s="716"/>
      <c r="V51" s="718"/>
      <c r="W51" s="177"/>
      <c r="X51" s="129"/>
      <c r="Y51" s="129"/>
    </row>
    <row r="52" spans="2:28" ht="15" thickBot="1" x14ac:dyDescent="0.35">
      <c r="B52" s="707"/>
      <c r="C52" s="708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711"/>
      <c r="Q52" s="281"/>
      <c r="R52" s="711"/>
      <c r="S52" s="6"/>
      <c r="T52" s="715"/>
      <c r="U52" s="715"/>
      <c r="V52" s="717"/>
      <c r="W52" s="177"/>
      <c r="X52" s="129"/>
      <c r="Y52" s="129"/>
    </row>
    <row r="53" spans="2:28" ht="15" thickBot="1" x14ac:dyDescent="0.35">
      <c r="B53" s="705">
        <v>46289</v>
      </c>
      <c r="C53" s="706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712"/>
      <c r="Q53" s="257"/>
      <c r="R53" s="712"/>
      <c r="S53" s="6"/>
      <c r="T53" s="716"/>
      <c r="U53" s="716"/>
      <c r="V53" s="718"/>
      <c r="W53" s="177"/>
      <c r="X53" s="129"/>
      <c r="Y53" s="129"/>
      <c r="AB53" s="1">
        <v>9570</v>
      </c>
    </row>
    <row r="54" spans="2:28" ht="15" thickBot="1" x14ac:dyDescent="0.35">
      <c r="B54" s="707"/>
      <c r="C54" s="708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711">
        <f>'Milling Down Time Hours'!M60</f>
        <v>23</v>
      </c>
      <c r="Q54" s="281"/>
      <c r="R54" s="711">
        <f>'Milling Down Time Hours'!L60</f>
        <v>0</v>
      </c>
      <c r="S54" s="6"/>
      <c r="T54" s="715"/>
      <c r="U54" s="715"/>
      <c r="V54" s="717"/>
      <c r="W54" s="177"/>
      <c r="X54" s="129"/>
      <c r="Y54" s="129"/>
      <c r="AB54" s="1">
        <v>8795</v>
      </c>
    </row>
    <row r="55" spans="2:28" ht="15" thickBot="1" x14ac:dyDescent="0.35">
      <c r="B55" s="705">
        <v>46290</v>
      </c>
      <c r="C55" s="706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712"/>
      <c r="Q55" s="257"/>
      <c r="R55" s="712"/>
      <c r="S55" s="6"/>
      <c r="T55" s="716"/>
      <c r="U55" s="716"/>
      <c r="V55" s="718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07"/>
      <c r="C56" s="708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711">
        <f>'Milling Down Time Hours'!M62</f>
        <v>0</v>
      </c>
      <c r="Q56" s="281"/>
      <c r="R56" s="711">
        <f>'Milling Down Time Hours'!L62</f>
        <v>0</v>
      </c>
      <c r="S56" s="6"/>
      <c r="T56" s="715"/>
      <c r="U56" s="715"/>
      <c r="V56" s="717"/>
      <c r="W56" s="177"/>
      <c r="X56" s="129"/>
      <c r="Y56" s="129"/>
    </row>
    <row r="57" spans="2:28" ht="15" thickBot="1" x14ac:dyDescent="0.35">
      <c r="B57" s="705">
        <v>46291</v>
      </c>
      <c r="C57" s="706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712"/>
      <c r="Q57" s="257"/>
      <c r="R57" s="712"/>
      <c r="S57" s="6"/>
      <c r="T57" s="716"/>
      <c r="U57" s="716"/>
      <c r="V57" s="718"/>
      <c r="W57" s="177"/>
      <c r="X57" s="129"/>
      <c r="Y57" s="129"/>
    </row>
    <row r="58" spans="2:28" ht="15" thickBot="1" x14ac:dyDescent="0.35">
      <c r="B58" s="707"/>
      <c r="C58" s="708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711">
        <f>'Milling Down Time Hours'!M64</f>
        <v>0</v>
      </c>
      <c r="Q58" s="281"/>
      <c r="R58" s="711">
        <f>'Milling Down Time Hours'!L64</f>
        <v>0</v>
      </c>
      <c r="S58" s="6"/>
      <c r="T58" s="715"/>
      <c r="U58" s="715"/>
      <c r="V58" s="717"/>
      <c r="W58" s="177"/>
      <c r="X58" s="129"/>
      <c r="Y58" s="129"/>
    </row>
    <row r="59" spans="2:28" ht="15" thickBot="1" x14ac:dyDescent="0.35">
      <c r="B59" s="705">
        <v>46292</v>
      </c>
      <c r="C59" s="706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712"/>
      <c r="Q59" s="257"/>
      <c r="R59" s="712"/>
      <c r="S59" s="6"/>
      <c r="T59" s="716"/>
      <c r="U59" s="716"/>
      <c r="V59" s="718"/>
      <c r="W59" s="177"/>
      <c r="X59" s="129"/>
      <c r="Y59" s="129"/>
    </row>
    <row r="60" spans="2:28" ht="15" thickBot="1" x14ac:dyDescent="0.35">
      <c r="B60" s="707"/>
      <c r="C60" s="708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711">
        <f>'Milling Down Time Hours'!M66</f>
        <v>0</v>
      </c>
      <c r="Q60" s="281"/>
      <c r="R60" s="711">
        <f>'Milling Down Time Hours'!L66</f>
        <v>0</v>
      </c>
      <c r="S60" s="6"/>
      <c r="T60" s="715"/>
      <c r="U60" s="715"/>
      <c r="V60" s="717"/>
      <c r="W60" s="177"/>
      <c r="X60" s="129"/>
      <c r="Y60" s="129"/>
    </row>
    <row r="61" spans="2:28" ht="15" thickBot="1" x14ac:dyDescent="0.35">
      <c r="B61" s="705">
        <v>46293</v>
      </c>
      <c r="C61" s="706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712"/>
      <c r="Q61" s="257"/>
      <c r="R61" s="712"/>
      <c r="S61" s="6"/>
      <c r="T61" s="716"/>
      <c r="U61" s="716"/>
      <c r="V61" s="718"/>
      <c r="W61" s="177"/>
      <c r="X61" s="129"/>
      <c r="Y61" s="129"/>
    </row>
    <row r="62" spans="2:28" ht="15" thickBot="1" x14ac:dyDescent="0.35">
      <c r="B62" s="707"/>
      <c r="C62" s="708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711">
        <f>'Milling Down Time Hours'!M34</f>
        <v>24</v>
      </c>
      <c r="Q62" s="281"/>
      <c r="R62" s="711">
        <f>'Milling Down Time Hours'!L68</f>
        <v>0</v>
      </c>
      <c r="S62" s="6"/>
      <c r="T62" s="723"/>
      <c r="U62" s="723"/>
      <c r="V62" s="725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705">
        <v>46294</v>
      </c>
      <c r="C63" s="706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712"/>
      <c r="Q63" s="257"/>
      <c r="R63" s="712"/>
      <c r="S63" s="6"/>
      <c r="T63" s="724"/>
      <c r="U63" s="724"/>
      <c r="V63" s="726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707"/>
      <c r="C64" s="708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711">
        <f>'Milling Down Time Hours'!M35</f>
        <v>24</v>
      </c>
      <c r="Q64" s="281"/>
      <c r="R64" s="711">
        <f>'Milling Down Time Hours'!L70</f>
        <v>0</v>
      </c>
      <c r="S64" s="6"/>
      <c r="T64" s="723"/>
      <c r="U64" s="723"/>
      <c r="V64" s="727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705">
        <v>46295</v>
      </c>
      <c r="C65" s="706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712"/>
      <c r="Q65" s="257"/>
      <c r="R65" s="712"/>
      <c r="S65" s="6"/>
      <c r="T65" s="724"/>
      <c r="U65" s="724"/>
      <c r="V65" s="728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707"/>
      <c r="C66" s="708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729"/>
      <c r="Q66" s="580"/>
      <c r="R66" s="711">
        <f>'Milling Down Time Hours'!L72</f>
        <v>0</v>
      </c>
      <c r="S66" s="6"/>
      <c r="T66" s="723"/>
      <c r="U66" s="723"/>
      <c r="V66" s="727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705">
        <v>46296</v>
      </c>
      <c r="C67" s="706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730"/>
      <c r="Q67" s="581"/>
      <c r="R67" s="712"/>
      <c r="S67" s="6"/>
      <c r="T67" s="724"/>
      <c r="U67" s="724"/>
      <c r="V67" s="728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707"/>
      <c r="C68" s="708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711">
        <f>'Milling Down Time Hours'!M37</f>
        <v>24</v>
      </c>
      <c r="Q68" s="281"/>
      <c r="R68" s="711">
        <f>'Milling Down Time Hours'!L74</f>
        <v>0</v>
      </c>
      <c r="S68" s="6"/>
      <c r="T68" s="723"/>
      <c r="U68" s="723"/>
      <c r="V68" s="725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705">
        <v>46297</v>
      </c>
      <c r="C69" s="706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712"/>
      <c r="Q69" s="257"/>
      <c r="R69" s="712"/>
      <c r="S69" s="6"/>
      <c r="T69" s="724"/>
      <c r="U69" s="724"/>
      <c r="V69" s="726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707"/>
      <c r="C70" s="708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711">
        <f>'Milling Down Time Hours'!M38</f>
        <v>24</v>
      </c>
      <c r="Q70" s="281"/>
      <c r="R70" s="711">
        <f>'Milling Down Time Hours'!L76</f>
        <v>0</v>
      </c>
      <c r="S70" s="6"/>
      <c r="T70" s="723"/>
      <c r="U70" s="723"/>
      <c r="V70" s="725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705">
        <v>46298</v>
      </c>
      <c r="C71" s="706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712"/>
      <c r="Q71" s="257"/>
      <c r="R71" s="712"/>
      <c r="S71" s="6"/>
      <c r="T71" s="724"/>
      <c r="U71" s="724"/>
      <c r="V71" s="726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707"/>
      <c r="C72" s="708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711">
        <f>'Milling Down Time Hours'!M39</f>
        <v>24</v>
      </c>
      <c r="Q72" s="281"/>
      <c r="R72" s="711">
        <f>'Milling Down Time Hours'!L78</f>
        <v>0</v>
      </c>
      <c r="S72" s="6"/>
      <c r="T72" s="723"/>
      <c r="U72" s="723"/>
      <c r="V72" s="725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705">
        <v>46299</v>
      </c>
      <c r="C73" s="706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712"/>
      <c r="Q73" s="257"/>
      <c r="R73" s="712"/>
      <c r="S73" s="6"/>
      <c r="T73" s="724"/>
      <c r="U73" s="724"/>
      <c r="V73" s="726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707"/>
      <c r="C74" s="708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711">
        <f>'Milling Down Time Hours'!M40</f>
        <v>24</v>
      </c>
      <c r="Q74" s="281"/>
      <c r="R74" s="711">
        <f>'Milling Down Time Hours'!L80</f>
        <v>0</v>
      </c>
      <c r="S74" s="6"/>
      <c r="T74" s="715"/>
      <c r="U74" s="715"/>
      <c r="V74" s="717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705">
        <v>46300</v>
      </c>
      <c r="C75" s="706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712"/>
      <c r="Q75" s="257"/>
      <c r="R75" s="712"/>
      <c r="S75" s="6"/>
      <c r="T75" s="716"/>
      <c r="U75" s="716"/>
      <c r="V75" s="718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707"/>
      <c r="C76" s="708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711">
        <f>'Milling Down Time Hours'!M41</f>
        <v>24</v>
      </c>
      <c r="Q76" s="281"/>
      <c r="R76" s="711">
        <f>'Milling Down Time Hours'!L82</f>
        <v>0</v>
      </c>
      <c r="S76" s="6"/>
      <c r="T76" s="723"/>
      <c r="U76" s="723"/>
      <c r="V76" s="725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705">
        <v>46301</v>
      </c>
      <c r="C77" s="706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712"/>
      <c r="Q77" s="257"/>
      <c r="R77" s="712"/>
      <c r="S77" s="6"/>
      <c r="T77" s="724"/>
      <c r="U77" s="724"/>
      <c r="V77" s="726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709"/>
      <c r="C78" s="710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711">
        <f>'Milling Down Time Hours'!M42</f>
        <v>24</v>
      </c>
      <c r="Q78" s="281"/>
      <c r="R78" s="711">
        <f>'Milling Down Time Hours'!L84</f>
        <v>0</v>
      </c>
      <c r="S78" s="6"/>
      <c r="T78" s="723">
        <v>0.35699999999999998</v>
      </c>
      <c r="U78" s="723">
        <v>1.056</v>
      </c>
      <c r="V78" s="725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709"/>
      <c r="C79" s="710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712"/>
      <c r="Q79" s="257"/>
      <c r="R79" s="712"/>
      <c r="S79" s="6"/>
      <c r="T79" s="724"/>
      <c r="U79" s="724"/>
      <c r="V79" s="726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709"/>
      <c r="C80" s="710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711">
        <f>'Milling Down Time Hours'!M86</f>
        <v>0</v>
      </c>
      <c r="Q80" s="281"/>
      <c r="R80" s="711">
        <f>'Milling Down Time Hours'!L86</f>
        <v>0</v>
      </c>
      <c r="S80" s="6"/>
      <c r="T80" s="715" t="e">
        <f>SUM(#REF!)</f>
        <v>#REF!</v>
      </c>
      <c r="U80" s="715" t="e">
        <f t="shared" ref="U80" si="19">SUM(T80:T82)</f>
        <v>#REF!</v>
      </c>
      <c r="V80" s="717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709"/>
      <c r="C81" s="710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712"/>
      <c r="Q81" s="257"/>
      <c r="R81" s="712"/>
      <c r="S81" s="6"/>
      <c r="T81" s="716"/>
      <c r="U81" s="716"/>
      <c r="V81" s="718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709"/>
      <c r="C82" s="710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711">
        <f>'Milling Down Time Hours'!M88</f>
        <v>0</v>
      </c>
      <c r="Q82" s="281"/>
      <c r="R82" s="711">
        <f>'Milling Down Time Hours'!L88</f>
        <v>0</v>
      </c>
      <c r="S82" s="6"/>
      <c r="T82" s="715" t="e">
        <f>SUM(#REF!)</f>
        <v>#REF!</v>
      </c>
      <c r="U82" s="715" t="e">
        <f t="shared" ref="U82" si="21">SUM(T82:T84)</f>
        <v>#REF!</v>
      </c>
      <c r="V82" s="717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709"/>
      <c r="C83" s="710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712"/>
      <c r="Q83" s="257"/>
      <c r="R83" s="712"/>
      <c r="S83" s="6"/>
      <c r="T83" s="716"/>
      <c r="U83" s="716"/>
      <c r="V83" s="718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709"/>
      <c r="C84" s="710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711">
        <f>'Milling Down Time Hours'!M90</f>
        <v>0</v>
      </c>
      <c r="Q84" s="281"/>
      <c r="R84" s="711">
        <f>'Milling Down Time Hours'!L90</f>
        <v>0</v>
      </c>
      <c r="S84" s="6"/>
      <c r="T84" s="715" t="e">
        <f>SUM(#REF!)</f>
        <v>#REF!</v>
      </c>
      <c r="U84" s="715" t="e">
        <f t="shared" ref="U84" si="23">SUM(T84:T86)</f>
        <v>#REF!</v>
      </c>
      <c r="V84" s="717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709"/>
      <c r="C85" s="710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712"/>
      <c r="Q85" s="257"/>
      <c r="R85" s="712"/>
      <c r="S85" s="6"/>
      <c r="T85" s="716"/>
      <c r="U85" s="716"/>
      <c r="V85" s="718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709"/>
      <c r="C86" s="710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711">
        <f>'Milling Down Time Hours'!M92</f>
        <v>0</v>
      </c>
      <c r="Q86" s="281"/>
      <c r="R86" s="711">
        <f>'Milling Down Time Hours'!L92</f>
        <v>0</v>
      </c>
      <c r="S86" s="6"/>
      <c r="T86" s="715" t="e">
        <f>SUM(#REF!)</f>
        <v>#REF!</v>
      </c>
      <c r="U86" s="715" t="e">
        <f t="shared" ref="U86" si="25">SUM(T86:T88)</f>
        <v>#REF!</v>
      </c>
      <c r="V86" s="717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709"/>
      <c r="C87" s="710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712"/>
      <c r="Q87" s="257"/>
      <c r="R87" s="712"/>
      <c r="S87" s="6"/>
      <c r="T87" s="716"/>
      <c r="U87" s="716"/>
      <c r="V87" s="718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709"/>
      <c r="C88" s="710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711">
        <f>'Milling Down Time Hours'!M94</f>
        <v>0</v>
      </c>
      <c r="Q88" s="281"/>
      <c r="R88" s="711">
        <f>'Milling Down Time Hours'!L94</f>
        <v>0</v>
      </c>
      <c r="S88" s="6"/>
      <c r="T88" s="715" t="e">
        <f>SUM(#REF!)</f>
        <v>#REF!</v>
      </c>
      <c r="U88" s="715" t="e">
        <f t="shared" ref="U88" si="27">SUM(T88:T90)</f>
        <v>#REF!</v>
      </c>
      <c r="V88" s="717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709"/>
      <c r="C89" s="710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712"/>
      <c r="Q89" s="257"/>
      <c r="R89" s="712"/>
      <c r="S89" s="6"/>
      <c r="T89" s="716"/>
      <c r="U89" s="716"/>
      <c r="V89" s="718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709"/>
      <c r="C90" s="710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711">
        <f>'Milling Down Time Hours'!M96</f>
        <v>0</v>
      </c>
      <c r="Q90" s="281"/>
      <c r="R90" s="711">
        <f>'Milling Down Time Hours'!L96</f>
        <v>0</v>
      </c>
      <c r="S90" s="6"/>
      <c r="T90" s="715" t="e">
        <f>SUM(#REF!)</f>
        <v>#REF!</v>
      </c>
      <c r="U90" s="715" t="e">
        <f t="shared" ref="U90" si="29">SUM(T90:T92)</f>
        <v>#REF!</v>
      </c>
      <c r="V90" s="717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709"/>
      <c r="C91" s="710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712"/>
      <c r="Q91" s="257"/>
      <c r="R91" s="712"/>
      <c r="S91" s="6"/>
      <c r="T91" s="716"/>
      <c r="U91" s="716"/>
      <c r="V91" s="718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709"/>
      <c r="C92" s="710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711">
        <f>'Milling Down Time Hours'!M98</f>
        <v>0</v>
      </c>
      <c r="Q92" s="281"/>
      <c r="R92" s="711">
        <f>'Milling Down Time Hours'!L98</f>
        <v>0</v>
      </c>
      <c r="S92" s="6"/>
      <c r="T92" s="715" t="e">
        <f>SUM(#REF!)</f>
        <v>#REF!</v>
      </c>
      <c r="U92" s="715" t="e">
        <f t="shared" ref="U92" si="31">SUM(T92:T94)</f>
        <v>#REF!</v>
      </c>
      <c r="V92" s="717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709"/>
      <c r="C93" s="710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712"/>
      <c r="Q93" s="257"/>
      <c r="R93" s="712"/>
      <c r="S93" s="6"/>
      <c r="T93" s="716"/>
      <c r="U93" s="716"/>
      <c r="V93" s="718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709"/>
      <c r="C94" s="710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711">
        <f>'Milling Down Time Hours'!M100</f>
        <v>0</v>
      </c>
      <c r="Q94" s="281"/>
      <c r="R94" s="711">
        <f>'Milling Down Time Hours'!L100</f>
        <v>0</v>
      </c>
      <c r="S94" s="6"/>
      <c r="T94" s="715" t="e">
        <f>SUM(#REF!)</f>
        <v>#REF!</v>
      </c>
      <c r="U94" s="715" t="e">
        <f>SUM(T94:T98)</f>
        <v>#REF!</v>
      </c>
      <c r="V94" s="717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709"/>
      <c r="C95" s="710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719"/>
      <c r="Q95" s="502"/>
      <c r="R95" s="720"/>
      <c r="S95" s="197"/>
      <c r="T95" s="721"/>
      <c r="U95" s="721"/>
      <c r="V95" s="722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707"/>
      <c r="C96" s="708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0.70857142857142852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0.66932142857142862</v>
      </c>
      <c r="U98" s="132">
        <f>AVERAGE(U5:U26)*0.9</f>
        <v>0.67613571428571428</v>
      </c>
      <c r="V98" s="132">
        <f>AVERAGE(V5:V26)*0.9</f>
        <v>7.6169785714285725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N23:N24"/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  <mergeCell ref="R54:R55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V58:V59"/>
    <mergeCell ref="U60:U61"/>
    <mergeCell ref="V60:V61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R46:R47"/>
    <mergeCell ref="T74:T75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52:T53"/>
    <mergeCell ref="T54:T55"/>
    <mergeCell ref="T56:T57"/>
    <mergeCell ref="T58:T59"/>
    <mergeCell ref="R52:R53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692" t="s">
        <v>71</v>
      </c>
      <c r="C3" s="692" t="s">
        <v>292</v>
      </c>
      <c r="D3" s="692" t="s">
        <v>293</v>
      </c>
      <c r="E3" s="251" t="s">
        <v>296</v>
      </c>
      <c r="F3" s="251" t="s">
        <v>297</v>
      </c>
      <c r="G3" s="685" t="s">
        <v>253</v>
      </c>
      <c r="H3" s="686"/>
      <c r="I3" s="686"/>
      <c r="J3" s="687"/>
      <c r="K3" s="688" t="s">
        <v>260</v>
      </c>
    </row>
    <row r="4" spans="2:20" x14ac:dyDescent="0.3">
      <c r="B4" s="693"/>
      <c r="C4" s="693"/>
      <c r="D4" s="693"/>
      <c r="E4" s="252" t="s">
        <v>55</v>
      </c>
      <c r="F4" s="252" t="s">
        <v>298</v>
      </c>
      <c r="G4" s="685" t="s">
        <v>266</v>
      </c>
      <c r="H4" s="686"/>
      <c r="I4" s="687"/>
      <c r="J4" s="147" t="s">
        <v>259</v>
      </c>
      <c r="K4" s="688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694"/>
      <c r="C5" s="694"/>
      <c r="D5" s="694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88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AVERAGE(R13:R15)</f>
        <v>0.13733333333333334</v>
      </c>
      <c r="H8" s="150">
        <f t="shared" ref="H8:I8" si="2">AVERAGE(S13:S15)</f>
        <v>0.32666666666666666</v>
      </c>
      <c r="I8" s="150">
        <f t="shared" si="2"/>
        <v>9.4233333333333338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/>
      <c r="P16" s="16"/>
      <c r="Q16" s="84"/>
      <c r="R16" s="16"/>
      <c r="S16" s="16"/>
      <c r="T16" s="16"/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/>
      <c r="P17" s="16"/>
      <c r="Q17" s="84"/>
      <c r="R17" s="16"/>
      <c r="S17" s="16"/>
      <c r="T17" s="16"/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/>
      <c r="P18" s="16"/>
      <c r="Q18" s="84"/>
      <c r="R18" s="16"/>
      <c r="S18" s="16"/>
      <c r="T18" s="16"/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31" t="s">
        <v>271</v>
      </c>
      <c r="B3" s="760"/>
      <c r="C3" s="760"/>
      <c r="D3" s="760"/>
      <c r="E3" s="760"/>
      <c r="F3" s="760"/>
      <c r="G3" s="732"/>
      <c r="I3" s="1">
        <f>I2/2</f>
        <v>720</v>
      </c>
    </row>
    <row r="4" spans="1:14" ht="15" thickBot="1" x14ac:dyDescent="0.35">
      <c r="A4" s="761" t="s">
        <v>1</v>
      </c>
      <c r="B4" s="762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65">
        <v>46268</v>
      </c>
      <c r="B5" s="759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65">
        <v>46269</v>
      </c>
      <c r="B6" s="759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65">
        <v>46270</v>
      </c>
      <c r="B7" s="759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65">
        <v>46271</v>
      </c>
      <c r="B8" s="759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65">
        <v>46272</v>
      </c>
      <c r="B9" s="759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65">
        <v>46273</v>
      </c>
      <c r="B10" s="759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65">
        <v>46274</v>
      </c>
      <c r="B11" s="759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65">
        <v>46275</v>
      </c>
      <c r="B12" s="759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65">
        <v>46276</v>
      </c>
      <c r="B13" s="759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65">
        <v>46277</v>
      </c>
      <c r="B14" s="759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65">
        <v>46278</v>
      </c>
      <c r="B15" s="759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65">
        <v>46279</v>
      </c>
      <c r="B16" s="759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65">
        <v>46280</v>
      </c>
      <c r="B17" s="759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65">
        <v>46281</v>
      </c>
      <c r="B18" s="759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65">
        <v>46282</v>
      </c>
      <c r="B19" s="759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65">
        <v>46283</v>
      </c>
      <c r="B20" s="759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65">
        <v>46284</v>
      </c>
      <c r="B21" s="759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65">
        <v>46285</v>
      </c>
      <c r="B22" s="759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65">
        <v>46286</v>
      </c>
      <c r="B23" s="759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65">
        <v>46287</v>
      </c>
      <c r="B24" s="759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65">
        <v>46288</v>
      </c>
      <c r="B25" s="759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65">
        <v>46289</v>
      </c>
      <c r="B26" s="759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65">
        <v>46290</v>
      </c>
      <c r="B27" s="759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65">
        <v>46291</v>
      </c>
      <c r="B28" s="759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65">
        <v>46292</v>
      </c>
      <c r="B29" s="759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65">
        <v>46293</v>
      </c>
      <c r="B30" s="759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65">
        <v>46294</v>
      </c>
      <c r="B31" s="759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65">
        <v>46295</v>
      </c>
      <c r="B32" s="759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65">
        <v>46296</v>
      </c>
      <c r="B33" s="759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65">
        <v>46297</v>
      </c>
      <c r="B34" s="759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65">
        <v>46298</v>
      </c>
      <c r="B35" s="759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65">
        <v>46299</v>
      </c>
      <c r="B36" s="759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65">
        <v>46300</v>
      </c>
      <c r="B37" s="759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65">
        <v>46301</v>
      </c>
      <c r="B38" s="759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65">
        <v>46302</v>
      </c>
      <c r="B39" s="759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65">
        <v>46303</v>
      </c>
      <c r="B40" s="759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65">
        <v>46304</v>
      </c>
      <c r="B41" s="759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65">
        <v>46305</v>
      </c>
      <c r="B42" s="759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65">
        <v>46306</v>
      </c>
      <c r="B43" s="759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65">
        <v>46307</v>
      </c>
      <c r="B44" s="759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65">
        <v>46308</v>
      </c>
      <c r="B45" s="759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65">
        <v>46309</v>
      </c>
      <c r="B46" s="759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65">
        <v>46310</v>
      </c>
      <c r="B47" s="759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65">
        <v>46311</v>
      </c>
      <c r="B48" s="759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65">
        <v>46312</v>
      </c>
      <c r="B49" s="759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65">
        <v>46313</v>
      </c>
      <c r="B50" s="759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65">
        <v>46314</v>
      </c>
      <c r="B51" s="759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65">
        <v>46315</v>
      </c>
      <c r="B52" s="759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65">
        <v>46316</v>
      </c>
      <c r="B53" s="759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65">
        <v>46317</v>
      </c>
      <c r="B54" s="759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65">
        <v>46318</v>
      </c>
      <c r="B55" s="759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65">
        <v>46319</v>
      </c>
      <c r="B56" s="759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65">
        <v>46320</v>
      </c>
      <c r="B57" s="759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65">
        <v>46321</v>
      </c>
      <c r="B58" s="759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65">
        <v>46322</v>
      </c>
      <c r="B59" s="759"/>
      <c r="C59" s="75"/>
      <c r="D59" s="78"/>
      <c r="E59" s="78"/>
      <c r="F59" s="72">
        <f t="shared" si="5"/>
        <v>0</v>
      </c>
      <c r="G59" s="76"/>
    </row>
    <row r="60" spans="1:18" x14ac:dyDescent="0.3">
      <c r="A60" s="765">
        <v>46323</v>
      </c>
      <c r="B60" s="759"/>
      <c r="C60" s="75"/>
      <c r="D60" s="78"/>
      <c r="E60" s="78"/>
      <c r="F60" s="72">
        <f t="shared" si="5"/>
        <v>0</v>
      </c>
      <c r="G60" s="76"/>
    </row>
    <row r="61" spans="1:18" x14ac:dyDescent="0.3">
      <c r="A61" s="765">
        <v>46324</v>
      </c>
      <c r="B61" s="759"/>
      <c r="C61" s="75"/>
      <c r="D61" s="78"/>
      <c r="E61" s="78"/>
      <c r="F61" s="72">
        <f t="shared" si="5"/>
        <v>0</v>
      </c>
      <c r="G61" s="76"/>
    </row>
    <row r="62" spans="1:18" x14ac:dyDescent="0.3">
      <c r="A62" s="765">
        <v>46325</v>
      </c>
      <c r="B62" s="759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66" t="s">
        <v>486</v>
      </c>
      <c r="R4" s="767"/>
      <c r="S4" s="767"/>
      <c r="T4" s="768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69"/>
      <c r="R5" s="770"/>
      <c r="S5" s="770"/>
      <c r="T5" s="771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95" t="s">
        <v>1</v>
      </c>
      <c r="B4" s="798" t="s">
        <v>51</v>
      </c>
      <c r="C4" s="798"/>
      <c r="D4" s="798"/>
      <c r="E4" s="798"/>
      <c r="F4" s="112"/>
      <c r="G4" s="65"/>
      <c r="H4" s="65"/>
      <c r="I4" s="117"/>
      <c r="J4" s="117"/>
      <c r="K4" s="117"/>
      <c r="L4" s="808" t="s">
        <v>240</v>
      </c>
      <c r="M4" s="809"/>
      <c r="N4" s="810"/>
      <c r="O4" s="808" t="s">
        <v>236</v>
      </c>
      <c r="P4" s="809"/>
      <c r="Q4" s="810"/>
      <c r="R4" s="808" t="s">
        <v>237</v>
      </c>
      <c r="S4" s="809"/>
      <c r="T4" s="810"/>
      <c r="U4" s="808" t="s">
        <v>238</v>
      </c>
      <c r="V4" s="809"/>
      <c r="W4" s="810"/>
      <c r="X4" s="808" t="s">
        <v>239</v>
      </c>
      <c r="Y4" s="809"/>
      <c r="Z4" s="810"/>
      <c r="AA4" s="808" t="s">
        <v>52</v>
      </c>
      <c r="AB4" s="809"/>
      <c r="AC4" s="810"/>
      <c r="AD4" s="808" t="s">
        <v>53</v>
      </c>
      <c r="AE4" s="809"/>
      <c r="AF4" s="810"/>
      <c r="AG4" s="811">
        <v>0.83333333333333337</v>
      </c>
      <c r="AH4" s="809"/>
      <c r="AI4" s="810"/>
      <c r="AJ4" s="811">
        <v>0.91666666666666663</v>
      </c>
      <c r="AK4" s="812"/>
      <c r="AL4" s="813"/>
      <c r="AM4" s="814">
        <v>0</v>
      </c>
      <c r="AN4" s="815"/>
      <c r="AO4" s="816"/>
      <c r="AP4" s="811">
        <v>8.3333333333333329E-2</v>
      </c>
      <c r="AQ4" s="812"/>
      <c r="AR4" s="813"/>
      <c r="AS4" s="811">
        <v>0.16666666666666666</v>
      </c>
      <c r="AT4" s="812"/>
      <c r="AU4" s="813"/>
      <c r="AV4" s="70" t="s">
        <v>54</v>
      </c>
      <c r="AW4" s="55"/>
    </row>
    <row r="5" spans="1:49" x14ac:dyDescent="0.3">
      <c r="A5" s="795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793">
        <v>46147</v>
      </c>
      <c r="B6" s="796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72" t="s">
        <v>232</v>
      </c>
      <c r="AW6" s="773"/>
    </row>
    <row r="7" spans="1:49" x14ac:dyDescent="0.3">
      <c r="A7" s="793"/>
      <c r="B7" s="797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72"/>
      <c r="AW7" s="774"/>
    </row>
    <row r="8" spans="1:49" x14ac:dyDescent="0.3">
      <c r="A8" s="793"/>
      <c r="B8" s="797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72"/>
      <c r="AW8" s="774"/>
    </row>
    <row r="9" spans="1:49" ht="15" thickBot="1" x14ac:dyDescent="0.35">
      <c r="A9" s="796"/>
      <c r="B9" s="797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773"/>
      <c r="AW9" s="775"/>
    </row>
    <row r="10" spans="1:49" x14ac:dyDescent="0.3">
      <c r="A10" s="799">
        <v>46148</v>
      </c>
      <c r="B10" s="817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781" t="s">
        <v>241</v>
      </c>
      <c r="AW10" s="784" t="s">
        <v>231</v>
      </c>
    </row>
    <row r="11" spans="1:49" x14ac:dyDescent="0.3">
      <c r="A11" s="800"/>
      <c r="B11" s="797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82"/>
      <c r="AW11" s="785"/>
    </row>
    <row r="12" spans="1:49" x14ac:dyDescent="0.3">
      <c r="A12" s="800"/>
      <c r="B12" s="797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82"/>
      <c r="AW12" s="785"/>
    </row>
    <row r="13" spans="1:49" ht="15" thickBot="1" x14ac:dyDescent="0.35">
      <c r="A13" s="801"/>
      <c r="B13" s="797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783"/>
      <c r="AW13" s="786"/>
    </row>
    <row r="14" spans="1:49" ht="15" thickBot="1" x14ac:dyDescent="0.35">
      <c r="A14" s="799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781" t="s">
        <v>242</v>
      </c>
      <c r="AW14" s="787"/>
    </row>
    <row r="15" spans="1:49" x14ac:dyDescent="0.3">
      <c r="A15" s="800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82"/>
      <c r="AW15" s="788"/>
    </row>
    <row r="16" spans="1:49" x14ac:dyDescent="0.3">
      <c r="A16" s="800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82"/>
      <c r="AW16" s="788"/>
    </row>
    <row r="17" spans="1:49" ht="15" thickBot="1" x14ac:dyDescent="0.35">
      <c r="A17" s="801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782"/>
      <c r="AW17" s="789"/>
    </row>
    <row r="18" spans="1:49" x14ac:dyDescent="0.3">
      <c r="A18" s="802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790"/>
    </row>
    <row r="19" spans="1:49" x14ac:dyDescent="0.3">
      <c r="A19" s="793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791"/>
    </row>
    <row r="20" spans="1:49" x14ac:dyDescent="0.3">
      <c r="A20" s="793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791"/>
    </row>
    <row r="21" spans="1:49" x14ac:dyDescent="0.3">
      <c r="A21" s="793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791"/>
    </row>
    <row r="22" spans="1:49" x14ac:dyDescent="0.3">
      <c r="A22" s="793">
        <v>46151</v>
      </c>
      <c r="B22" s="62"/>
      <c r="C22" s="60"/>
      <c r="D22" s="778"/>
      <c r="E22" s="776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791"/>
    </row>
    <row r="23" spans="1:49" x14ac:dyDescent="0.3">
      <c r="A23" s="793"/>
      <c r="B23" s="63"/>
      <c r="C23" s="60"/>
      <c r="D23" s="779"/>
      <c r="E23" s="777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791"/>
    </row>
    <row r="24" spans="1:49" x14ac:dyDescent="0.3">
      <c r="A24" s="793"/>
      <c r="B24" s="63"/>
      <c r="C24" s="60"/>
      <c r="D24" s="779"/>
      <c r="E24" s="777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791"/>
    </row>
    <row r="25" spans="1:49" ht="15" thickBot="1" x14ac:dyDescent="0.35">
      <c r="A25" s="793"/>
      <c r="B25" s="64"/>
      <c r="C25" s="60"/>
      <c r="D25" s="780"/>
      <c r="E25" s="745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792"/>
    </row>
    <row r="26" spans="1:49" x14ac:dyDescent="0.3">
      <c r="A26" s="793">
        <v>46152</v>
      </c>
      <c r="B26" s="62"/>
      <c r="C26" s="60"/>
      <c r="D26" s="778"/>
      <c r="E26" s="776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790"/>
      <c r="AW26" s="790"/>
    </row>
    <row r="27" spans="1:49" x14ac:dyDescent="0.3">
      <c r="A27" s="793"/>
      <c r="B27" s="63"/>
      <c r="C27" s="60"/>
      <c r="D27" s="779"/>
      <c r="E27" s="777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791"/>
      <c r="AW27" s="791"/>
    </row>
    <row r="28" spans="1:49" x14ac:dyDescent="0.3">
      <c r="A28" s="793"/>
      <c r="B28" s="63"/>
      <c r="C28" s="60"/>
      <c r="D28" s="779"/>
      <c r="E28" s="777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791"/>
      <c r="AW28" s="791"/>
    </row>
    <row r="29" spans="1:49" x14ac:dyDescent="0.3">
      <c r="A29" s="793"/>
      <c r="B29" s="64"/>
      <c r="C29" s="60"/>
      <c r="D29" s="780"/>
      <c r="E29" s="745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791"/>
      <c r="AW29" s="791"/>
    </row>
    <row r="30" spans="1:49" x14ac:dyDescent="0.3">
      <c r="A30" s="793">
        <v>46153</v>
      </c>
      <c r="B30" s="62"/>
      <c r="C30" s="60"/>
      <c r="D30" s="778"/>
      <c r="E30" s="776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791"/>
      <c r="AW30" s="791"/>
    </row>
    <row r="31" spans="1:49" x14ac:dyDescent="0.3">
      <c r="A31" s="793"/>
      <c r="B31" s="63"/>
      <c r="C31" s="60"/>
      <c r="D31" s="779"/>
      <c r="E31" s="777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791"/>
      <c r="AW31" s="791"/>
    </row>
    <row r="32" spans="1:49" x14ac:dyDescent="0.3">
      <c r="A32" s="793"/>
      <c r="B32" s="63"/>
      <c r="C32" s="60"/>
      <c r="D32" s="779"/>
      <c r="E32" s="777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791"/>
      <c r="AW32" s="791"/>
    </row>
    <row r="33" spans="1:49" x14ac:dyDescent="0.3">
      <c r="A33" s="793"/>
      <c r="B33" s="64"/>
      <c r="C33" s="60"/>
      <c r="D33" s="780"/>
      <c r="E33" s="745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792"/>
      <c r="AW33" s="792"/>
    </row>
    <row r="34" spans="1:49" x14ac:dyDescent="0.3">
      <c r="A34" s="793">
        <v>46154</v>
      </c>
      <c r="B34" s="62"/>
      <c r="C34" s="60"/>
      <c r="D34" s="778"/>
      <c r="E34" s="776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790"/>
      <c r="AW34" s="790"/>
    </row>
    <row r="35" spans="1:49" x14ac:dyDescent="0.3">
      <c r="A35" s="793"/>
      <c r="B35" s="63"/>
      <c r="C35" s="60"/>
      <c r="D35" s="779"/>
      <c r="E35" s="777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791"/>
      <c r="AW35" s="791"/>
    </row>
    <row r="36" spans="1:49" x14ac:dyDescent="0.3">
      <c r="A36" s="793"/>
      <c r="B36" s="63"/>
      <c r="C36" s="60"/>
      <c r="D36" s="779"/>
      <c r="E36" s="777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791"/>
      <c r="AW36" s="791"/>
    </row>
    <row r="37" spans="1:49" x14ac:dyDescent="0.3">
      <c r="A37" s="793"/>
      <c r="B37" s="64"/>
      <c r="C37" s="60"/>
      <c r="D37" s="780"/>
      <c r="E37" s="745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791"/>
      <c r="AW37" s="791"/>
    </row>
    <row r="38" spans="1:49" x14ac:dyDescent="0.3">
      <c r="A38" s="793">
        <v>46155</v>
      </c>
      <c r="B38" s="62"/>
      <c r="C38" s="60"/>
      <c r="D38" s="778"/>
      <c r="E38" s="776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791"/>
      <c r="AW38" s="791"/>
    </row>
    <row r="39" spans="1:49" x14ac:dyDescent="0.3">
      <c r="A39" s="793"/>
      <c r="B39" s="63"/>
      <c r="C39" s="60"/>
      <c r="D39" s="779"/>
      <c r="E39" s="777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791"/>
      <c r="AW39" s="791"/>
    </row>
    <row r="40" spans="1:49" x14ac:dyDescent="0.3">
      <c r="A40" s="793"/>
      <c r="B40" s="63"/>
      <c r="C40" s="60"/>
      <c r="D40" s="779"/>
      <c r="E40" s="777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791"/>
      <c r="AW40" s="791"/>
    </row>
    <row r="41" spans="1:49" x14ac:dyDescent="0.3">
      <c r="A41" s="793"/>
      <c r="B41" s="64"/>
      <c r="C41" s="60"/>
      <c r="D41" s="780"/>
      <c r="E41" s="745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792"/>
      <c r="AW41" s="792"/>
    </row>
    <row r="42" spans="1:49" x14ac:dyDescent="0.3">
      <c r="A42" s="793">
        <v>46156</v>
      </c>
      <c r="B42" s="62"/>
      <c r="C42" s="60"/>
      <c r="D42" s="778"/>
      <c r="E42" s="776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790"/>
      <c r="AW42" s="790"/>
    </row>
    <row r="43" spans="1:49" x14ac:dyDescent="0.3">
      <c r="A43" s="793"/>
      <c r="B43" s="63"/>
      <c r="C43" s="60"/>
      <c r="D43" s="779"/>
      <c r="E43" s="777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791"/>
      <c r="AW43" s="791"/>
    </row>
    <row r="44" spans="1:49" x14ac:dyDescent="0.3">
      <c r="A44" s="793"/>
      <c r="B44" s="63"/>
      <c r="C44" s="60"/>
      <c r="D44" s="779"/>
      <c r="E44" s="777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791"/>
      <c r="AW44" s="791"/>
    </row>
    <row r="45" spans="1:49" x14ac:dyDescent="0.3">
      <c r="A45" s="793"/>
      <c r="B45" s="64"/>
      <c r="C45" s="60"/>
      <c r="D45" s="780"/>
      <c r="E45" s="745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791"/>
      <c r="AW45" s="791"/>
    </row>
    <row r="46" spans="1:49" x14ac:dyDescent="0.3">
      <c r="A46" s="793">
        <v>46157</v>
      </c>
      <c r="B46" s="62"/>
      <c r="C46" s="60"/>
      <c r="D46" s="805" t="s">
        <v>158</v>
      </c>
      <c r="E46" s="776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791"/>
      <c r="AW46" s="791"/>
    </row>
    <row r="47" spans="1:49" x14ac:dyDescent="0.3">
      <c r="A47" s="793"/>
      <c r="B47" s="63"/>
      <c r="C47" s="60"/>
      <c r="D47" s="806"/>
      <c r="E47" s="777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791"/>
      <c r="AW47" s="791"/>
    </row>
    <row r="48" spans="1:49" x14ac:dyDescent="0.3">
      <c r="A48" s="793"/>
      <c r="B48" s="63"/>
      <c r="C48" s="60"/>
      <c r="D48" s="806"/>
      <c r="E48" s="777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791"/>
      <c r="AW48" s="791"/>
    </row>
    <row r="49" spans="1:49" x14ac:dyDescent="0.3">
      <c r="A49" s="793"/>
      <c r="B49" s="64"/>
      <c r="C49" s="60"/>
      <c r="D49" s="807"/>
      <c r="E49" s="745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792"/>
      <c r="AW49" s="792"/>
    </row>
    <row r="50" spans="1:49" x14ac:dyDescent="0.3">
      <c r="A50" s="793">
        <v>46158</v>
      </c>
      <c r="B50" s="62"/>
      <c r="C50" s="60"/>
      <c r="D50" s="778"/>
      <c r="E50" s="776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790"/>
      <c r="AW50" s="790"/>
    </row>
    <row r="51" spans="1:49" x14ac:dyDescent="0.3">
      <c r="A51" s="793"/>
      <c r="B51" s="63"/>
      <c r="C51" s="60"/>
      <c r="D51" s="779"/>
      <c r="E51" s="777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791"/>
      <c r="AW51" s="791"/>
    </row>
    <row r="52" spans="1:49" x14ac:dyDescent="0.3">
      <c r="A52" s="793"/>
      <c r="B52" s="63"/>
      <c r="C52" s="60"/>
      <c r="D52" s="779"/>
      <c r="E52" s="777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791"/>
      <c r="AW52" s="791"/>
    </row>
    <row r="53" spans="1:49" x14ac:dyDescent="0.3">
      <c r="A53" s="793"/>
      <c r="B53" s="64"/>
      <c r="C53" s="60"/>
      <c r="D53" s="780"/>
      <c r="E53" s="745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791"/>
      <c r="AW53" s="791"/>
    </row>
    <row r="54" spans="1:49" x14ac:dyDescent="0.3">
      <c r="A54" s="793">
        <v>46159</v>
      </c>
      <c r="B54" s="62"/>
      <c r="C54" s="60"/>
      <c r="D54" s="110"/>
      <c r="E54" s="803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791"/>
      <c r="AW54" s="791"/>
    </row>
    <row r="55" spans="1:49" x14ac:dyDescent="0.3">
      <c r="A55" s="793"/>
      <c r="B55" s="63"/>
      <c r="C55" s="60"/>
      <c r="D55" s="110"/>
      <c r="E55" s="804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791"/>
      <c r="AW55" s="791"/>
    </row>
    <row r="56" spans="1:49" x14ac:dyDescent="0.3">
      <c r="A56" s="793"/>
      <c r="B56" s="63"/>
      <c r="C56" s="60"/>
      <c r="D56" s="110"/>
      <c r="E56" s="804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791"/>
      <c r="AW56" s="791"/>
    </row>
    <row r="57" spans="1:49" x14ac:dyDescent="0.3">
      <c r="A57" s="793"/>
      <c r="B57" s="64"/>
      <c r="C57" s="60"/>
      <c r="D57" s="110"/>
      <c r="E57" s="754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792"/>
      <c r="AW57" s="792"/>
    </row>
    <row r="58" spans="1:49" x14ac:dyDescent="0.3">
      <c r="A58" s="793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790"/>
      <c r="AW58" s="790"/>
    </row>
    <row r="59" spans="1:49" x14ac:dyDescent="0.3">
      <c r="A59" s="793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791"/>
      <c r="AW59" s="791"/>
    </row>
    <row r="60" spans="1:49" x14ac:dyDescent="0.3">
      <c r="A60" s="793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791"/>
      <c r="AW60" s="791"/>
    </row>
    <row r="61" spans="1:49" x14ac:dyDescent="0.3">
      <c r="A61" s="793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791"/>
      <c r="AW61" s="791"/>
    </row>
    <row r="62" spans="1:49" x14ac:dyDescent="0.3">
      <c r="A62" s="793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791"/>
      <c r="AW62" s="791"/>
    </row>
    <row r="63" spans="1:49" x14ac:dyDescent="0.3">
      <c r="A63" s="793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791"/>
      <c r="AW63" s="791"/>
    </row>
    <row r="64" spans="1:49" x14ac:dyDescent="0.3">
      <c r="A64" s="793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791"/>
      <c r="AW64" s="791"/>
    </row>
    <row r="65" spans="1:49" x14ac:dyDescent="0.3">
      <c r="A65" s="793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792"/>
      <c r="AW65" s="792"/>
    </row>
    <row r="66" spans="1:49" x14ac:dyDescent="0.3">
      <c r="A66" s="793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790"/>
      <c r="AW66" s="790"/>
    </row>
    <row r="67" spans="1:49" x14ac:dyDescent="0.3">
      <c r="A67" s="793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791"/>
      <c r="AW67" s="791"/>
    </row>
    <row r="68" spans="1:49" x14ac:dyDescent="0.3">
      <c r="A68" s="793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791"/>
      <c r="AW68" s="791"/>
    </row>
    <row r="69" spans="1:49" x14ac:dyDescent="0.3">
      <c r="A69" s="793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791"/>
      <c r="AW69" s="791"/>
    </row>
    <row r="70" spans="1:49" x14ac:dyDescent="0.3">
      <c r="A70" s="793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791"/>
      <c r="AW70" s="791"/>
    </row>
    <row r="71" spans="1:49" x14ac:dyDescent="0.3">
      <c r="A71" s="793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791"/>
      <c r="AW71" s="791"/>
    </row>
    <row r="72" spans="1:49" x14ac:dyDescent="0.3">
      <c r="A72" s="793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791"/>
      <c r="AW72" s="791"/>
    </row>
    <row r="73" spans="1:49" x14ac:dyDescent="0.3">
      <c r="A73" s="793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792"/>
      <c r="AW73" s="792"/>
    </row>
    <row r="74" spans="1:49" x14ac:dyDescent="0.3">
      <c r="A74" s="793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790"/>
      <c r="AW74" s="790"/>
    </row>
    <row r="75" spans="1:49" x14ac:dyDescent="0.3">
      <c r="A75" s="793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791"/>
      <c r="AW75" s="791"/>
    </row>
    <row r="76" spans="1:49" x14ac:dyDescent="0.3">
      <c r="A76" s="793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791"/>
      <c r="AW76" s="791"/>
    </row>
    <row r="77" spans="1:49" x14ac:dyDescent="0.3">
      <c r="A77" s="793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791"/>
      <c r="AW77" s="791"/>
    </row>
    <row r="78" spans="1:49" x14ac:dyDescent="0.3">
      <c r="A78" s="793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791"/>
      <c r="AW78" s="791"/>
    </row>
    <row r="79" spans="1:49" x14ac:dyDescent="0.3">
      <c r="A79" s="793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791"/>
      <c r="AW79" s="791"/>
    </row>
    <row r="80" spans="1:49" x14ac:dyDescent="0.3">
      <c r="A80" s="793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791"/>
      <c r="AW80" s="791"/>
    </row>
    <row r="81" spans="1:49" x14ac:dyDescent="0.3">
      <c r="A81" s="793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792"/>
      <c r="AW81" s="792"/>
    </row>
    <row r="82" spans="1:49" x14ac:dyDescent="0.3">
      <c r="A82" s="793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790"/>
      <c r="AW82" s="790"/>
    </row>
    <row r="83" spans="1:49" x14ac:dyDescent="0.3">
      <c r="A83" s="793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791"/>
      <c r="AW83" s="791"/>
    </row>
    <row r="84" spans="1:49" x14ac:dyDescent="0.3">
      <c r="A84" s="793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791"/>
      <c r="AW84" s="791"/>
    </row>
    <row r="85" spans="1:49" x14ac:dyDescent="0.3">
      <c r="A85" s="793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791"/>
      <c r="AW85" s="791"/>
    </row>
    <row r="86" spans="1:49" x14ac:dyDescent="0.3">
      <c r="A86" s="793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791"/>
      <c r="AW86" s="791"/>
    </row>
    <row r="87" spans="1:49" x14ac:dyDescent="0.3">
      <c r="A87" s="793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791"/>
      <c r="AW87" s="791"/>
    </row>
    <row r="88" spans="1:49" x14ac:dyDescent="0.3">
      <c r="A88" s="793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791"/>
      <c r="AW88" s="791"/>
    </row>
    <row r="89" spans="1:49" x14ac:dyDescent="0.3">
      <c r="A89" s="793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792"/>
      <c r="AW89" s="792"/>
    </row>
    <row r="90" spans="1:49" x14ac:dyDescent="0.3">
      <c r="A90" s="793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790"/>
      <c r="AW90" s="790"/>
    </row>
    <row r="91" spans="1:49" x14ac:dyDescent="0.3">
      <c r="A91" s="793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791"/>
      <c r="AW91" s="791"/>
    </row>
    <row r="92" spans="1:49" x14ac:dyDescent="0.3">
      <c r="A92" s="793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791"/>
      <c r="AW92" s="791"/>
    </row>
    <row r="93" spans="1:49" x14ac:dyDescent="0.3">
      <c r="A93" s="793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791"/>
      <c r="AW93" s="791"/>
    </row>
    <row r="94" spans="1:49" x14ac:dyDescent="0.3">
      <c r="A94" s="793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791"/>
      <c r="AW94" s="791"/>
    </row>
    <row r="95" spans="1:49" x14ac:dyDescent="0.3">
      <c r="A95" s="793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791"/>
      <c r="AW95" s="791"/>
    </row>
    <row r="96" spans="1:49" x14ac:dyDescent="0.3">
      <c r="A96" s="793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791"/>
      <c r="AW96" s="791"/>
    </row>
    <row r="97" spans="1:49" x14ac:dyDescent="0.3">
      <c r="A97" s="793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792"/>
      <c r="AW97" s="792"/>
    </row>
    <row r="98" spans="1:49" x14ac:dyDescent="0.3">
      <c r="A98" s="793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790"/>
      <c r="AW98" s="790"/>
    </row>
    <row r="99" spans="1:49" x14ac:dyDescent="0.3">
      <c r="A99" s="793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791"/>
      <c r="AW99" s="791"/>
    </row>
    <row r="100" spans="1:49" x14ac:dyDescent="0.3">
      <c r="A100" s="793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791"/>
      <c r="AW100" s="791"/>
    </row>
    <row r="101" spans="1:49" x14ac:dyDescent="0.3">
      <c r="A101" s="793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791"/>
      <c r="AW101" s="791"/>
    </row>
    <row r="102" spans="1:49" x14ac:dyDescent="0.3">
      <c r="A102" s="793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791"/>
      <c r="AW102" s="791"/>
    </row>
    <row r="103" spans="1:49" x14ac:dyDescent="0.3">
      <c r="A103" s="793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791"/>
      <c r="AW103" s="791"/>
    </row>
    <row r="104" spans="1:49" x14ac:dyDescent="0.3">
      <c r="A104" s="793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791"/>
      <c r="AW104" s="791"/>
    </row>
    <row r="105" spans="1:49" x14ac:dyDescent="0.3">
      <c r="A105" s="793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792"/>
      <c r="AW105" s="792"/>
    </row>
    <row r="106" spans="1:49" x14ac:dyDescent="0.3">
      <c r="A106" s="793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790"/>
      <c r="AW106" s="790"/>
    </row>
    <row r="107" spans="1:49" x14ac:dyDescent="0.3">
      <c r="A107" s="793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791"/>
      <c r="AW107" s="791"/>
    </row>
    <row r="108" spans="1:49" x14ac:dyDescent="0.3">
      <c r="A108" s="793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791"/>
      <c r="AW108" s="791"/>
    </row>
    <row r="109" spans="1:49" x14ac:dyDescent="0.3">
      <c r="A109" s="793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791"/>
      <c r="AW109" s="791"/>
    </row>
    <row r="110" spans="1:49" x14ac:dyDescent="0.3">
      <c r="A110" s="793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791"/>
      <c r="AW110" s="791"/>
    </row>
    <row r="111" spans="1:49" x14ac:dyDescent="0.3">
      <c r="A111" s="793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791"/>
      <c r="AW111" s="791"/>
    </row>
    <row r="112" spans="1:49" x14ac:dyDescent="0.3">
      <c r="A112" s="793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791"/>
      <c r="AW112" s="791"/>
    </row>
    <row r="113" spans="1:49" x14ac:dyDescent="0.3">
      <c r="A113" s="793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792"/>
      <c r="AW113" s="792"/>
    </row>
    <row r="114" spans="1:49" x14ac:dyDescent="0.3">
      <c r="A114" s="793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790"/>
      <c r="AW114" s="790"/>
    </row>
    <row r="115" spans="1:49" x14ac:dyDescent="0.3">
      <c r="A115" s="793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791"/>
      <c r="AW115" s="791"/>
    </row>
    <row r="116" spans="1:49" x14ac:dyDescent="0.3">
      <c r="A116" s="793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791"/>
      <c r="AW116" s="791"/>
    </row>
    <row r="117" spans="1:49" x14ac:dyDescent="0.3">
      <c r="A117" s="793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791"/>
      <c r="AW117" s="791"/>
    </row>
    <row r="118" spans="1:49" x14ac:dyDescent="0.3">
      <c r="A118" s="793">
        <v>46175</v>
      </c>
      <c r="B118" s="62"/>
      <c r="C118" s="60"/>
      <c r="D118" s="778"/>
      <c r="E118" s="776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791"/>
      <c r="AW118" s="791"/>
    </row>
    <row r="119" spans="1:49" x14ac:dyDescent="0.3">
      <c r="A119" s="793"/>
      <c r="B119" s="63"/>
      <c r="C119" s="60"/>
      <c r="D119" s="779"/>
      <c r="E119" s="777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791"/>
      <c r="AW119" s="791"/>
    </row>
    <row r="120" spans="1:49" x14ac:dyDescent="0.3">
      <c r="A120" s="793"/>
      <c r="B120" s="63"/>
      <c r="C120" s="60"/>
      <c r="D120" s="779"/>
      <c r="E120" s="777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791"/>
      <c r="AW120" s="791"/>
    </row>
    <row r="121" spans="1:49" x14ac:dyDescent="0.3">
      <c r="A121" s="793"/>
      <c r="B121" s="64"/>
      <c r="C121" s="60"/>
      <c r="D121" s="780"/>
      <c r="E121" s="745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792"/>
      <c r="AW121" s="792"/>
    </row>
    <row r="122" spans="1:49" x14ac:dyDescent="0.3">
      <c r="A122" s="793">
        <v>46176</v>
      </c>
      <c r="B122" s="62"/>
      <c r="C122" s="60"/>
      <c r="D122" s="778"/>
      <c r="E122" s="776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790"/>
      <c r="AW122" s="790"/>
    </row>
    <row r="123" spans="1:49" x14ac:dyDescent="0.3">
      <c r="A123" s="793"/>
      <c r="B123" s="63"/>
      <c r="C123" s="60"/>
      <c r="D123" s="779"/>
      <c r="E123" s="777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791"/>
      <c r="AW123" s="791"/>
    </row>
    <row r="124" spans="1:49" x14ac:dyDescent="0.3">
      <c r="A124" s="793"/>
      <c r="B124" s="63"/>
      <c r="C124" s="60"/>
      <c r="D124" s="779"/>
      <c r="E124" s="777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791"/>
      <c r="AW124" s="791"/>
    </row>
    <row r="125" spans="1:49" x14ac:dyDescent="0.3">
      <c r="A125" s="793"/>
      <c r="B125" s="64"/>
      <c r="C125" s="60"/>
      <c r="D125" s="780"/>
      <c r="E125" s="745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791"/>
      <c r="AW125" s="791"/>
    </row>
    <row r="126" spans="1:49" x14ac:dyDescent="0.3">
      <c r="A126" s="793">
        <v>46177</v>
      </c>
      <c r="B126" s="62"/>
      <c r="C126" s="60"/>
      <c r="D126" s="778"/>
      <c r="E126" s="776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791"/>
      <c r="AW126" s="791"/>
    </row>
    <row r="127" spans="1:49" x14ac:dyDescent="0.3">
      <c r="A127" s="793"/>
      <c r="B127" s="63"/>
      <c r="C127" s="60"/>
      <c r="D127" s="779"/>
      <c r="E127" s="777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791"/>
      <c r="AW127" s="791"/>
    </row>
    <row r="128" spans="1:49" x14ac:dyDescent="0.3">
      <c r="A128" s="793"/>
      <c r="B128" s="63"/>
      <c r="C128" s="60"/>
      <c r="D128" s="779"/>
      <c r="E128" s="777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791"/>
      <c r="AW128" s="791"/>
    </row>
    <row r="129" spans="1:49" x14ac:dyDescent="0.3">
      <c r="A129" s="793"/>
      <c r="B129" s="64"/>
      <c r="C129" s="60"/>
      <c r="D129" s="780"/>
      <c r="E129" s="745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792"/>
      <c r="AW129" s="792"/>
    </row>
    <row r="130" spans="1:49" x14ac:dyDescent="0.3">
      <c r="A130" s="21"/>
      <c r="B130" s="21"/>
      <c r="C130" s="21"/>
      <c r="D130" s="793"/>
      <c r="E130" s="794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790"/>
      <c r="AW130" s="790"/>
    </row>
    <row r="131" spans="1:49" x14ac:dyDescent="0.3">
      <c r="A131" s="21"/>
      <c r="B131" s="21"/>
      <c r="C131" s="21"/>
      <c r="D131" s="792"/>
      <c r="E131" s="791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791"/>
      <c r="AW131" s="791"/>
    </row>
    <row r="132" spans="1:49" x14ac:dyDescent="0.3">
      <c r="A132" s="21"/>
      <c r="B132" s="21"/>
      <c r="C132" s="21"/>
      <c r="D132" s="792"/>
      <c r="E132" s="791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791"/>
      <c r="AW132" s="791"/>
    </row>
    <row r="133" spans="1:49" x14ac:dyDescent="0.3">
      <c r="A133" s="21"/>
      <c r="B133" s="21"/>
      <c r="C133" s="21"/>
      <c r="D133" s="792"/>
      <c r="E133" s="791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791"/>
      <c r="AW133" s="791"/>
    </row>
    <row r="134" spans="1:49" x14ac:dyDescent="0.3">
      <c r="A134" s="21"/>
      <c r="B134" s="21"/>
      <c r="C134" s="21"/>
      <c r="D134" s="792"/>
      <c r="E134" s="791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791"/>
      <c r="AW134" s="791"/>
    </row>
    <row r="135" spans="1:49" x14ac:dyDescent="0.3">
      <c r="A135" s="21"/>
      <c r="B135" s="21"/>
      <c r="C135" s="21"/>
      <c r="D135" s="792"/>
      <c r="E135" s="791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791"/>
      <c r="AW135" s="791"/>
    </row>
    <row r="136" spans="1:49" x14ac:dyDescent="0.3">
      <c r="A136" s="21"/>
      <c r="B136" s="21"/>
      <c r="C136" s="21"/>
      <c r="D136" s="792"/>
      <c r="E136" s="791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791"/>
      <c r="AW136" s="791"/>
    </row>
    <row r="137" spans="1:49" x14ac:dyDescent="0.3">
      <c r="A137" s="21"/>
      <c r="B137" s="21"/>
      <c r="C137" s="21"/>
      <c r="D137" s="792"/>
      <c r="E137" s="792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792"/>
      <c r="AW137" s="792"/>
    </row>
    <row r="138" spans="1:49" x14ac:dyDescent="0.3">
      <c r="A138" s="21"/>
      <c r="B138" s="21"/>
      <c r="C138" s="21"/>
      <c r="D138" s="793"/>
      <c r="E138" s="794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790"/>
      <c r="AW138" s="790"/>
    </row>
    <row r="139" spans="1:49" x14ac:dyDescent="0.3">
      <c r="A139" s="21"/>
      <c r="B139" s="21"/>
      <c r="C139" s="21"/>
      <c r="D139" s="792"/>
      <c r="E139" s="791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791"/>
      <c r="AW139" s="791"/>
    </row>
    <row r="140" spans="1:49" x14ac:dyDescent="0.3">
      <c r="A140" s="21"/>
      <c r="B140" s="21"/>
      <c r="C140" s="21"/>
      <c r="D140" s="792"/>
      <c r="E140" s="791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791"/>
      <c r="AW140" s="791"/>
    </row>
    <row r="141" spans="1:49" x14ac:dyDescent="0.3">
      <c r="A141" s="21"/>
      <c r="B141" s="21"/>
      <c r="C141" s="21"/>
      <c r="D141" s="792"/>
      <c r="E141" s="791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791"/>
      <c r="AW141" s="791"/>
    </row>
    <row r="142" spans="1:49" x14ac:dyDescent="0.3">
      <c r="A142" s="21"/>
      <c r="B142" s="21"/>
      <c r="C142" s="21"/>
      <c r="D142" s="792"/>
      <c r="E142" s="791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791"/>
      <c r="AW142" s="791"/>
    </row>
    <row r="143" spans="1:49" x14ac:dyDescent="0.3">
      <c r="A143" s="21"/>
      <c r="B143" s="21"/>
      <c r="C143" s="21"/>
      <c r="D143" s="792"/>
      <c r="E143" s="791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791"/>
      <c r="AW143" s="791"/>
    </row>
    <row r="144" spans="1:49" x14ac:dyDescent="0.3">
      <c r="A144" s="21"/>
      <c r="B144" s="21"/>
      <c r="C144" s="21"/>
      <c r="D144" s="792"/>
      <c r="E144" s="791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791"/>
      <c r="AW144" s="791"/>
    </row>
    <row r="145" spans="1:49" x14ac:dyDescent="0.3">
      <c r="A145" s="21"/>
      <c r="B145" s="21"/>
      <c r="C145" s="21"/>
      <c r="D145" s="792"/>
      <c r="E145" s="792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792"/>
      <c r="AW145" s="792"/>
    </row>
    <row r="146" spans="1:49" x14ac:dyDescent="0.3">
      <c r="A146" s="21"/>
      <c r="B146" s="21"/>
      <c r="C146" s="21"/>
      <c r="D146" s="793"/>
      <c r="E146" s="794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790"/>
      <c r="AW146" s="790"/>
    </row>
    <row r="147" spans="1:49" x14ac:dyDescent="0.3">
      <c r="A147" s="21"/>
      <c r="B147" s="21"/>
      <c r="C147" s="21"/>
      <c r="D147" s="792"/>
      <c r="E147" s="791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791"/>
      <c r="AW147" s="791"/>
    </row>
    <row r="148" spans="1:49" x14ac:dyDescent="0.3">
      <c r="A148" s="21"/>
      <c r="B148" s="21"/>
      <c r="C148" s="21"/>
      <c r="D148" s="792"/>
      <c r="E148" s="791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791"/>
      <c r="AW148" s="791"/>
    </row>
    <row r="149" spans="1:49" x14ac:dyDescent="0.3">
      <c r="A149" s="21"/>
      <c r="B149" s="21"/>
      <c r="C149" s="21"/>
      <c r="D149" s="792"/>
      <c r="E149" s="791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791"/>
      <c r="AW149" s="791"/>
    </row>
    <row r="150" spans="1:49" x14ac:dyDescent="0.3">
      <c r="A150" s="21"/>
      <c r="B150" s="21"/>
      <c r="C150" s="21"/>
      <c r="D150" s="792"/>
      <c r="E150" s="791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791"/>
      <c r="AW150" s="791"/>
    </row>
    <row r="151" spans="1:49" x14ac:dyDescent="0.3">
      <c r="A151" s="21"/>
      <c r="B151" s="21"/>
      <c r="C151" s="21"/>
      <c r="D151" s="792"/>
      <c r="E151" s="791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791"/>
      <c r="AW151" s="791"/>
    </row>
    <row r="152" spans="1:49" x14ac:dyDescent="0.3">
      <c r="A152" s="21"/>
      <c r="B152" s="21"/>
      <c r="C152" s="21"/>
      <c r="D152" s="792"/>
      <c r="E152" s="791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791"/>
      <c r="AW152" s="791"/>
    </row>
    <row r="153" spans="1:49" x14ac:dyDescent="0.3">
      <c r="A153" s="21"/>
      <c r="B153" s="21"/>
      <c r="C153" s="21"/>
      <c r="D153" s="792"/>
      <c r="E153" s="792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792"/>
      <c r="AW153" s="792"/>
    </row>
    <row r="154" spans="1:49" x14ac:dyDescent="0.3">
      <c r="A154" s="21"/>
      <c r="B154" s="21"/>
      <c r="C154" s="21"/>
      <c r="D154" s="793"/>
      <c r="E154" s="794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790"/>
      <c r="AW154" s="790"/>
    </row>
    <row r="155" spans="1:49" x14ac:dyDescent="0.3">
      <c r="A155" s="21"/>
      <c r="B155" s="21"/>
      <c r="C155" s="21"/>
      <c r="D155" s="792"/>
      <c r="E155" s="791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791"/>
      <c r="AW155" s="791"/>
    </row>
    <row r="156" spans="1:49" x14ac:dyDescent="0.3">
      <c r="A156" s="21"/>
      <c r="B156" s="21"/>
      <c r="C156" s="21"/>
      <c r="D156" s="792"/>
      <c r="E156" s="791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791"/>
      <c r="AW156" s="791"/>
    </row>
    <row r="157" spans="1:49" x14ac:dyDescent="0.3">
      <c r="A157" s="21"/>
      <c r="B157" s="21"/>
      <c r="C157" s="21"/>
      <c r="D157" s="792"/>
      <c r="E157" s="791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791"/>
      <c r="AW157" s="791"/>
    </row>
    <row r="158" spans="1:49" x14ac:dyDescent="0.3">
      <c r="A158" s="21"/>
      <c r="B158" s="21"/>
      <c r="C158" s="21"/>
      <c r="D158" s="792"/>
      <c r="E158" s="791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791"/>
      <c r="AW158" s="791"/>
    </row>
    <row r="159" spans="1:49" x14ac:dyDescent="0.3">
      <c r="A159" s="21"/>
      <c r="B159" s="21"/>
      <c r="C159" s="21"/>
      <c r="D159" s="792"/>
      <c r="E159" s="791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791"/>
      <c r="AW159" s="791"/>
    </row>
    <row r="160" spans="1:49" x14ac:dyDescent="0.3">
      <c r="A160" s="21"/>
      <c r="B160" s="21"/>
      <c r="C160" s="21"/>
      <c r="D160" s="792"/>
      <c r="E160" s="791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791"/>
      <c r="AW160" s="791"/>
    </row>
    <row r="161" spans="1:49" x14ac:dyDescent="0.3">
      <c r="A161" s="21"/>
      <c r="B161" s="21"/>
      <c r="C161" s="21"/>
      <c r="D161" s="792"/>
      <c r="E161" s="792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792"/>
      <c r="AW161" s="792"/>
    </row>
    <row r="162" spans="1:49" x14ac:dyDescent="0.3">
      <c r="A162" s="21"/>
      <c r="B162" s="21"/>
      <c r="C162" s="21"/>
      <c r="D162" s="793"/>
      <c r="E162" s="794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790"/>
      <c r="AW162" s="790"/>
    </row>
    <row r="163" spans="1:49" x14ac:dyDescent="0.3">
      <c r="A163" s="21"/>
      <c r="B163" s="21"/>
      <c r="C163" s="21"/>
      <c r="D163" s="792"/>
      <c r="E163" s="791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791"/>
      <c r="AW163" s="791"/>
    </row>
    <row r="164" spans="1:49" x14ac:dyDescent="0.3">
      <c r="A164" s="21"/>
      <c r="B164" s="21"/>
      <c r="C164" s="21"/>
      <c r="D164" s="792"/>
      <c r="E164" s="791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791"/>
      <c r="AW164" s="791"/>
    </row>
    <row r="165" spans="1:49" x14ac:dyDescent="0.3">
      <c r="A165" s="21"/>
      <c r="B165" s="21"/>
      <c r="C165" s="21"/>
      <c r="D165" s="792"/>
      <c r="E165" s="791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791"/>
      <c r="AW165" s="791"/>
    </row>
    <row r="166" spans="1:49" x14ac:dyDescent="0.3">
      <c r="A166" s="21"/>
      <c r="B166" s="21"/>
      <c r="C166" s="21"/>
      <c r="D166" s="792"/>
      <c r="E166" s="791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791"/>
      <c r="AW166" s="791"/>
    </row>
    <row r="167" spans="1:49" x14ac:dyDescent="0.3">
      <c r="A167" s="21"/>
      <c r="B167" s="21"/>
      <c r="C167" s="21"/>
      <c r="D167" s="792"/>
      <c r="E167" s="791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791"/>
      <c r="AW167" s="791"/>
    </row>
    <row r="168" spans="1:49" x14ac:dyDescent="0.3">
      <c r="A168" s="21"/>
      <c r="B168" s="21"/>
      <c r="C168" s="21"/>
      <c r="D168" s="792"/>
      <c r="E168" s="791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791"/>
      <c r="AW168" s="791"/>
    </row>
    <row r="169" spans="1:49" x14ac:dyDescent="0.3">
      <c r="A169" s="21"/>
      <c r="B169" s="21"/>
      <c r="C169" s="21"/>
      <c r="D169" s="792"/>
      <c r="E169" s="792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792"/>
      <c r="AW169" s="792"/>
    </row>
    <row r="170" spans="1:49" x14ac:dyDescent="0.3">
      <c r="A170" s="21"/>
      <c r="B170" s="21"/>
      <c r="C170" s="21"/>
      <c r="D170" s="793"/>
      <c r="E170" s="794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790"/>
      <c r="AW170" s="790"/>
    </row>
    <row r="171" spans="1:49" x14ac:dyDescent="0.3">
      <c r="A171" s="21"/>
      <c r="B171" s="21"/>
      <c r="C171" s="21"/>
      <c r="D171" s="792"/>
      <c r="E171" s="791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791"/>
      <c r="AW171" s="791"/>
    </row>
    <row r="172" spans="1:49" x14ac:dyDescent="0.3">
      <c r="A172" s="21"/>
      <c r="B172" s="21"/>
      <c r="C172" s="21"/>
      <c r="D172" s="792"/>
      <c r="E172" s="791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791"/>
      <c r="AW172" s="791"/>
    </row>
    <row r="173" spans="1:49" x14ac:dyDescent="0.3">
      <c r="A173" s="21"/>
      <c r="B173" s="21"/>
      <c r="C173" s="21"/>
      <c r="D173" s="792"/>
      <c r="E173" s="791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791"/>
      <c r="AW173" s="791"/>
    </row>
    <row r="174" spans="1:49" x14ac:dyDescent="0.3">
      <c r="A174" s="21"/>
      <c r="B174" s="21"/>
      <c r="C174" s="21"/>
      <c r="D174" s="792"/>
      <c r="E174" s="791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791"/>
      <c r="AW174" s="791"/>
    </row>
    <row r="175" spans="1:49" x14ac:dyDescent="0.3">
      <c r="A175" s="21"/>
      <c r="B175" s="21"/>
      <c r="C175" s="21"/>
      <c r="D175" s="792"/>
      <c r="E175" s="791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791"/>
      <c r="AW175" s="791"/>
    </row>
    <row r="176" spans="1:49" x14ac:dyDescent="0.3">
      <c r="A176" s="21"/>
      <c r="B176" s="21"/>
      <c r="C176" s="21"/>
      <c r="D176" s="792"/>
      <c r="E176" s="791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791"/>
      <c r="AW176" s="791"/>
    </row>
    <row r="177" spans="1:49" x14ac:dyDescent="0.3">
      <c r="A177" s="21"/>
      <c r="B177" s="21"/>
      <c r="C177" s="21"/>
      <c r="D177" s="792"/>
      <c r="E177" s="792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792"/>
      <c r="AW177" s="792"/>
    </row>
    <row r="178" spans="1:49" x14ac:dyDescent="0.3">
      <c r="A178" s="21"/>
      <c r="B178" s="21"/>
      <c r="C178" s="21"/>
      <c r="D178" s="793"/>
      <c r="E178" s="794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790"/>
      <c r="AW178" s="790"/>
    </row>
    <row r="179" spans="1:49" x14ac:dyDescent="0.3">
      <c r="A179" s="21"/>
      <c r="B179" s="21"/>
      <c r="C179" s="21"/>
      <c r="D179" s="792"/>
      <c r="E179" s="791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791"/>
      <c r="AW179" s="791"/>
    </row>
    <row r="180" spans="1:49" x14ac:dyDescent="0.3">
      <c r="A180" s="21"/>
      <c r="B180" s="21"/>
      <c r="C180" s="21"/>
      <c r="D180" s="792"/>
      <c r="E180" s="791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791"/>
      <c r="AW180" s="791"/>
    </row>
    <row r="181" spans="1:49" x14ac:dyDescent="0.3">
      <c r="A181" s="21"/>
      <c r="B181" s="21"/>
      <c r="C181" s="21"/>
      <c r="D181" s="792"/>
      <c r="E181" s="791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791"/>
      <c r="AW181" s="791"/>
    </row>
    <row r="182" spans="1:49" x14ac:dyDescent="0.3">
      <c r="A182" s="21"/>
      <c r="B182" s="21"/>
      <c r="C182" s="21"/>
      <c r="D182" s="792"/>
      <c r="E182" s="791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791"/>
      <c r="AW182" s="791"/>
    </row>
    <row r="183" spans="1:49" x14ac:dyDescent="0.3">
      <c r="A183" s="21"/>
      <c r="B183" s="21"/>
      <c r="C183" s="21"/>
      <c r="D183" s="792"/>
      <c r="E183" s="791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791"/>
      <c r="AW183" s="791"/>
    </row>
    <row r="184" spans="1:49" x14ac:dyDescent="0.3">
      <c r="A184" s="21"/>
      <c r="B184" s="21"/>
      <c r="C184" s="21"/>
      <c r="D184" s="792"/>
      <c r="E184" s="791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791"/>
      <c r="AW184" s="791"/>
    </row>
    <row r="185" spans="1:49" x14ac:dyDescent="0.3">
      <c r="A185" s="21"/>
      <c r="B185" s="21"/>
      <c r="C185" s="21"/>
      <c r="D185" s="792"/>
      <c r="E185" s="792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792"/>
      <c r="AW185" s="792"/>
    </row>
    <row r="186" spans="1:49" x14ac:dyDescent="0.3">
      <c r="A186" s="21"/>
      <c r="B186" s="21"/>
      <c r="C186" s="21"/>
      <c r="D186" s="793"/>
      <c r="E186" s="794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790"/>
      <c r="AW186" s="790"/>
    </row>
    <row r="187" spans="1:49" x14ac:dyDescent="0.3">
      <c r="A187" s="21"/>
      <c r="B187" s="21"/>
      <c r="C187" s="21"/>
      <c r="D187" s="792"/>
      <c r="E187" s="791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791"/>
      <c r="AW187" s="791"/>
    </row>
    <row r="188" spans="1:49" x14ac:dyDescent="0.3">
      <c r="A188" s="21"/>
      <c r="B188" s="21"/>
      <c r="C188" s="21"/>
      <c r="D188" s="792"/>
      <c r="E188" s="791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791"/>
      <c r="AW188" s="791"/>
    </row>
    <row r="189" spans="1:49" x14ac:dyDescent="0.3">
      <c r="A189" s="21"/>
      <c r="B189" s="21"/>
      <c r="C189" s="21"/>
      <c r="D189" s="792"/>
      <c r="E189" s="791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791"/>
      <c r="AW189" s="791"/>
    </row>
    <row r="190" spans="1:49" x14ac:dyDescent="0.3">
      <c r="A190" s="21"/>
      <c r="B190" s="21"/>
      <c r="C190" s="21"/>
      <c r="D190" s="792"/>
      <c r="E190" s="791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791"/>
      <c r="AW190" s="791"/>
    </row>
    <row r="191" spans="1:49" x14ac:dyDescent="0.3">
      <c r="A191" s="21"/>
      <c r="B191" s="21"/>
      <c r="C191" s="21"/>
      <c r="D191" s="792"/>
      <c r="E191" s="791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791"/>
      <c r="AW191" s="791"/>
    </row>
    <row r="192" spans="1:49" x14ac:dyDescent="0.3">
      <c r="A192" s="21"/>
      <c r="B192" s="21"/>
      <c r="C192" s="21"/>
      <c r="D192" s="792"/>
      <c r="E192" s="791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791"/>
      <c r="AW192" s="791"/>
    </row>
    <row r="193" spans="1:49" x14ac:dyDescent="0.3">
      <c r="A193" s="21"/>
      <c r="B193" s="21"/>
      <c r="C193" s="21"/>
      <c r="D193" s="792"/>
      <c r="E193" s="792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792"/>
      <c r="AW193" s="792"/>
    </row>
    <row r="194" spans="1:49" x14ac:dyDescent="0.3">
      <c r="A194" s="21"/>
      <c r="B194" s="21"/>
      <c r="C194" s="21"/>
      <c r="D194" s="793"/>
      <c r="E194" s="794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790"/>
      <c r="AW194" s="790"/>
    </row>
    <row r="195" spans="1:49" x14ac:dyDescent="0.3">
      <c r="A195" s="21"/>
      <c r="B195" s="21"/>
      <c r="C195" s="21"/>
      <c r="D195" s="792"/>
      <c r="E195" s="791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791"/>
      <c r="AW195" s="791"/>
    </row>
    <row r="196" spans="1:49" x14ac:dyDescent="0.3">
      <c r="A196" s="21"/>
      <c r="B196" s="21"/>
      <c r="C196" s="21"/>
      <c r="D196" s="792"/>
      <c r="E196" s="791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791"/>
      <c r="AW196" s="791"/>
    </row>
    <row r="197" spans="1:49" x14ac:dyDescent="0.3">
      <c r="A197" s="21"/>
      <c r="B197" s="21"/>
      <c r="C197" s="21"/>
      <c r="D197" s="792"/>
      <c r="E197" s="791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791"/>
      <c r="AW197" s="791"/>
    </row>
    <row r="198" spans="1:49" x14ac:dyDescent="0.3">
      <c r="A198" s="21"/>
      <c r="B198" s="21"/>
      <c r="C198" s="21"/>
      <c r="D198" s="792"/>
      <c r="E198" s="791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791"/>
      <c r="AW198" s="791"/>
    </row>
    <row r="199" spans="1:49" x14ac:dyDescent="0.3">
      <c r="A199" s="21"/>
      <c r="B199" s="21"/>
      <c r="C199" s="21"/>
      <c r="D199" s="792"/>
      <c r="E199" s="791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791"/>
      <c r="AW199" s="791"/>
    </row>
    <row r="200" spans="1:49" x14ac:dyDescent="0.3">
      <c r="A200" s="21"/>
      <c r="B200" s="21"/>
      <c r="C200" s="21"/>
      <c r="D200" s="792"/>
      <c r="E200" s="791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791"/>
      <c r="AW200" s="791"/>
    </row>
    <row r="201" spans="1:49" x14ac:dyDescent="0.3">
      <c r="A201" s="21"/>
      <c r="B201" s="21"/>
      <c r="C201" s="21"/>
      <c r="D201" s="792"/>
      <c r="E201" s="792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792"/>
      <c r="AW201" s="792"/>
    </row>
    <row r="202" spans="1:49" x14ac:dyDescent="0.3">
      <c r="A202" s="21"/>
      <c r="B202" s="21"/>
      <c r="C202" s="21"/>
      <c r="D202" s="793"/>
      <c r="E202" s="794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790"/>
      <c r="AW202" s="790"/>
    </row>
    <row r="203" spans="1:49" x14ac:dyDescent="0.3">
      <c r="A203" s="21"/>
      <c r="B203" s="21"/>
      <c r="C203" s="21"/>
      <c r="D203" s="792"/>
      <c r="E203" s="791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791"/>
      <c r="AW203" s="791"/>
    </row>
    <row r="204" spans="1:49" x14ac:dyDescent="0.3">
      <c r="A204" s="21"/>
      <c r="B204" s="21"/>
      <c r="C204" s="21"/>
      <c r="D204" s="792"/>
      <c r="E204" s="791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791"/>
      <c r="AW204" s="791"/>
    </row>
    <row r="205" spans="1:49" x14ac:dyDescent="0.3">
      <c r="A205" s="21"/>
      <c r="B205" s="21"/>
      <c r="C205" s="21"/>
      <c r="D205" s="792"/>
      <c r="E205" s="791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791"/>
      <c r="AW205" s="791"/>
    </row>
    <row r="206" spans="1:49" x14ac:dyDescent="0.3">
      <c r="A206" s="21"/>
      <c r="B206" s="21"/>
      <c r="C206" s="21"/>
      <c r="D206" s="792"/>
      <c r="E206" s="791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791"/>
      <c r="AW206" s="791"/>
    </row>
    <row r="207" spans="1:49" x14ac:dyDescent="0.3">
      <c r="A207" s="21"/>
      <c r="B207" s="21"/>
      <c r="C207" s="21"/>
      <c r="D207" s="792"/>
      <c r="E207" s="791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791"/>
      <c r="AW207" s="791"/>
    </row>
    <row r="208" spans="1:49" x14ac:dyDescent="0.3">
      <c r="A208" s="21"/>
      <c r="B208" s="21"/>
      <c r="C208" s="21"/>
      <c r="D208" s="792"/>
      <c r="E208" s="791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791"/>
      <c r="AW208" s="791"/>
    </row>
    <row r="209" spans="1:49" x14ac:dyDescent="0.3">
      <c r="A209" s="21"/>
      <c r="B209" s="21"/>
      <c r="C209" s="21"/>
      <c r="D209" s="792"/>
      <c r="E209" s="792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792"/>
      <c r="AW209" s="792"/>
    </row>
    <row r="210" spans="1:49" x14ac:dyDescent="0.3">
      <c r="A210" s="21"/>
      <c r="B210" s="21"/>
      <c r="C210" s="21"/>
      <c r="D210" s="793"/>
      <c r="E210" s="794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790"/>
      <c r="AW210" s="790"/>
    </row>
    <row r="211" spans="1:49" x14ac:dyDescent="0.3">
      <c r="A211" s="21"/>
      <c r="B211" s="21"/>
      <c r="C211" s="21"/>
      <c r="D211" s="792"/>
      <c r="E211" s="791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791"/>
      <c r="AW211" s="791"/>
    </row>
    <row r="212" spans="1:49" x14ac:dyDescent="0.3">
      <c r="A212" s="21"/>
      <c r="B212" s="21"/>
      <c r="C212" s="21"/>
      <c r="D212" s="792"/>
      <c r="E212" s="791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791"/>
      <c r="AW212" s="791"/>
    </row>
    <row r="213" spans="1:49" x14ac:dyDescent="0.3">
      <c r="A213" s="21"/>
      <c r="B213" s="21"/>
      <c r="C213" s="21"/>
      <c r="D213" s="792"/>
      <c r="E213" s="791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791"/>
      <c r="AW213" s="791"/>
    </row>
    <row r="214" spans="1:49" x14ac:dyDescent="0.3">
      <c r="A214" s="21"/>
      <c r="B214" s="21"/>
      <c r="C214" s="21"/>
      <c r="D214" s="792"/>
      <c r="E214" s="791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791"/>
      <c r="AW214" s="791"/>
    </row>
    <row r="215" spans="1:49" x14ac:dyDescent="0.3">
      <c r="A215" s="21"/>
      <c r="B215" s="21"/>
      <c r="C215" s="21"/>
      <c r="D215" s="792"/>
      <c r="E215" s="791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791"/>
      <c r="AW215" s="791"/>
    </row>
    <row r="216" spans="1:49" x14ac:dyDescent="0.3">
      <c r="A216" s="21"/>
      <c r="B216" s="21"/>
      <c r="C216" s="21"/>
      <c r="D216" s="792"/>
      <c r="E216" s="791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791"/>
      <c r="AW216" s="791"/>
    </row>
    <row r="217" spans="1:49" x14ac:dyDescent="0.3">
      <c r="A217" s="21"/>
      <c r="B217" s="21"/>
      <c r="C217" s="21"/>
      <c r="D217" s="792"/>
      <c r="E217" s="792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792"/>
      <c r="AW217" s="792"/>
    </row>
    <row r="218" spans="1:49" x14ac:dyDescent="0.3">
      <c r="A218" s="21"/>
      <c r="B218" s="21"/>
      <c r="C218" s="21"/>
      <c r="D218" s="793"/>
      <c r="E218" s="794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790"/>
      <c r="AW218" s="790"/>
    </row>
    <row r="219" spans="1:49" x14ac:dyDescent="0.3">
      <c r="A219" s="21"/>
      <c r="B219" s="21"/>
      <c r="C219" s="21"/>
      <c r="D219" s="792"/>
      <c r="E219" s="791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791"/>
      <c r="AW219" s="791"/>
    </row>
    <row r="220" spans="1:49" x14ac:dyDescent="0.3">
      <c r="A220" s="21"/>
      <c r="B220" s="21"/>
      <c r="C220" s="21"/>
      <c r="D220" s="792"/>
      <c r="E220" s="791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791"/>
      <c r="AW220" s="791"/>
    </row>
    <row r="221" spans="1:49" x14ac:dyDescent="0.3">
      <c r="A221" s="21"/>
      <c r="B221" s="21"/>
      <c r="C221" s="21"/>
      <c r="D221" s="792"/>
      <c r="E221" s="791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791"/>
      <c r="AW221" s="791"/>
    </row>
    <row r="222" spans="1:49" x14ac:dyDescent="0.3">
      <c r="A222" s="21"/>
      <c r="B222" s="21"/>
      <c r="C222" s="21"/>
      <c r="D222" s="792"/>
      <c r="E222" s="791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791"/>
      <c r="AW222" s="791"/>
    </row>
    <row r="223" spans="1:49" x14ac:dyDescent="0.3">
      <c r="A223" s="21"/>
      <c r="B223" s="21"/>
      <c r="C223" s="21"/>
      <c r="D223" s="792"/>
      <c r="E223" s="791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791"/>
      <c r="AW223" s="791"/>
    </row>
    <row r="224" spans="1:49" x14ac:dyDescent="0.3">
      <c r="A224" s="21"/>
      <c r="B224" s="21"/>
      <c r="C224" s="21"/>
      <c r="D224" s="792"/>
      <c r="E224" s="791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791"/>
      <c r="AW224" s="791"/>
    </row>
    <row r="225" spans="1:49" x14ac:dyDescent="0.3">
      <c r="A225" s="21"/>
      <c r="B225" s="21"/>
      <c r="C225" s="21"/>
      <c r="D225" s="792"/>
      <c r="E225" s="792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792"/>
      <c r="AW225" s="792"/>
    </row>
    <row r="226" spans="1:49" x14ac:dyDescent="0.3">
      <c r="A226" s="21"/>
      <c r="B226" s="21"/>
      <c r="C226" s="21"/>
      <c r="D226" s="793"/>
      <c r="E226" s="794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790"/>
      <c r="AW226" s="790"/>
    </row>
    <row r="227" spans="1:49" x14ac:dyDescent="0.3">
      <c r="A227" s="21"/>
      <c r="B227" s="21"/>
      <c r="C227" s="21"/>
      <c r="D227" s="792"/>
      <c r="E227" s="791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791"/>
      <c r="AW227" s="791"/>
    </row>
    <row r="228" spans="1:49" x14ac:dyDescent="0.3">
      <c r="A228" s="21"/>
      <c r="B228" s="21"/>
      <c r="C228" s="21"/>
      <c r="D228" s="792"/>
      <c r="E228" s="791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791"/>
      <c r="AW228" s="791"/>
    </row>
    <row r="229" spans="1:49" x14ac:dyDescent="0.3">
      <c r="A229" s="21"/>
      <c r="B229" s="21"/>
      <c r="C229" s="21"/>
      <c r="D229" s="792"/>
      <c r="E229" s="791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791"/>
      <c r="AW229" s="791"/>
    </row>
    <row r="230" spans="1:49" x14ac:dyDescent="0.3">
      <c r="A230" s="21"/>
      <c r="B230" s="21"/>
      <c r="C230" s="21"/>
      <c r="D230" s="792"/>
      <c r="E230" s="791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791"/>
      <c r="AW230" s="791"/>
    </row>
    <row r="231" spans="1:49" x14ac:dyDescent="0.3">
      <c r="A231" s="21"/>
      <c r="B231" s="21"/>
      <c r="C231" s="21"/>
      <c r="D231" s="792"/>
      <c r="E231" s="791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791"/>
      <c r="AW231" s="791"/>
    </row>
    <row r="232" spans="1:49" x14ac:dyDescent="0.3">
      <c r="A232" s="21"/>
      <c r="B232" s="21"/>
      <c r="C232" s="21"/>
      <c r="D232" s="792"/>
      <c r="E232" s="791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791"/>
      <c r="AW232" s="791"/>
    </row>
    <row r="233" spans="1:49" x14ac:dyDescent="0.3">
      <c r="A233" s="21"/>
      <c r="B233" s="21"/>
      <c r="C233" s="21"/>
      <c r="D233" s="792"/>
      <c r="E233" s="792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792"/>
      <c r="AW233" s="792"/>
    </row>
    <row r="234" spans="1:49" x14ac:dyDescent="0.3">
      <c r="A234" s="21"/>
      <c r="B234" s="21"/>
      <c r="C234" s="21"/>
      <c r="D234" s="793"/>
      <c r="E234" s="794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790"/>
      <c r="AW234" s="790"/>
    </row>
    <row r="235" spans="1:49" x14ac:dyDescent="0.3">
      <c r="A235" s="21"/>
      <c r="B235" s="21"/>
      <c r="C235" s="21"/>
      <c r="D235" s="792"/>
      <c r="E235" s="791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791"/>
      <c r="AW235" s="791"/>
    </row>
    <row r="236" spans="1:49" x14ac:dyDescent="0.3">
      <c r="A236" s="21"/>
      <c r="B236" s="21"/>
      <c r="C236" s="21"/>
      <c r="D236" s="792"/>
      <c r="E236" s="791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791"/>
      <c r="AW236" s="791"/>
    </row>
    <row r="237" spans="1:49" x14ac:dyDescent="0.3">
      <c r="A237" s="21"/>
      <c r="B237" s="21"/>
      <c r="C237" s="21"/>
      <c r="D237" s="792"/>
      <c r="E237" s="791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791"/>
      <c r="AW237" s="791"/>
    </row>
    <row r="238" spans="1:49" x14ac:dyDescent="0.3">
      <c r="A238" s="21"/>
      <c r="B238" s="21"/>
      <c r="C238" s="21"/>
      <c r="D238" s="792"/>
      <c r="E238" s="791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791"/>
      <c r="AW238" s="791"/>
    </row>
    <row r="239" spans="1:49" x14ac:dyDescent="0.3">
      <c r="A239" s="21"/>
      <c r="B239" s="21"/>
      <c r="C239" s="21"/>
      <c r="D239" s="792"/>
      <c r="E239" s="791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791"/>
      <c r="AW239" s="791"/>
    </row>
    <row r="240" spans="1:49" x14ac:dyDescent="0.3">
      <c r="A240" s="21"/>
      <c r="B240" s="21"/>
      <c r="C240" s="21"/>
      <c r="D240" s="792"/>
      <c r="E240" s="791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791"/>
      <c r="AW240" s="791"/>
    </row>
    <row r="241" spans="1:49" x14ac:dyDescent="0.3">
      <c r="A241" s="21"/>
      <c r="B241" s="21"/>
      <c r="C241" s="21"/>
      <c r="D241" s="792"/>
      <c r="E241" s="792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792"/>
      <c r="AW241" s="792"/>
    </row>
    <row r="242" spans="1:49" x14ac:dyDescent="0.3">
      <c r="A242" s="21"/>
      <c r="B242" s="21"/>
      <c r="C242" s="21"/>
      <c r="D242" s="793"/>
      <c r="E242" s="794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790"/>
      <c r="AW242" s="790"/>
    </row>
    <row r="243" spans="1:49" x14ac:dyDescent="0.3">
      <c r="A243" s="21"/>
      <c r="B243" s="21"/>
      <c r="C243" s="21"/>
      <c r="D243" s="792"/>
      <c r="E243" s="791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791"/>
      <c r="AW243" s="791"/>
    </row>
    <row r="244" spans="1:49" x14ac:dyDescent="0.3">
      <c r="A244" s="21"/>
      <c r="B244" s="21"/>
      <c r="C244" s="21"/>
      <c r="D244" s="792"/>
      <c r="E244" s="791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791"/>
      <c r="AW244" s="791"/>
    </row>
    <row r="245" spans="1:49" x14ac:dyDescent="0.3">
      <c r="A245" s="21"/>
      <c r="B245" s="21"/>
      <c r="C245" s="21"/>
      <c r="D245" s="792"/>
      <c r="E245" s="791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791"/>
      <c r="AW245" s="791"/>
    </row>
    <row r="246" spans="1:49" x14ac:dyDescent="0.3">
      <c r="A246" s="21"/>
      <c r="B246" s="21"/>
      <c r="C246" s="21"/>
      <c r="D246" s="792"/>
      <c r="E246" s="791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791"/>
      <c r="AW246" s="791"/>
    </row>
    <row r="247" spans="1:49" x14ac:dyDescent="0.3">
      <c r="A247" s="21"/>
      <c r="B247" s="21"/>
      <c r="C247" s="21"/>
      <c r="D247" s="792"/>
      <c r="E247" s="791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791"/>
      <c r="AW247" s="791"/>
    </row>
    <row r="248" spans="1:49" x14ac:dyDescent="0.3">
      <c r="A248" s="21"/>
      <c r="B248" s="21"/>
      <c r="C248" s="21"/>
      <c r="D248" s="792"/>
      <c r="E248" s="791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791"/>
      <c r="AW248" s="791"/>
    </row>
    <row r="249" spans="1:49" x14ac:dyDescent="0.3">
      <c r="A249" s="21"/>
      <c r="B249" s="21"/>
      <c r="C249" s="21"/>
      <c r="D249" s="792"/>
      <c r="E249" s="792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792"/>
      <c r="AW249" s="792"/>
    </row>
    <row r="250" spans="1:49" x14ac:dyDescent="0.3">
      <c r="A250" s="21"/>
      <c r="B250" s="21"/>
      <c r="C250" s="21"/>
      <c r="D250" s="793"/>
      <c r="E250" s="794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790"/>
      <c r="AW250" s="790"/>
    </row>
    <row r="251" spans="1:49" x14ac:dyDescent="0.3">
      <c r="A251" s="21"/>
      <c r="B251" s="21"/>
      <c r="C251" s="21"/>
      <c r="D251" s="792"/>
      <c r="E251" s="791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791"/>
      <c r="AW251" s="791"/>
    </row>
    <row r="252" spans="1:49" x14ac:dyDescent="0.3">
      <c r="A252" s="21"/>
      <c r="B252" s="21"/>
      <c r="C252" s="21"/>
      <c r="D252" s="792"/>
      <c r="E252" s="791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791"/>
      <c r="AW252" s="791"/>
    </row>
    <row r="253" spans="1:49" x14ac:dyDescent="0.3">
      <c r="A253" s="21"/>
      <c r="B253" s="21"/>
      <c r="C253" s="21"/>
      <c r="D253" s="792"/>
      <c r="E253" s="791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791"/>
      <c r="AW253" s="791"/>
    </row>
    <row r="254" spans="1:49" x14ac:dyDescent="0.3">
      <c r="A254" s="21"/>
      <c r="B254" s="21"/>
      <c r="C254" s="21"/>
      <c r="D254" s="792"/>
      <c r="E254" s="791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791"/>
      <c r="AW254" s="791"/>
    </row>
    <row r="255" spans="1:49" x14ac:dyDescent="0.3">
      <c r="A255" s="21"/>
      <c r="B255" s="21"/>
      <c r="C255" s="21"/>
      <c r="D255" s="792"/>
      <c r="E255" s="791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791"/>
      <c r="AW255" s="791"/>
    </row>
    <row r="256" spans="1:49" x14ac:dyDescent="0.3">
      <c r="A256" s="21"/>
      <c r="B256" s="21"/>
      <c r="C256" s="21"/>
      <c r="D256" s="792"/>
      <c r="E256" s="791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791"/>
      <c r="AW256" s="791"/>
    </row>
    <row r="257" spans="1:49" x14ac:dyDescent="0.3">
      <c r="A257" s="21"/>
      <c r="B257" s="21"/>
      <c r="C257" s="21"/>
      <c r="D257" s="792"/>
      <c r="E257" s="792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792"/>
      <c r="AW257" s="792"/>
    </row>
    <row r="258" spans="1:49" x14ac:dyDescent="0.3">
      <c r="A258" s="21"/>
      <c r="B258" s="21"/>
      <c r="C258" s="21"/>
      <c r="D258" s="793"/>
      <c r="E258" s="794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790"/>
      <c r="AW258" s="790"/>
    </row>
    <row r="259" spans="1:49" x14ac:dyDescent="0.3">
      <c r="A259" s="21"/>
      <c r="B259" s="21"/>
      <c r="C259" s="21"/>
      <c r="D259" s="792"/>
      <c r="E259" s="791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791"/>
      <c r="AW259" s="791"/>
    </row>
    <row r="260" spans="1:49" x14ac:dyDescent="0.3">
      <c r="A260" s="21"/>
      <c r="B260" s="21"/>
      <c r="C260" s="21"/>
      <c r="D260" s="792"/>
      <c r="E260" s="791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791"/>
      <c r="AW260" s="791"/>
    </row>
    <row r="261" spans="1:49" x14ac:dyDescent="0.3">
      <c r="A261" s="21"/>
      <c r="B261" s="21"/>
      <c r="C261" s="21"/>
      <c r="D261" s="792"/>
      <c r="E261" s="791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791"/>
      <c r="AW261" s="791"/>
    </row>
    <row r="262" spans="1:49" x14ac:dyDescent="0.3">
      <c r="A262" s="21"/>
      <c r="B262" s="21"/>
      <c r="C262" s="21"/>
      <c r="D262" s="792"/>
      <c r="E262" s="791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791"/>
      <c r="AW262" s="791"/>
    </row>
    <row r="263" spans="1:49" x14ac:dyDescent="0.3">
      <c r="A263" s="21"/>
      <c r="B263" s="21"/>
      <c r="C263" s="21"/>
      <c r="D263" s="792"/>
      <c r="E263" s="791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791"/>
      <c r="AW263" s="791"/>
    </row>
    <row r="264" spans="1:49" x14ac:dyDescent="0.3">
      <c r="A264" s="21"/>
      <c r="B264" s="21"/>
      <c r="C264" s="21"/>
      <c r="D264" s="792"/>
      <c r="E264" s="791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791"/>
      <c r="AW264" s="791"/>
    </row>
    <row r="265" spans="1:49" x14ac:dyDescent="0.3">
      <c r="A265" s="21"/>
      <c r="B265" s="21"/>
      <c r="C265" s="21"/>
      <c r="D265" s="792"/>
      <c r="E265" s="792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792"/>
      <c r="AW265" s="792"/>
    </row>
    <row r="266" spans="1:49" x14ac:dyDescent="0.3">
      <c r="A266" s="21"/>
      <c r="B266" s="21"/>
      <c r="C266" s="21"/>
      <c r="D266" s="793"/>
      <c r="E266" s="794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790"/>
      <c r="AW266" s="790"/>
    </row>
    <row r="267" spans="1:49" x14ac:dyDescent="0.3">
      <c r="A267" s="21"/>
      <c r="B267" s="21"/>
      <c r="C267" s="21"/>
      <c r="D267" s="792"/>
      <c r="E267" s="791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791"/>
      <c r="AW267" s="791"/>
    </row>
    <row r="268" spans="1:49" x14ac:dyDescent="0.3">
      <c r="A268" s="21"/>
      <c r="B268" s="21"/>
      <c r="C268" s="21"/>
      <c r="D268" s="792"/>
      <c r="E268" s="791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791"/>
      <c r="AW268" s="791"/>
    </row>
    <row r="269" spans="1:49" x14ac:dyDescent="0.3">
      <c r="A269" s="21"/>
      <c r="B269" s="21"/>
      <c r="C269" s="21"/>
      <c r="D269" s="792"/>
      <c r="E269" s="791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791"/>
      <c r="AW269" s="791"/>
    </row>
    <row r="270" spans="1:49" x14ac:dyDescent="0.3">
      <c r="A270" s="21"/>
      <c r="B270" s="21"/>
      <c r="C270" s="21"/>
      <c r="D270" s="792"/>
      <c r="E270" s="791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791"/>
      <c r="AW270" s="791"/>
    </row>
    <row r="271" spans="1:49" x14ac:dyDescent="0.3">
      <c r="A271" s="21"/>
      <c r="B271" s="21"/>
      <c r="C271" s="21"/>
      <c r="D271" s="792"/>
      <c r="E271" s="791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791"/>
      <c r="AW271" s="791"/>
    </row>
    <row r="272" spans="1:49" x14ac:dyDescent="0.3">
      <c r="A272" s="21"/>
      <c r="B272" s="21"/>
      <c r="C272" s="21"/>
      <c r="D272" s="792"/>
      <c r="E272" s="791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791"/>
      <c r="AW272" s="791"/>
    </row>
    <row r="273" spans="1:49" x14ac:dyDescent="0.3">
      <c r="A273" s="21"/>
      <c r="B273" s="21"/>
      <c r="C273" s="21"/>
      <c r="D273" s="792"/>
      <c r="E273" s="792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792"/>
      <c r="AW273" s="792"/>
    </row>
    <row r="274" spans="1:49" x14ac:dyDescent="0.3">
      <c r="A274" s="21"/>
      <c r="B274" s="21"/>
      <c r="C274" s="21"/>
      <c r="D274" s="793"/>
      <c r="E274" s="794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790"/>
      <c r="AW274" s="790"/>
    </row>
    <row r="275" spans="1:49" x14ac:dyDescent="0.3">
      <c r="A275" s="21"/>
      <c r="B275" s="21"/>
      <c r="C275" s="21"/>
      <c r="D275" s="792"/>
      <c r="E275" s="791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791"/>
      <c r="AW275" s="791"/>
    </row>
    <row r="276" spans="1:49" x14ac:dyDescent="0.3">
      <c r="A276" s="21"/>
      <c r="B276" s="21"/>
      <c r="C276" s="21"/>
      <c r="D276" s="792"/>
      <c r="E276" s="791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791"/>
      <c r="AW276" s="791"/>
    </row>
    <row r="277" spans="1:49" x14ac:dyDescent="0.3">
      <c r="A277" s="21"/>
      <c r="B277" s="21"/>
      <c r="C277" s="21"/>
      <c r="D277" s="792"/>
      <c r="E277" s="791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791"/>
      <c r="AW277" s="791"/>
    </row>
    <row r="278" spans="1:49" x14ac:dyDescent="0.3">
      <c r="A278" s="21"/>
      <c r="B278" s="21"/>
      <c r="C278" s="21"/>
      <c r="D278" s="792"/>
      <c r="E278" s="791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791"/>
      <c r="AW278" s="791"/>
    </row>
    <row r="279" spans="1:49" x14ac:dyDescent="0.3">
      <c r="A279" s="21"/>
      <c r="B279" s="21"/>
      <c r="C279" s="21"/>
      <c r="D279" s="792"/>
      <c r="E279" s="791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791"/>
      <c r="AW279" s="791"/>
    </row>
    <row r="280" spans="1:49" x14ac:dyDescent="0.3">
      <c r="A280" s="21"/>
      <c r="B280" s="21"/>
      <c r="C280" s="21"/>
      <c r="D280" s="792"/>
      <c r="E280" s="791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791"/>
      <c r="AW280" s="791"/>
    </row>
    <row r="281" spans="1:49" x14ac:dyDescent="0.3">
      <c r="A281" s="21"/>
      <c r="B281" s="21"/>
      <c r="C281" s="21"/>
      <c r="D281" s="792"/>
      <c r="E281" s="792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792"/>
      <c r="AW281" s="792"/>
    </row>
    <row r="282" spans="1:49" x14ac:dyDescent="0.3">
      <c r="A282" s="21"/>
      <c r="B282" s="21"/>
      <c r="C282" s="21"/>
      <c r="D282" s="793"/>
      <c r="E282" s="794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790"/>
      <c r="AW282" s="790"/>
    </row>
    <row r="283" spans="1:49" x14ac:dyDescent="0.3">
      <c r="A283" s="21"/>
      <c r="B283" s="21"/>
      <c r="C283" s="21"/>
      <c r="D283" s="792"/>
      <c r="E283" s="791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791"/>
      <c r="AW283" s="791"/>
    </row>
    <row r="284" spans="1:49" x14ac:dyDescent="0.3">
      <c r="A284" s="21"/>
      <c r="B284" s="21"/>
      <c r="C284" s="21"/>
      <c r="D284" s="792"/>
      <c r="E284" s="791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791"/>
      <c r="AW284" s="791"/>
    </row>
    <row r="285" spans="1:49" x14ac:dyDescent="0.3">
      <c r="A285" s="21"/>
      <c r="B285" s="21"/>
      <c r="C285" s="21"/>
      <c r="D285" s="792"/>
      <c r="E285" s="791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791"/>
      <c r="AW285" s="791"/>
    </row>
    <row r="286" spans="1:49" x14ac:dyDescent="0.3">
      <c r="A286" s="21"/>
      <c r="B286" s="21"/>
      <c r="C286" s="21"/>
      <c r="D286" s="792"/>
      <c r="E286" s="791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791"/>
      <c r="AW286" s="791"/>
    </row>
    <row r="287" spans="1:49" x14ac:dyDescent="0.3">
      <c r="A287" s="21"/>
      <c r="B287" s="21"/>
      <c r="C287" s="21"/>
      <c r="D287" s="792"/>
      <c r="E287" s="791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791"/>
      <c r="AW287" s="791"/>
    </row>
    <row r="288" spans="1:49" x14ac:dyDescent="0.3">
      <c r="A288" s="21"/>
      <c r="B288" s="21"/>
      <c r="C288" s="21"/>
      <c r="D288" s="792"/>
      <c r="E288" s="791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791"/>
      <c r="AW288" s="791"/>
    </row>
    <row r="289" spans="1:49" x14ac:dyDescent="0.3">
      <c r="A289" s="21"/>
      <c r="B289" s="21"/>
      <c r="C289" s="21"/>
      <c r="D289" s="792"/>
      <c r="E289" s="792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792"/>
      <c r="AW289" s="79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18" t="s">
        <v>72</v>
      </c>
      <c r="G1" s="818"/>
      <c r="H1" s="818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2026-09-10T19:16:18Z</dcterms:modified>
</cp:coreProperties>
</file>