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013aa31352d86ff/Documents/BDL/PT BDL/Report/Production Report/Excel/"/>
    </mc:Choice>
  </mc:AlternateContent>
  <xr:revisionPtr revIDLastSave="2901" documentId="8_{BFB24385-7FB7-4C80-8499-C284682C153A}" xr6:coauthVersionLast="47" xr6:coauthVersionMax="47" xr10:uidLastSave="{73B670BA-2744-43F4-BAB0-20DDA454E892}"/>
  <bookViews>
    <workbookView xWindow="-108" yWindow="-108" windowWidth="23256" windowHeight="12456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Milling and Leach Feed" sheetId="4" r:id="rId8"/>
    <sheet name="Crushing Down Time Hours" sheetId="8" r:id="rId9"/>
    <sheet name="Milling Down Time Hours" sheetId="5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10" i="13" l="1"/>
  <c r="AQ10" i="13"/>
  <c r="AD10" i="13"/>
  <c r="AE10" i="13"/>
  <c r="AC10" i="13"/>
  <c r="H6" i="15"/>
  <c r="I6" i="15"/>
  <c r="G6" i="15"/>
  <c r="Z10" i="12"/>
  <c r="Z9" i="12"/>
  <c r="Z14" i="12" s="1"/>
  <c r="G57" i="7"/>
  <c r="J19" i="12"/>
  <c r="X11" i="13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T11" i="4"/>
  <c r="U11" i="4"/>
  <c r="S11" i="4"/>
  <c r="T10" i="4"/>
  <c r="U10" i="4"/>
  <c r="S10" i="4"/>
  <c r="T9" i="4"/>
  <c r="U9" i="4"/>
  <c r="S9" i="4"/>
  <c r="S11" i="13"/>
  <c r="K61" i="13"/>
  <c r="R10" i="13"/>
  <c r="O11" i="4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W11" i="13" l="1"/>
  <c r="W62" i="13" s="1"/>
  <c r="V11" i="13"/>
  <c r="V62" i="13" s="1"/>
  <c r="U11" i="13"/>
  <c r="U60" i="13" s="1"/>
  <c r="U62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N11" i="4"/>
  <c r="M11" i="4"/>
  <c r="M10" i="4"/>
  <c r="O10" i="4" s="1"/>
  <c r="M9" i="4"/>
  <c r="M6" i="4"/>
  <c r="M7" i="4"/>
  <c r="H11" i="4"/>
  <c r="H10" i="4"/>
  <c r="H9" i="4"/>
  <c r="M5" i="4"/>
  <c r="K11" i="13"/>
  <c r="T10" i="13"/>
  <c r="T8" i="4"/>
  <c r="U8" i="4"/>
  <c r="S8" i="4"/>
  <c r="T7" i="4"/>
  <c r="V10" i="13" s="1"/>
  <c r="U7" i="4"/>
  <c r="W10" i="13" s="1"/>
  <c r="S7" i="4"/>
  <c r="U10" i="13" s="1"/>
  <c r="AI10" i="13" s="1"/>
  <c r="T6" i="4"/>
  <c r="U6" i="4"/>
  <c r="S6" i="4"/>
  <c r="T5" i="4"/>
  <c r="U5" i="4"/>
  <c r="S5" i="4"/>
  <c r="O9" i="4"/>
  <c r="O5" i="4"/>
  <c r="O7" i="4"/>
  <c r="I10" i="4"/>
  <c r="H7" i="4"/>
  <c r="H6" i="4"/>
  <c r="J5" i="4"/>
  <c r="K10" i="13"/>
  <c r="S10" i="13" s="1"/>
  <c r="R9" i="4" l="1"/>
  <c r="N9" i="4"/>
  <c r="H8" i="4"/>
  <c r="I8" i="4" l="1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B18" i="4"/>
  <c r="X9" i="4" l="1"/>
  <c r="X10" i="4"/>
  <c r="X11" i="4"/>
  <c r="Z11" i="13" s="1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7" i="4"/>
  <c r="X49" i="4"/>
  <c r="X51" i="4"/>
  <c r="X53" i="4"/>
  <c r="X55" i="4"/>
  <c r="X57" i="4"/>
  <c r="X59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7" i="4"/>
  <c r="W49" i="4"/>
  <c r="W51" i="4"/>
  <c r="W53" i="4"/>
  <c r="W55" i="4"/>
  <c r="W57" i="4"/>
  <c r="W59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7" i="4"/>
  <c r="V49" i="4"/>
  <c r="V51" i="4"/>
  <c r="V53" i="4"/>
  <c r="V55" i="4"/>
  <c r="V57" i="4"/>
  <c r="V59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1" i="4"/>
  <c r="V83" i="4"/>
  <c r="V85" i="4"/>
  <c r="V87" i="4"/>
  <c r="V89" i="4"/>
  <c r="V91" i="4"/>
  <c r="V93" i="4"/>
  <c r="V95" i="4"/>
  <c r="V96" i="4"/>
  <c r="V97" i="4"/>
  <c r="X5" i="4"/>
  <c r="W5" i="4"/>
  <c r="V5" i="4"/>
  <c r="Z62" i="13" l="1"/>
  <c r="Z60" i="13"/>
  <c r="Y11" i="13"/>
  <c r="Y62" i="13" s="1"/>
  <c r="AA11" i="13"/>
  <c r="I6" i="4"/>
  <c r="O7" i="2"/>
  <c r="O8" i="2"/>
  <c r="O9" i="2"/>
  <c r="O10" i="2"/>
  <c r="Y60" i="13" l="1"/>
  <c r="AB11" i="13"/>
  <c r="X60" i="13"/>
  <c r="X62" i="13"/>
  <c r="M8" i="4"/>
  <c r="R5" i="4" s="1"/>
  <c r="V6" i="4"/>
  <c r="X6" i="4"/>
  <c r="W6" i="4"/>
  <c r="O6" i="4"/>
  <c r="N5" i="4"/>
  <c r="J29" i="7"/>
  <c r="J30" i="7"/>
  <c r="J31" i="7"/>
  <c r="J32" i="7"/>
  <c r="J33" i="7"/>
  <c r="J34" i="7"/>
  <c r="J35" i="7"/>
  <c r="J36" i="7"/>
  <c r="L36" i="7" s="1"/>
  <c r="J37" i="7"/>
  <c r="L37" i="7" s="1"/>
  <c r="J38" i="7"/>
  <c r="L38" i="7" s="1"/>
  <c r="J39" i="7"/>
  <c r="L39" i="7" s="1"/>
  <c r="J40" i="7"/>
  <c r="L40" i="7" s="1"/>
  <c r="J41" i="7"/>
  <c r="J42" i="7"/>
  <c r="J43" i="7"/>
  <c r="J4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9" i="7"/>
  <c r="L30" i="7"/>
  <c r="L31" i="7"/>
  <c r="L32" i="7"/>
  <c r="L33" i="7"/>
  <c r="L34" i="7"/>
  <c r="L35" i="7"/>
  <c r="L41" i="7"/>
  <c r="L42" i="7"/>
  <c r="L43" i="7"/>
  <c r="L44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N7" i="4" l="1"/>
  <c r="X7" i="4"/>
  <c r="V7" i="4"/>
  <c r="W7" i="4"/>
  <c r="O8" i="4"/>
  <c r="X8" i="4"/>
  <c r="W8" i="4"/>
  <c r="V8" i="4"/>
  <c r="I16" i="7"/>
  <c r="I17" i="7"/>
  <c r="I18" i="7"/>
  <c r="I19" i="7"/>
  <c r="I20" i="7"/>
  <c r="I21" i="7"/>
  <c r="I22" i="7"/>
  <c r="I23" i="7"/>
  <c r="F21" i="7"/>
  <c r="F53" i="7"/>
  <c r="O14" i="12"/>
  <c r="Y10" i="13" l="1"/>
  <c r="X10" i="13"/>
  <c r="Z10" i="13"/>
  <c r="AK10" i="13" s="1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B10" i="13" l="1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7" i="2"/>
  <c r="U7" i="2"/>
  <c r="U8" i="2"/>
  <c r="U9" i="2"/>
  <c r="U10" i="2"/>
  <c r="U11" i="2"/>
  <c r="U13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O42" i="2"/>
  <c r="O43" i="2"/>
  <c r="O44" i="2"/>
  <c r="O45" i="2"/>
  <c r="O46" i="2"/>
  <c r="O47" i="2"/>
  <c r="O48" i="2"/>
  <c r="O49" i="2"/>
  <c r="O50" i="2"/>
  <c r="O51" i="2"/>
  <c r="O41" i="2"/>
  <c r="R8" i="2"/>
  <c r="R9" i="2"/>
  <c r="R10" i="2"/>
  <c r="R11" i="2"/>
  <c r="R13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7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34" i="2"/>
  <c r="T33" i="2"/>
  <c r="AC60" i="13"/>
  <c r="S8" i="2"/>
  <c r="S9" i="2"/>
  <c r="S10" i="2"/>
  <c r="S11" i="2"/>
  <c r="S13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7" i="2"/>
  <c r="J41" i="12" l="1"/>
  <c r="M41" i="12"/>
  <c r="K41" i="12"/>
  <c r="M8" i="1"/>
  <c r="K7" i="1"/>
  <c r="M7" i="1" s="1"/>
  <c r="V53" i="2"/>
  <c r="AC8" i="2" s="1"/>
  <c r="C26" i="7"/>
  <c r="C28" i="7"/>
  <c r="C32" i="7"/>
  <c r="C34" i="7"/>
  <c r="C36" i="7"/>
  <c r="O37" i="2"/>
  <c r="O38" i="2"/>
  <c r="O39" i="2"/>
  <c r="O40" i="2"/>
  <c r="O52" i="2"/>
  <c r="O36" i="2"/>
  <c r="BJ13" i="13"/>
  <c r="BJ14" i="13" s="1"/>
  <c r="BJ15" i="13" s="1"/>
  <c r="AF60" i="13"/>
  <c r="AD60" i="13"/>
  <c r="AE60" i="13"/>
  <c r="F24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R99" i="13" s="1"/>
  <c r="M98" i="13"/>
  <c r="N98" i="13"/>
  <c r="S99" i="13" l="1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AR15" i="13" l="1"/>
  <c r="BA15" i="13"/>
  <c r="AS15" i="13"/>
  <c r="R44" i="5"/>
  <c r="L6" i="11" l="1"/>
  <c r="K94" i="13"/>
  <c r="AO15" i="13"/>
  <c r="N28" i="5"/>
  <c r="P17" i="2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N42" i="7" s="1"/>
  <c r="M43" i="5"/>
  <c r="M44" i="5"/>
  <c r="M45" i="5"/>
  <c r="N45" i="7" s="1"/>
  <c r="M46" i="5"/>
  <c r="M47" i="5"/>
  <c r="M48" i="5"/>
  <c r="M49" i="5"/>
  <c r="M50" i="5"/>
  <c r="M51" i="5"/>
  <c r="M52" i="5"/>
  <c r="M53" i="5"/>
  <c r="M54" i="5"/>
  <c r="M55" i="5"/>
  <c r="M56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N43" i="7"/>
  <c r="N44" i="7"/>
  <c r="C40" i="7"/>
  <c r="C42" i="7"/>
  <c r="E42" i="7" s="1"/>
  <c r="C44" i="7"/>
  <c r="C46" i="7"/>
  <c r="E46" i="7" s="1"/>
  <c r="L96" i="13"/>
  <c r="J5" i="11"/>
  <c r="L5" i="11" s="1"/>
  <c r="AN11" i="13"/>
  <c r="S98" i="4"/>
  <c r="T98" i="4"/>
  <c r="U98" i="4"/>
  <c r="F5" i="14"/>
  <c r="AO10" i="13"/>
  <c r="AM10" i="13"/>
  <c r="AN10" i="13"/>
  <c r="K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F5" i="5"/>
  <c r="K85" i="1" l="1"/>
  <c r="M85" i="1" s="1"/>
  <c r="K84" i="1"/>
  <c r="M84" i="1" s="1"/>
  <c r="AO14" i="13"/>
  <c r="AO12" i="13"/>
  <c r="AO13" i="13"/>
  <c r="AQ15" i="13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L5" i="14"/>
  <c r="M5" i="14" s="1"/>
  <c r="AC11" i="2" l="1"/>
  <c r="M60" i="5"/>
  <c r="M61" i="5" s="1"/>
  <c r="AM14" i="13"/>
  <c r="AN14" i="13"/>
  <c r="AL14" i="13"/>
  <c r="AI14" i="13"/>
  <c r="AZ14" i="13" s="1"/>
  <c r="AJ14" i="13"/>
  <c r="AK14" i="13"/>
  <c r="AS14" i="13" s="1"/>
  <c r="K98" i="13"/>
  <c r="AM13" i="13"/>
  <c r="AN13" i="13"/>
  <c r="AL13" i="13"/>
  <c r="AJ13" i="13"/>
  <c r="AK13" i="13"/>
  <c r="AI13" i="13"/>
  <c r="AN12" i="13"/>
  <c r="AM12" i="13"/>
  <c r="BA12" i="13" s="1"/>
  <c r="AL12" i="13"/>
  <c r="AI12" i="13"/>
  <c r="K97" i="13"/>
  <c r="AK12" i="13"/>
  <c r="R23" i="4"/>
  <c r="L57" i="14"/>
  <c r="M57" i="14" s="1"/>
  <c r="M33" i="14"/>
  <c r="K100" i="13" l="1"/>
  <c r="AZ13" i="13"/>
  <c r="BB12" i="13"/>
  <c r="AS13" i="13"/>
  <c r="AQ13" i="13"/>
  <c r="AR12" i="13"/>
  <c r="AZ12" i="13"/>
  <c r="AQ12" i="13"/>
  <c r="AS12" i="13"/>
  <c r="BA14" i="13"/>
  <c r="AR14" i="13"/>
  <c r="BB13" i="13"/>
  <c r="AR13" i="13"/>
  <c r="BA13" i="13"/>
  <c r="BB14" i="13"/>
  <c r="AQ14" i="13"/>
  <c r="AJ10" i="13"/>
  <c r="AS10" i="13"/>
  <c r="AL10" i="13"/>
  <c r="N95" i="13"/>
  <c r="P40" i="2"/>
  <c r="AC38" i="7" s="1"/>
  <c r="Q40" i="2"/>
  <c r="AB38" i="7" s="1"/>
  <c r="AD38" i="7"/>
  <c r="AE38" i="7"/>
  <c r="AF38" i="7"/>
  <c r="P41" i="2"/>
  <c r="AC39" i="7" s="1"/>
  <c r="Q41" i="2"/>
  <c r="AB39" i="7" s="1"/>
  <c r="AD39" i="7"/>
  <c r="AE39" i="7"/>
  <c r="AF39" i="7"/>
  <c r="P42" i="2"/>
  <c r="AC40" i="7" s="1"/>
  <c r="Q42" i="2"/>
  <c r="AB40" i="7" s="1"/>
  <c r="AD40" i="7"/>
  <c r="AE40" i="7"/>
  <c r="AF40" i="7"/>
  <c r="P43" i="2"/>
  <c r="AC41" i="7" s="1"/>
  <c r="Q43" i="2"/>
  <c r="AB41" i="7" s="1"/>
  <c r="AD41" i="7"/>
  <c r="AE41" i="7"/>
  <c r="AF41" i="7"/>
  <c r="P44" i="2"/>
  <c r="AC42" i="7" s="1"/>
  <c r="Q44" i="2"/>
  <c r="AB42" i="7" s="1"/>
  <c r="AD42" i="7"/>
  <c r="AE42" i="7"/>
  <c r="AF42" i="7"/>
  <c r="P45" i="2"/>
  <c r="AC43" i="7" s="1"/>
  <c r="Q45" i="2"/>
  <c r="AB43" i="7" s="1"/>
  <c r="AD43" i="7"/>
  <c r="AE43" i="7"/>
  <c r="AF43" i="7"/>
  <c r="P46" i="2"/>
  <c r="AC44" i="7" s="1"/>
  <c r="Q46" i="2"/>
  <c r="AB44" i="7" s="1"/>
  <c r="AD44" i="7"/>
  <c r="AE44" i="7"/>
  <c r="AF44" i="7"/>
  <c r="P47" i="2"/>
  <c r="AC45" i="7" s="1"/>
  <c r="Q47" i="2"/>
  <c r="AB45" i="7" s="1"/>
  <c r="AD45" i="7"/>
  <c r="AE45" i="7"/>
  <c r="AF45" i="7"/>
  <c r="P48" i="2"/>
  <c r="AC46" i="7" s="1"/>
  <c r="Q48" i="2"/>
  <c r="AB46" i="7" s="1"/>
  <c r="AD46" i="7"/>
  <c r="AE46" i="7"/>
  <c r="AF46" i="7"/>
  <c r="P49" i="2"/>
  <c r="AC47" i="7" s="1"/>
  <c r="Q49" i="2"/>
  <c r="AB47" i="7" s="1"/>
  <c r="AD47" i="7"/>
  <c r="AE47" i="7"/>
  <c r="AF47" i="7"/>
  <c r="P50" i="2"/>
  <c r="AC48" i="7" s="1"/>
  <c r="Q50" i="2"/>
  <c r="AB48" i="7" s="1"/>
  <c r="AD48" i="7"/>
  <c r="AE48" i="7"/>
  <c r="AF48" i="7"/>
  <c r="P51" i="2"/>
  <c r="AC49" i="7" s="1"/>
  <c r="Q51" i="2"/>
  <c r="AB49" i="7" s="1"/>
  <c r="AD49" i="7"/>
  <c r="AE49" i="7"/>
  <c r="AF49" i="7"/>
  <c r="P52" i="2"/>
  <c r="Q52" i="2"/>
  <c r="H15" i="3"/>
  <c r="K15" i="3"/>
  <c r="O18" i="4"/>
  <c r="K14" i="3"/>
  <c r="H14" i="3"/>
  <c r="H10" i="3"/>
  <c r="O26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67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K11" i="13"/>
  <c r="BB11" i="13" s="1"/>
  <c r="AX15" i="13" s="1"/>
  <c r="K5" i="5"/>
  <c r="N5" i="5" l="1"/>
  <c r="BB61" i="13"/>
  <c r="BB16" i="13"/>
  <c r="BD10" i="13"/>
  <c r="BE10" i="13" s="1"/>
  <c r="AV14" i="13"/>
  <c r="BE20" i="13" s="1"/>
  <c r="AV12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11" i="13"/>
  <c r="AZ11" i="13"/>
  <c r="AZ61" i="13" s="1"/>
  <c r="AX11" i="13"/>
  <c r="BF13" i="13"/>
  <c r="AS11" i="13"/>
  <c r="L98" i="4"/>
  <c r="AA23" i="4"/>
  <c r="AA24" i="4" s="1"/>
  <c r="AA30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P76" i="4"/>
  <c r="P37" i="2"/>
  <c r="F87" i="1"/>
  <c r="AC79" i="4"/>
  <c r="R49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Q88" i="4"/>
  <c r="P90" i="4"/>
  <c r="Q90" i="4"/>
  <c r="P92" i="4"/>
  <c r="Q92" i="4"/>
  <c r="P94" i="4"/>
  <c r="Q94" i="4"/>
  <c r="S94" i="4"/>
  <c r="V94" i="4" s="1"/>
  <c r="K40" i="5"/>
  <c r="L40" i="5"/>
  <c r="Q68" i="4"/>
  <c r="Q70" i="4"/>
  <c r="Q72" i="4"/>
  <c r="Q74" i="4"/>
  <c r="Q76" i="4"/>
  <c r="Q78" i="4"/>
  <c r="P80" i="4"/>
  <c r="Q80" i="4"/>
  <c r="P82" i="4"/>
  <c r="Q82" i="4"/>
  <c r="P84" i="4"/>
  <c r="Q84" i="4"/>
  <c r="P86" i="4"/>
  <c r="Q86" i="4"/>
  <c r="F51" i="5"/>
  <c r="F52" i="5"/>
  <c r="F53" i="5"/>
  <c r="F54" i="5"/>
  <c r="F55" i="5"/>
  <c r="F56" i="5"/>
  <c r="F57" i="5"/>
  <c r="F58" i="5"/>
  <c r="F59" i="5"/>
  <c r="F60" i="5"/>
  <c r="F61" i="5"/>
  <c r="F62" i="5"/>
  <c r="F45" i="5"/>
  <c r="F46" i="5"/>
  <c r="F47" i="5"/>
  <c r="F48" i="5"/>
  <c r="F49" i="5"/>
  <c r="F50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F43" i="5"/>
  <c r="F42" i="5"/>
  <c r="F44" i="5"/>
  <c r="F41" i="5"/>
  <c r="F38" i="5"/>
  <c r="F39" i="5"/>
  <c r="F40" i="5"/>
  <c r="F35" i="5"/>
  <c r="F34" i="5"/>
  <c r="Q7" i="2"/>
  <c r="T7" i="2"/>
  <c r="K66" i="1"/>
  <c r="M66" i="1" s="1"/>
  <c r="K67" i="1"/>
  <c r="M67" i="1" s="1"/>
  <c r="M40" i="12" l="1"/>
  <c r="M43" i="12" s="1"/>
  <c r="K33" i="8"/>
  <c r="M11" i="8"/>
  <c r="N6" i="8"/>
  <c r="I11" i="7"/>
  <c r="N11" i="8"/>
  <c r="M13" i="12"/>
  <c r="M6" i="8"/>
  <c r="M9" i="12"/>
  <c r="AS60" i="13"/>
  <c r="AQ60" i="13"/>
  <c r="AI63" i="13" s="1"/>
  <c r="AZ16" i="13"/>
  <c r="BE22" i="13"/>
  <c r="AW13" i="13"/>
  <c r="AV15" i="13"/>
  <c r="AV13" i="13"/>
  <c r="BD13" i="13"/>
  <c r="BD14" i="13" s="1"/>
  <c r="AV11" i="13"/>
  <c r="BF14" i="13"/>
  <c r="BF10" i="13"/>
  <c r="BG10" i="13"/>
  <c r="K41" i="5"/>
  <c r="L41" i="5" s="1"/>
  <c r="P96" i="4" s="1"/>
  <c r="K39" i="5"/>
  <c r="L39" i="5" s="1"/>
  <c r="P74" i="4" s="1"/>
  <c r="Z7" i="7"/>
  <c r="S82" i="4"/>
  <c r="V82" i="4" s="1"/>
  <c r="S92" i="4"/>
  <c r="V92" i="4" s="1"/>
  <c r="S80" i="4"/>
  <c r="V80" i="4" s="1"/>
  <c r="S88" i="4"/>
  <c r="V88" i="4" s="1"/>
  <c r="P78" i="4"/>
  <c r="K36" i="5"/>
  <c r="L82" i="1"/>
  <c r="N82" i="1" s="1"/>
  <c r="L76" i="1"/>
  <c r="S86" i="4"/>
  <c r="V86" i="4" s="1"/>
  <c r="S90" i="4"/>
  <c r="V90" i="4" s="1"/>
  <c r="T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K38" i="5"/>
  <c r="K37" i="5"/>
  <c r="S84" i="4"/>
  <c r="V84" i="4" s="1"/>
  <c r="L38" i="5"/>
  <c r="P72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A55" i="4"/>
  <c r="K29" i="8"/>
  <c r="K64" i="1"/>
  <c r="M64" i="1" s="1"/>
  <c r="K65" i="1"/>
  <c r="M65" i="1" s="1"/>
  <c r="U94" i="4" l="1"/>
  <c r="X94" i="4" s="1"/>
  <c r="W94" i="4"/>
  <c r="T90" i="4"/>
  <c r="W90" i="4" s="1"/>
  <c r="T88" i="4"/>
  <c r="W88" i="4" s="1"/>
  <c r="T80" i="4"/>
  <c r="W80" i="4" s="1"/>
  <c r="T92" i="4"/>
  <c r="W92" i="4" s="1"/>
  <c r="T86" i="4"/>
  <c r="W86" i="4" s="1"/>
  <c r="N74" i="1"/>
  <c r="N76" i="1"/>
  <c r="T82" i="4"/>
  <c r="W82" i="4" s="1"/>
  <c r="T84" i="4"/>
  <c r="W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F30" i="5"/>
  <c r="F31" i="5"/>
  <c r="F32" i="5"/>
  <c r="F33" i="5"/>
  <c r="K33" i="5" s="1"/>
  <c r="F36" i="5"/>
  <c r="F37" i="5"/>
  <c r="I6" i="1"/>
  <c r="R8" i="11" l="1"/>
  <c r="S8" i="11" s="1"/>
  <c r="T8" i="11" s="1"/>
  <c r="AG50" i="7"/>
  <c r="U88" i="4"/>
  <c r="X88" i="4" s="1"/>
  <c r="U86" i="4"/>
  <c r="X86" i="4" s="1"/>
  <c r="U90" i="4"/>
  <c r="X90" i="4" s="1"/>
  <c r="U92" i="4"/>
  <c r="X92" i="4" s="1"/>
  <c r="U84" i="4"/>
  <c r="X84" i="4" s="1"/>
  <c r="U82" i="4"/>
  <c r="X82" i="4" s="1"/>
  <c r="U80" i="4"/>
  <c r="X80" i="4" s="1"/>
  <c r="K34" i="5"/>
  <c r="L34" i="5" s="1"/>
  <c r="P64" i="4" s="1"/>
  <c r="N64" i="1"/>
  <c r="Q48" i="4"/>
  <c r="Q50" i="4"/>
  <c r="Q54" i="4"/>
  <c r="Q56" i="4"/>
  <c r="Q58" i="4"/>
  <c r="Q60" i="4"/>
  <c r="Q62" i="4"/>
  <c r="Q64" i="4"/>
  <c r="Q66" i="4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M12" i="8" l="1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S11" i="11"/>
  <c r="T11" i="11" s="1"/>
  <c r="M8" i="8"/>
  <c r="S54" i="4"/>
  <c r="V54" i="4" s="1"/>
  <c r="S50" i="4"/>
  <c r="V50" i="4" s="1"/>
  <c r="S52" i="4"/>
  <c r="V52" i="4" s="1"/>
  <c r="S48" i="4"/>
  <c r="S60" i="4"/>
  <c r="S46" i="4"/>
  <c r="V46" i="4" s="1"/>
  <c r="S58" i="4"/>
  <c r="V58" i="4" s="1"/>
  <c r="S56" i="4"/>
  <c r="V56" i="4" s="1"/>
  <c r="AA51" i="7"/>
  <c r="T60" i="4" l="1"/>
  <c r="V60" i="4"/>
  <c r="T48" i="4"/>
  <c r="W48" i="4" s="1"/>
  <c r="V48" i="4"/>
  <c r="M16" i="8"/>
  <c r="N16" i="8"/>
  <c r="U8" i="11"/>
  <c r="K51" i="7"/>
  <c r="N43" i="8"/>
  <c r="O43" i="8" s="1"/>
  <c r="M43" i="8" s="1"/>
  <c r="AA9" i="8"/>
  <c r="L44" i="8"/>
  <c r="T56" i="4"/>
  <c r="W56" i="4" s="1"/>
  <c r="I51" i="7"/>
  <c r="K43" i="8"/>
  <c r="K44" i="8" s="1"/>
  <c r="T46" i="4"/>
  <c r="W46" i="4" s="1"/>
  <c r="T54" i="4"/>
  <c r="W54" i="4" s="1"/>
  <c r="T52" i="4"/>
  <c r="T50" i="4"/>
  <c r="W50" i="4" s="1"/>
  <c r="T58" i="4"/>
  <c r="U52" i="4" l="1"/>
  <c r="X52" i="4" s="1"/>
  <c r="W52" i="4"/>
  <c r="U58" i="4"/>
  <c r="X58" i="4" s="1"/>
  <c r="W58" i="4"/>
  <c r="U60" i="4"/>
  <c r="X60" i="4" s="1"/>
  <c r="W60" i="4"/>
  <c r="U46" i="4"/>
  <c r="X46" i="4" s="1"/>
  <c r="AA11" i="8"/>
  <c r="AA10" i="8"/>
  <c r="AA12" i="8"/>
  <c r="U54" i="4"/>
  <c r="X54" i="4" s="1"/>
  <c r="U56" i="4"/>
  <c r="X56" i="4" s="1"/>
  <c r="U50" i="4"/>
  <c r="X50" i="4" s="1"/>
  <c r="U48" i="4"/>
  <c r="X48" i="4" s="1"/>
  <c r="AF7" i="7"/>
  <c r="AE7" i="7"/>
  <c r="F15" i="5"/>
  <c r="K15" i="5" s="1"/>
  <c r="N15" i="5" s="1"/>
  <c r="L36" i="5"/>
  <c r="P68" i="4" s="1"/>
  <c r="K32" i="5"/>
  <c r="L32" i="5" s="1"/>
  <c r="K31" i="5"/>
  <c r="K30" i="5"/>
  <c r="L30" i="5" s="1"/>
  <c r="F29" i="5"/>
  <c r="K29" i="5" s="1"/>
  <c r="F28" i="5"/>
  <c r="K28" i="5" s="1"/>
  <c r="L28" i="5" s="1"/>
  <c r="F27" i="5"/>
  <c r="K27" i="5" s="1"/>
  <c r="N27" i="5" s="1"/>
  <c r="F26" i="5"/>
  <c r="K26" i="5" s="1"/>
  <c r="F25" i="5"/>
  <c r="K25" i="5" s="1"/>
  <c r="K24" i="5"/>
  <c r="Q44" i="4" s="1"/>
  <c r="F23" i="5"/>
  <c r="K23" i="5" s="1"/>
  <c r="F22" i="5"/>
  <c r="K22" i="5" s="1"/>
  <c r="Q40" i="4" s="1"/>
  <c r="F21" i="5"/>
  <c r="K21" i="5" s="1"/>
  <c r="Q38" i="4" s="1"/>
  <c r="F20" i="5"/>
  <c r="K20" i="5" s="1"/>
  <c r="F19" i="5"/>
  <c r="K19" i="5" s="1"/>
  <c r="F18" i="5"/>
  <c r="K18" i="5" s="1"/>
  <c r="F17" i="5"/>
  <c r="K17" i="5" s="1"/>
  <c r="F16" i="5"/>
  <c r="K16" i="5" s="1"/>
  <c r="F14" i="5"/>
  <c r="K14" i="5" s="1"/>
  <c r="F13" i="5"/>
  <c r="K13" i="5" s="1"/>
  <c r="N13" i="5" s="1"/>
  <c r="F12" i="5"/>
  <c r="K12" i="5" s="1"/>
  <c r="F11" i="5"/>
  <c r="K11" i="5" s="1"/>
  <c r="F10" i="5"/>
  <c r="K10" i="5" s="1"/>
  <c r="F9" i="5"/>
  <c r="K9" i="5" s="1"/>
  <c r="F8" i="5"/>
  <c r="K8" i="5" s="1"/>
  <c r="F7" i="5"/>
  <c r="K7" i="5" s="1"/>
  <c r="F6" i="5"/>
  <c r="K6" i="5" s="1"/>
  <c r="L6" i="5" s="1"/>
  <c r="L14" i="5" l="1"/>
  <c r="N14" i="5"/>
  <c r="L16" i="5"/>
  <c r="N16" i="5"/>
  <c r="Q28" i="4"/>
  <c r="N17" i="5"/>
  <c r="Q30" i="4"/>
  <c r="L18" i="5"/>
  <c r="Q32" i="4"/>
  <c r="N18" i="5"/>
  <c r="N19" i="5"/>
  <c r="Q34" i="4"/>
  <c r="Q36" i="4"/>
  <c r="N20" i="5"/>
  <c r="N6" i="5"/>
  <c r="K57" i="5"/>
  <c r="J25" i="7"/>
  <c r="L25" i="7" s="1"/>
  <c r="N23" i="5"/>
  <c r="Q42" i="4"/>
  <c r="N7" i="5"/>
  <c r="Q9" i="4"/>
  <c r="I9" i="4" s="1"/>
  <c r="L8" i="5"/>
  <c r="J27" i="7" s="1"/>
  <c r="L27" i="7" s="1"/>
  <c r="N8" i="5"/>
  <c r="N25" i="5"/>
  <c r="Q46" i="4"/>
  <c r="N9" i="5"/>
  <c r="Q13" i="4"/>
  <c r="L10" i="5"/>
  <c r="N10" i="5"/>
  <c r="Q15" i="4"/>
  <c r="N11" i="5"/>
  <c r="Q17" i="4"/>
  <c r="L12" i="5"/>
  <c r="N12" i="5"/>
  <c r="L26" i="5"/>
  <c r="N26" i="5"/>
  <c r="L24" i="5"/>
  <c r="P44" i="4" s="1"/>
  <c r="N24" i="5"/>
  <c r="L22" i="5"/>
  <c r="N22" i="5"/>
  <c r="N21" i="5"/>
  <c r="L20" i="5"/>
  <c r="Q5" i="4"/>
  <c r="E28" i="7"/>
  <c r="L7" i="5"/>
  <c r="J26" i="7" s="1"/>
  <c r="L26" i="7" s="1"/>
  <c r="E34" i="7"/>
  <c r="L9" i="5"/>
  <c r="J28" i="7" s="1"/>
  <c r="L28" i="7" s="1"/>
  <c r="L11" i="5"/>
  <c r="M16" i="5"/>
  <c r="L19" i="5"/>
  <c r="Q19" i="4"/>
  <c r="L21" i="5"/>
  <c r="Q21" i="4"/>
  <c r="L29" i="5"/>
  <c r="L15" i="5"/>
  <c r="L25" i="5"/>
  <c r="P46" i="4" s="1"/>
  <c r="E36" i="7"/>
  <c r="L13" i="5"/>
  <c r="E32" i="7"/>
  <c r="L17" i="5"/>
  <c r="L27" i="5"/>
  <c r="M14" i="5"/>
  <c r="M28" i="7" s="1"/>
  <c r="L23" i="5"/>
  <c r="P42" i="4" s="1"/>
  <c r="Q23" i="4"/>
  <c r="L33" i="5"/>
  <c r="P62" i="4" s="1"/>
  <c r="L37" i="5"/>
  <c r="L31" i="5"/>
  <c r="L5" i="5"/>
  <c r="J24" i="7" s="1"/>
  <c r="L24" i="7" s="1"/>
  <c r="I11" i="4" l="1"/>
  <c r="I7" i="4"/>
  <c r="M6" i="5"/>
  <c r="M20" i="7" s="1"/>
  <c r="I5" i="4"/>
  <c r="P9" i="4"/>
  <c r="L57" i="5"/>
  <c r="L58" i="5" s="1"/>
  <c r="M5" i="5"/>
  <c r="P15" i="4"/>
  <c r="O16" i="4" s="1"/>
  <c r="M20" i="5"/>
  <c r="N34" i="7" s="1"/>
  <c r="P36" i="4"/>
  <c r="O36" i="4" s="1"/>
  <c r="M21" i="5"/>
  <c r="N35" i="7" s="1"/>
  <c r="P38" i="4"/>
  <c r="O38" i="4" s="1"/>
  <c r="M22" i="5"/>
  <c r="N36" i="7" s="1"/>
  <c r="P40" i="4"/>
  <c r="O40" i="4" s="1"/>
  <c r="M18" i="5"/>
  <c r="N32" i="7" s="1"/>
  <c r="P32" i="4"/>
  <c r="O32" i="4" s="1"/>
  <c r="M19" i="5"/>
  <c r="P34" i="4"/>
  <c r="O34" i="4" s="1"/>
  <c r="P11" i="4"/>
  <c r="M10" i="5"/>
  <c r="M24" i="7" s="1"/>
  <c r="M8" i="5"/>
  <c r="M22" i="7" s="1"/>
  <c r="P30" i="4"/>
  <c r="O30" i="4" s="1"/>
  <c r="N30" i="7"/>
  <c r="M30" i="7"/>
  <c r="P28" i="4"/>
  <c r="O26" i="4" s="1"/>
  <c r="E24" i="7"/>
  <c r="P17" i="4"/>
  <c r="P13" i="4"/>
  <c r="P7" i="4"/>
  <c r="P23" i="4"/>
  <c r="M12" i="5"/>
  <c r="M26" i="7" s="1"/>
  <c r="M27" i="5"/>
  <c r="N41" i="7" s="1"/>
  <c r="M26" i="5"/>
  <c r="N40" i="7" s="1"/>
  <c r="M25" i="5"/>
  <c r="N39" i="7" s="1"/>
  <c r="M24" i="5"/>
  <c r="N38" i="7" s="1"/>
  <c r="E26" i="7"/>
  <c r="M23" i="5"/>
  <c r="N37" i="7" s="1"/>
  <c r="N57" i="5"/>
  <c r="N58" i="5" s="1"/>
  <c r="K58" i="5"/>
  <c r="J67" i="13" s="1"/>
  <c r="J71" i="13" s="1"/>
  <c r="N18" i="7"/>
  <c r="N16" i="7"/>
  <c r="N28" i="7"/>
  <c r="P70" i="4"/>
  <c r="N8" i="7"/>
  <c r="M13" i="5"/>
  <c r="M27" i="7" s="1"/>
  <c r="P5" i="4"/>
  <c r="M17" i="5"/>
  <c r="M15" i="5"/>
  <c r="M29" i="7" s="1"/>
  <c r="M11" i="5"/>
  <c r="M25" i="7" s="1"/>
  <c r="M7" i="5"/>
  <c r="M21" i="7" s="1"/>
  <c r="M9" i="5"/>
  <c r="M23" i="7" s="1"/>
  <c r="P98" i="4" l="1"/>
  <c r="L59" i="5"/>
  <c r="P54" i="4" s="1"/>
  <c r="N20" i="7"/>
  <c r="M57" i="5"/>
  <c r="M19" i="7"/>
  <c r="N22" i="7"/>
  <c r="N10" i="7"/>
  <c r="M31" i="7"/>
  <c r="N24" i="7"/>
  <c r="N12" i="7"/>
  <c r="O14" i="4"/>
  <c r="N26" i="7"/>
  <c r="N14" i="7"/>
  <c r="O23" i="4"/>
  <c r="N17" i="7"/>
  <c r="N29" i="7"/>
  <c r="I67" i="13"/>
  <c r="N15" i="7"/>
  <c r="N27" i="7"/>
  <c r="N13" i="7"/>
  <c r="N25" i="7"/>
  <c r="N23" i="7"/>
  <c r="N9" i="7"/>
  <c r="N21" i="7"/>
  <c r="N11" i="7"/>
  <c r="N19" i="7"/>
  <c r="N31" i="7"/>
  <c r="N7" i="7"/>
  <c r="N33" i="7"/>
  <c r="AB12" i="4"/>
  <c r="AB11" i="4"/>
  <c r="AB10" i="4"/>
  <c r="AA25" i="4" s="1"/>
  <c r="AA26" i="4" s="1"/>
  <c r="AF37" i="7"/>
  <c r="AE37" i="7"/>
  <c r="AD37" i="7"/>
  <c r="Q39" i="2"/>
  <c r="AB37" i="7" s="1"/>
  <c r="P39" i="2"/>
  <c r="AC37" i="7" s="1"/>
  <c r="AF36" i="7"/>
  <c r="AE36" i="7"/>
  <c r="AD36" i="7"/>
  <c r="Q38" i="2"/>
  <c r="AB36" i="7" s="1"/>
  <c r="P38" i="2"/>
  <c r="AC36" i="7" s="1"/>
  <c r="AF35" i="7"/>
  <c r="AE35" i="7"/>
  <c r="AD35" i="7"/>
  <c r="Q37" i="2"/>
  <c r="AB35" i="7" s="1"/>
  <c r="AC35" i="7"/>
  <c r="AF34" i="7"/>
  <c r="AE34" i="7"/>
  <c r="AD34" i="7"/>
  <c r="Q36" i="2"/>
  <c r="AB34" i="7" s="1"/>
  <c r="P36" i="2"/>
  <c r="AC34" i="7" s="1"/>
  <c r="AF33" i="7"/>
  <c r="AE33" i="7"/>
  <c r="AD33" i="7"/>
  <c r="Q35" i="2"/>
  <c r="AB33" i="7" s="1"/>
  <c r="P35" i="2"/>
  <c r="AC33" i="7" s="1"/>
  <c r="O35" i="2"/>
  <c r="AF32" i="7"/>
  <c r="AE32" i="7"/>
  <c r="AD32" i="7"/>
  <c r="Q34" i="2"/>
  <c r="AB32" i="7" s="1"/>
  <c r="P34" i="2"/>
  <c r="AC32" i="7" s="1"/>
  <c r="O34" i="2"/>
  <c r="AF31" i="7"/>
  <c r="AE31" i="7"/>
  <c r="AD31" i="7"/>
  <c r="Q33" i="2"/>
  <c r="AB31" i="7" s="1"/>
  <c r="P33" i="2"/>
  <c r="AC31" i="7" s="1"/>
  <c r="O33" i="2"/>
  <c r="T32" i="2"/>
  <c r="AF30" i="7" s="1"/>
  <c r="AE30" i="7"/>
  <c r="AD30" i="7"/>
  <c r="Q32" i="2"/>
  <c r="AB30" i="7" s="1"/>
  <c r="P32" i="2"/>
  <c r="AC30" i="7" s="1"/>
  <c r="O32" i="2"/>
  <c r="T31" i="2"/>
  <c r="AF29" i="7" s="1"/>
  <c r="AE29" i="7"/>
  <c r="AD29" i="7"/>
  <c r="Q31" i="2"/>
  <c r="AB29" i="7" s="1"/>
  <c r="P31" i="2"/>
  <c r="AC29" i="7" s="1"/>
  <c r="O31" i="2"/>
  <c r="T30" i="2"/>
  <c r="AF28" i="7" s="1"/>
  <c r="AE28" i="7"/>
  <c r="AD28" i="7"/>
  <c r="Q30" i="2"/>
  <c r="AB28" i="7" s="1"/>
  <c r="P30" i="2"/>
  <c r="AC28" i="7" s="1"/>
  <c r="O30" i="2"/>
  <c r="T29" i="2"/>
  <c r="AF27" i="7" s="1"/>
  <c r="AE27" i="7"/>
  <c r="AD27" i="7"/>
  <c r="Q29" i="2"/>
  <c r="AB27" i="7" s="1"/>
  <c r="P29" i="2"/>
  <c r="AC27" i="7" s="1"/>
  <c r="O29" i="2"/>
  <c r="T28" i="2"/>
  <c r="AF26" i="7" s="1"/>
  <c r="AE26" i="7"/>
  <c r="AD26" i="7"/>
  <c r="Q28" i="2"/>
  <c r="AB26" i="7" s="1"/>
  <c r="P28" i="2"/>
  <c r="AC26" i="7" s="1"/>
  <c r="O28" i="2"/>
  <c r="T27" i="2"/>
  <c r="AF25" i="7" s="1"/>
  <c r="AE25" i="7"/>
  <c r="AD25" i="7"/>
  <c r="Q27" i="2"/>
  <c r="AB25" i="7" s="1"/>
  <c r="P27" i="2"/>
  <c r="AC25" i="7" s="1"/>
  <c r="O27" i="2"/>
  <c r="T26" i="2"/>
  <c r="AF24" i="7" s="1"/>
  <c r="AE24" i="7"/>
  <c r="AD24" i="7"/>
  <c r="Q26" i="2"/>
  <c r="AB24" i="7" s="1"/>
  <c r="P26" i="2"/>
  <c r="AC24" i="7" s="1"/>
  <c r="T25" i="2"/>
  <c r="AF23" i="7" s="1"/>
  <c r="AE23" i="7"/>
  <c r="AD23" i="7"/>
  <c r="Q25" i="2"/>
  <c r="AB23" i="7" s="1"/>
  <c r="P25" i="2"/>
  <c r="AC23" i="7" s="1"/>
  <c r="O25" i="2"/>
  <c r="T24" i="2"/>
  <c r="AF22" i="7" s="1"/>
  <c r="AE22" i="7"/>
  <c r="AD22" i="7"/>
  <c r="Q24" i="2"/>
  <c r="AB22" i="7" s="1"/>
  <c r="P24" i="2"/>
  <c r="AC22" i="7" s="1"/>
  <c r="O24" i="2"/>
  <c r="T23" i="2"/>
  <c r="AF21" i="7" s="1"/>
  <c r="AE21" i="7"/>
  <c r="AD21" i="7"/>
  <c r="Q23" i="2"/>
  <c r="AB21" i="7" s="1"/>
  <c r="P23" i="2"/>
  <c r="AC21" i="7" s="1"/>
  <c r="O23" i="2"/>
  <c r="T22" i="2"/>
  <c r="AF20" i="7" s="1"/>
  <c r="AE20" i="7"/>
  <c r="AD20" i="7"/>
  <c r="Q22" i="2"/>
  <c r="AB20" i="7" s="1"/>
  <c r="P22" i="2"/>
  <c r="AC20" i="7" s="1"/>
  <c r="O22" i="2"/>
  <c r="T21" i="2"/>
  <c r="AF19" i="7" s="1"/>
  <c r="AE19" i="7"/>
  <c r="AD19" i="7"/>
  <c r="Q21" i="2"/>
  <c r="AB19" i="7" s="1"/>
  <c r="P21" i="2"/>
  <c r="AC19" i="7" s="1"/>
  <c r="O21" i="2"/>
  <c r="T20" i="2"/>
  <c r="AF18" i="7" s="1"/>
  <c r="AE18" i="7"/>
  <c r="AD18" i="7"/>
  <c r="Q20" i="2"/>
  <c r="AB18" i="7" s="1"/>
  <c r="P20" i="2"/>
  <c r="AC18" i="7" s="1"/>
  <c r="O20" i="2"/>
  <c r="T19" i="2"/>
  <c r="AF17" i="7" s="1"/>
  <c r="AE17" i="7"/>
  <c r="AD17" i="7"/>
  <c r="Q19" i="2"/>
  <c r="AB17" i="7" s="1"/>
  <c r="P19" i="2"/>
  <c r="AC17" i="7" s="1"/>
  <c r="O19" i="2"/>
  <c r="T18" i="2"/>
  <c r="AF16" i="7" s="1"/>
  <c r="AE16" i="7"/>
  <c r="AD16" i="7"/>
  <c r="Q18" i="2"/>
  <c r="AB16" i="7" s="1"/>
  <c r="P18" i="2"/>
  <c r="AC16" i="7" s="1"/>
  <c r="O18" i="2"/>
  <c r="T17" i="2"/>
  <c r="AF15" i="7" s="1"/>
  <c r="AE15" i="7"/>
  <c r="AD15" i="7"/>
  <c r="Q17" i="2"/>
  <c r="AB15" i="7" s="1"/>
  <c r="AC15" i="7"/>
  <c r="O17" i="2"/>
  <c r="T16" i="2"/>
  <c r="AF14" i="7" s="1"/>
  <c r="AE14" i="7"/>
  <c r="AD14" i="7"/>
  <c r="Q16" i="2"/>
  <c r="AB14" i="7" s="1"/>
  <c r="P16" i="2"/>
  <c r="AC14" i="7" s="1"/>
  <c r="O16" i="2"/>
  <c r="T15" i="2"/>
  <c r="AF13" i="7" s="1"/>
  <c r="AE13" i="7"/>
  <c r="AD13" i="7"/>
  <c r="Q15" i="2"/>
  <c r="AB13" i="7" s="1"/>
  <c r="P15" i="2"/>
  <c r="AC13" i="7" s="1"/>
  <c r="O15" i="2"/>
  <c r="T13" i="2"/>
  <c r="AF12" i="7" s="1"/>
  <c r="AE12" i="7"/>
  <c r="AD12" i="7"/>
  <c r="Q13" i="2"/>
  <c r="AB12" i="7" s="1"/>
  <c r="P13" i="2"/>
  <c r="AC12" i="7" s="1"/>
  <c r="T11" i="2"/>
  <c r="AF11" i="7" s="1"/>
  <c r="AE11" i="7"/>
  <c r="AD11" i="7"/>
  <c r="Q11" i="2"/>
  <c r="AB11" i="7" s="1"/>
  <c r="P11" i="2"/>
  <c r="AC11" i="7" s="1"/>
  <c r="O11" i="2"/>
  <c r="T10" i="2"/>
  <c r="AF10" i="7" s="1"/>
  <c r="AE10" i="7"/>
  <c r="AD10" i="7"/>
  <c r="Q10" i="2"/>
  <c r="AB10" i="7" s="1"/>
  <c r="P10" i="2"/>
  <c r="AC10" i="7" s="1"/>
  <c r="T9" i="2"/>
  <c r="AF9" i="7" s="1"/>
  <c r="AE9" i="7"/>
  <c r="AD9" i="7"/>
  <c r="Q9" i="2"/>
  <c r="AB9" i="7" s="1"/>
  <c r="P9" i="2"/>
  <c r="T8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L11" i="1" l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R67" i="13"/>
  <c r="J76" i="13" s="1"/>
  <c r="I68" i="13"/>
  <c r="M67" i="13" s="1"/>
  <c r="J75" i="13" s="1"/>
  <c r="J77" i="13"/>
  <c r="K67" i="13"/>
  <c r="J74" i="13" s="1"/>
  <c r="C61" i="13"/>
  <c r="C60" i="13"/>
  <c r="J70" i="13"/>
  <c r="N22" i="1"/>
  <c r="C15" i="7" s="1"/>
  <c r="E27" i="7"/>
  <c r="AD8" i="7"/>
  <c r="R53" i="2"/>
  <c r="AB8" i="2" s="1"/>
  <c r="AB11" i="2" s="1"/>
  <c r="AB8" i="7"/>
  <c r="AB51" i="7" s="1"/>
  <c r="Q53" i="2"/>
  <c r="Z8" i="2" s="1"/>
  <c r="Z11" i="2" s="1"/>
  <c r="O53" i="2"/>
  <c r="AE8" i="7"/>
  <c r="S53" i="2"/>
  <c r="AF8" i="7"/>
  <c r="AF50" i="7" s="1"/>
  <c r="T53" i="2"/>
  <c r="AA8" i="2" s="1"/>
  <c r="AA11" i="2" s="1"/>
  <c r="AC9" i="7"/>
  <c r="AC51" i="7" s="1"/>
  <c r="P53" i="2"/>
  <c r="Y11" i="2" s="1"/>
  <c r="L51" i="7"/>
  <c r="AB13" i="4"/>
  <c r="AB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1" i="7" l="1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AB14" i="4"/>
  <c r="AB15" i="4" s="1"/>
  <c r="U53" i="2"/>
  <c r="X8" i="2" s="1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16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S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<sst xmlns="http://schemas.openxmlformats.org/spreadsheetml/2006/main" count="1217" uniqueCount="501">
  <si>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</si>
  <si>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</si>
  <si>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</si>
  <si>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</si>
  <si>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</si>
  <si>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</si>
  <si>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</si>
  <si>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</si>
  <si>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</si>
  <si>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</si>
  <si>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</si>
  <si>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</si>
  <si>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</si>
  <si>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</si>
  <si>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</si>
  <si>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</si>
  <si>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</si>
  <si>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</si>
  <si>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</si>
  <si>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</si>
  <si>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</si>
  <si>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</si>
  <si>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</si>
  <si>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</si>
  <si>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</si>
  <si>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</si>
  <si>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</si>
  <si>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</si>
  <si>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</si>
  <si>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</si>
  <si>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</si>
  <si>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</si>
  <si>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</si>
  <si>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</si>
  <si>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</si>
  <si>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</si>
  <si>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</si>
  <si>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</si>
  <si>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</si>
  <si>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</si>
  <si>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</si>
  <si>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</si>
  <si>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</si>
  <si>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</si>
  <si>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</si>
  <si>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</si>
  <si>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</si>
  <si>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</si>
  <si>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</si>
  <si>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</si>
  <si>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</si>
  <si>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</si>
  <si>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</si>
  <si>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</si>
  <si>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</si>
  <si>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</si>
  <si>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</si>
  <si>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</si>
  <si>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</si>
  <si>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</si>
  <si>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</si>
  <si>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</si>
  <si>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</si>
  <si>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</si>
  <si>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</si>
  <si>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</si>
  <si>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</si>
  <si>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</si>
  <si>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</si>
  <si>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</si>
  <si>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</si>
  <si>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</si>
  <si>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</si>
  <si>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</si>
  <si>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</si>
  <si>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</si>
  <si>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</si>
  <si>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</si>
  <si>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</si>
  <si>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</si>
  <si>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</si>
  <si>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</si>
  <si>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</si>
  <si>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</si>
  <si>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</si>
  <si>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</si>
  <si>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</si>
  <si>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</si>
  <si>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</si>
  <si>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</si>
  <si>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</si>
  <si>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</si>
  <si>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</si>
  <si>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</si>
  <si>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</si>
  <si>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</si>
  <si>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</si>
  <si>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</si>
  <si>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</si>
  <si>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</si>
  <si>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</si>
  <si>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</si>
  <si>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</si>
  <si>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</si>
  <si>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</si>
  <si>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</si>
  <si>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</si>
  <si>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</si>
  <si>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</si>
  <si>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</si>
  <si>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</si>
  <si>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</si>
  <si>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</si>
  <si>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</si>
  <si>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</si>
  <si>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</si>
  <si>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</si>
  <si>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</si>
  <si>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</si>
  <si>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</si>
  <si>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</si>
  <si>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</si>
  <si>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</si>
  <si>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</si>
  <si>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</si>
  <si>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</si>
  <si>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</si>
  <si>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</si>
  <si>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</si>
  <si>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</si>
  <si>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</si>
  <si>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</si>
  <si>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</si>
  <si>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</si>
  <si>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</si>
  <si>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</si>
  <si>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</si>
  <si>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</si>
  <si>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</si>
  <si>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</si>
  <si>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</si>
  <si>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</si>
  <si>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</si>
  <si>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</si>
  <si>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</si>
  <si>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</si>
  <si>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</si>
  <si>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</si>
  <si>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</si>
  <si>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</si>
  <si>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</si>
  <si>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</si>
  <si>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</si>
  <si>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</si>
  <si>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</si>
  <si>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</si>
  <si>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</si>
  <si>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</si>
  <si>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</si>
  <si>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</si>
  <si>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</si>
  <si>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</si>
  <si>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</si>
  <si>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</si>
  <si>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</si>
  <si>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</si>
  <si>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</si>
  <si>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</si>
  <si>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Day 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</si>
  <si>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</si>
  <si>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</si>
  <si>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</si>
  <si>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</si>
  <si>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</si>
  <si>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</si>
  <si>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</si>
  <si>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</si>
  <si>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</si>
  <si>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</si>
  <si>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</si>
  <si>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</si>
  <si>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</si>
  <si>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</si>
  <si>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</si>
  <si>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</si>
  <si>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</si>
  <si>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</si>
  <si>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</si>
  <si>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</si>
  <si>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</si>
  <si>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</si>
  <si>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</si>
  <si>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</si>
  <si>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</si>
  <si>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</si>
  <si>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</si>
  <si>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</si>
  <si>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</si>
  <si>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</si>
  <si>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</si>
  <si>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</si>
  <si>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</si>
  <si>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</si>
  <si>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</si>
  <si>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</si>
  <si>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</si>
  <si>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</si>
  <si>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</si>
  <si>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</si>
  <si>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</si>
  <si>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</si>
  <si>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</si>
  <si>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</si>
  <si>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</si>
  <si>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</si>
  <si>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</si>
  <si>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</si>
  <si>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</si>
  <si>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</si>
  <si>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</si>
  <si>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</si>
  <si>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</si>
  <si>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</si>
  <si>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</si>
  <si>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</si>
  <si>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</si>
  <si>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</si>
  <si>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</si>
  <si>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</si>
  <si>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</si>
  <si>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</si>
  <si>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</si>
  <si>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</si>
  <si>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</si>
  <si>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</si>
  <si>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</si>
  <si>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</si>
  <si>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</si>
  <si>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</si>
  <si>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</si>
  <si>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</si>
  <si>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</si>
  <si>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</si>
  <si>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</si>
  <si>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</si>
  <si>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</si>
  <si>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</si>
  <si>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</si>
  <si>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</si>
  <si>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</si>
  <si>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</si>
  <si>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</si>
  <si>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</si>
  <si>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</si>
  <si>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</si>
  <si>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</si>
  <si>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</si>
  <si>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</si>
  <si>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</si>
  <si>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</si>
  <si>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</si>
  <si>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</si>
  <si>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</si>
  <si>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</si>
  <si>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</si>
  <si>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</si>
  <si>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</si>
  <si>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</si>
  <si>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</si>
  <si>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</si>
  <si>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</si>
  <si>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</si>
  <si>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Filter Press Block dan ada kebocoran 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</si>
  <si>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</si>
  <si>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</si>
  <si>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</si>
  <si>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</si>
  <si>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</si>
  <si>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</si>
  <si>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</si>
  <si>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</si>
  <si>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</si>
  <si>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</si>
  <si>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</si>
  <si>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</si>
  <si>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</si>
  <si>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</si>
  <si>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</si>
  <si>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</si>
  <si>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</si>
  <si>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</si>
  <si>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</si>
  <si>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</si>
  <si>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</si>
  <si>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</si>
  <si>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</si>
  <si>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</si>
  <si>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</si>
  <si>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</si>
  <si>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</si>
  <si>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</si>
  <si>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</si>
  <si>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</si>
  <si>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</si>
  <si>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</si>
  <si>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</si>
  <si>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</si>
  <si>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</si>
  <si>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</si>
  <si>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</si>
  <si>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</si>
  <si>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</si>
  <si>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</si>
  <si>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</si>
  <si>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</si>
  <si>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</si>
  <si>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</si>
  <si>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</si>
  <si>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</si>
  <si>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</si>
  <si>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</si>
  <si>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</si>
  <si>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</si>
  <si>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</si>
  <si>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</si>
  <si>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</si>
  <si>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</si>
  <si>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</si>
  <si>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</si>
  <si>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</si>
  <si>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</si>
  <si>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</si>
  <si>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</si>
  <si>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</si>
  <si>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</si>
  <si>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</si>
  <si>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</si>
  <si>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</si>
  <si>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</si>
  <si>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</si>
  <si>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</si>
  <si>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</si>
  <si>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</si>
  <si>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</si>
  <si>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</si>
  <si>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</si>
  <si>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</si>
  <si>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</si>
  <si>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</si>
  <si>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</si>
  <si>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</si>
  <si>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</si>
  <si>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</si>
  <si>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</si>
  <si>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</si>
  <si>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</si>
  <si>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</si>
  <si>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</si>
  <si>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</si>
  <si>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</si>
  <si>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</si>
  <si>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</si>
  <si>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</si>
  <si>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</si>
  <si>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</si>
  <si>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</si>
  <si>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</si>
  <si>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</si>
  <si>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</si>
  <si>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</si>
  <si>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</si>
  <si>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</si>
  <si>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</si>
  <si>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</si>
  <si>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</si>
  <si>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</si>
  <si>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</si>
  <si>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</si>
  <si>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</si>
  <si>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</si>
  <si>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</si>
  <si>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</si>
  <si>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</si>
  <si>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</si>
  <si>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</si>
  <si>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</si>
  <si>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</si>
  <si>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</si>
  <si>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</si>
  <si>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</si>
  <si>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</si>
  <si>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</si>
  <si>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</si>
  <si>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</si>
  <si>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</si>
  <si>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</si>
  <si>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</si>
  <si>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</si>
  <si>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</si>
  <si>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</si>
  <si>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</si>
  <si>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</si>
  <si>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</si>
  <si>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</si>
  <si>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</si>
  <si>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</si>
  <si>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</si>
  <si>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</si>
  <si>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</si>
  <si>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</si>
  <si>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</si>
  <si>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</si>
  <si>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</si>
  <si>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</si>
  <si>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</si>
  <si>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</si>
  <si>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</si>
  <si>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</si>
  <si>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</si>
  <si>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</si>
  <si>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</si>
  <si>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</si>
  <si>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</si>
  <si>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</si>
  <si>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</si>
  <si>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</si>
  <si>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</si>
  <si>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</si>
  <si>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</si>
  <si>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</si>
  <si>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</si>
  <si>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</si>
  <si>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</si>
  <si>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</si>
  <si>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</si>
  <si>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</si>
  <si>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</si>
  <si>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</si>
  <si>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</si>
  <si>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</si>
  <si>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</si>
  <si>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</si>
  <si>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</si>
  <si>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</si>
  <si>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</si>
  <si>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</si>
  <si>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</si>
  <si>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</si>
  <si>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</si>
  <si>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</si>
  <si>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</si>
  <si>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</si>
  <si>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</si>
  <si>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</si>
  <si>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</si>
  <si>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</si>
  <si>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</si>
  <si>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</si>
  <si>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</si>
  <si>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</si>
  <si>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</si>
  <si>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</si>
  <si>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</si>
  <si>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</si>
  <si>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</si>
  <si>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</si>
  <si>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</si>
  <si>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</si>
  <si>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</si>
  <si>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</si>
  <si>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</si>
  <si>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</si>
  <si>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</si>
  <si>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</si>
  <si>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</si>
  <si>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</si>
  <si>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</si>
  <si>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</si>
  <si>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</si>
  <si>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</si>
  <si>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</si>
  <si>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</si>
  <si>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</si>
  <si>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</si>
  <si>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</si>
  <si>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</si>
  <si>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</si>
  <si>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</si>
  <si>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</si>
  <si>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</si>
  <si>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</si>
  <si>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</si>
  <si>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</si>
  <si>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</si>
  <si>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</si>
  <si>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</si>
  <si>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</si>
  <si>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</si>
  <si>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</si>
  <si>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>LT-Floc NS 5</t>
  </si>
  <si>
    <t>LT-Floc NS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</si>
</sst>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</numFmts>
  <fonts count="6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168" fontId="37" fillId="0" borderId="0" applyFont="0" applyFill="0" applyBorder="0" applyAlignment="0" applyProtection="0"/>
  </cellStyleXfs>
  <cellXfs count="77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4" fontId="0" fillId="2" borderId="0" xfId="0" applyNumberFormat="1" applyFill="1"/>
    <xf numFmtId="0" fontId="37" fillId="2" borderId="12" xfId="0" applyFont="1" applyFill="1" applyBorder="1"/>
    <xf numFmtId="0" fontId="0" fillId="2" borderId="12" xfId="0" applyFill="1" applyBorder="1"/>
    <xf numFmtId="0" fontId="37" fillId="2" borderId="15" xfId="0" applyFont="1" applyFill="1" applyBorder="1" applyAlignment="1">
      <alignment vertical="center"/>
    </xf>
    <xf numFmtId="0" fontId="37" fillId="2" borderId="0" xfId="0" applyFont="1" applyFill="1"/>
    <xf numFmtId="14" fontId="37" fillId="2" borderId="10" xfId="0" applyNumberFormat="1" applyFont="1" applyFill="1" applyBorder="1" applyAlignment="1">
      <alignment horizontal="center" vertical="center"/>
    </xf>
    <xf numFmtId="14" fontId="37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38" fillId="4" borderId="12" xfId="0" applyFont="1" applyFill="1" applyBorder="1" applyAlignment="1">
      <alignment horizontal="center"/>
    </xf>
    <xf numFmtId="0" fontId="38" fillId="3" borderId="12" xfId="0" applyFon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38" fillId="3" borderId="12" xfId="0" applyFont="1" applyFill="1" applyBorder="1"/>
    <xf numFmtId="0" fontId="0" fillId="3" borderId="12" xfId="0" applyFill="1" applyBorder="1"/>
    <xf numFmtId="0" fontId="38" fillId="3" borderId="31" xfId="0" applyFont="1" applyFill="1" applyBorder="1" applyAlignment="1">
      <alignment horizontal="center"/>
    </xf>
    <xf numFmtId="0" fontId="38" fillId="3" borderId="20" xfId="0" applyFont="1" applyFill="1" applyBorder="1" applyAlignment="1">
      <alignment horizontal="center"/>
    </xf>
    <xf numFmtId="0" fontId="37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39" fillId="5" borderId="0" xfId="0" applyFont="1" applyFill="1"/>
    <xf numFmtId="0" fontId="40" fillId="5" borderId="0" xfId="0" applyFont="1" applyFill="1"/>
    <xf numFmtId="0" fontId="37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4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41" fillId="2" borderId="0" xfId="3" applyNumberFormat="1" applyFont="1" applyFill="1"/>
    <xf numFmtId="170" fontId="41" fillId="5" borderId="0" xfId="3" applyNumberFormat="1" applyFont="1" applyFill="1"/>
    <xf numFmtId="14" fontId="37" fillId="2" borderId="28" xfId="0" applyNumberFormat="1" applyFont="1" applyFill="1" applyBorder="1" applyAlignment="1">
      <alignment horizontal="center" vertical="center"/>
    </xf>
    <xf numFmtId="0" fontId="37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37" fillId="2" borderId="12" xfId="0" applyNumberFormat="1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42" fillId="5" borderId="0" xfId="2" applyNumberFormat="1" applyFont="1" applyFill="1"/>
    <xf numFmtId="172" fontId="4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43" fillId="6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8" borderId="12" xfId="0" applyFont="1" applyFill="1" applyBorder="1" applyAlignment="1">
      <alignment horizontal="center" vertical="center"/>
    </xf>
    <xf numFmtId="0" fontId="43" fillId="9" borderId="12" xfId="0" applyFont="1" applyFill="1" applyBorder="1" applyAlignment="1">
      <alignment horizontal="center" vertical="center"/>
    </xf>
    <xf numFmtId="14" fontId="4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43" fillId="7" borderId="20" xfId="0" applyNumberFormat="1" applyFont="1" applyFill="1" applyBorder="1" applyAlignment="1">
      <alignment horizontal="center" vertical="center"/>
    </xf>
    <xf numFmtId="14" fontId="43" fillId="7" borderId="21" xfId="0" applyNumberFormat="1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/>
    </xf>
    <xf numFmtId="0" fontId="45" fillId="11" borderId="12" xfId="0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 vertical="center"/>
    </xf>
    <xf numFmtId="14" fontId="45" fillId="12" borderId="12" xfId="0" applyNumberFormat="1" applyFont="1" applyFill="1" applyBorder="1" applyAlignment="1">
      <alignment horizontal="center" vertical="center"/>
    </xf>
    <xf numFmtId="0" fontId="45" fillId="13" borderId="12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/>
    </xf>
    <xf numFmtId="20" fontId="37" fillId="2" borderId="28" xfId="0" applyNumberFormat="1" applyFont="1" applyFill="1" applyBorder="1" applyAlignment="1">
      <alignment horizontal="center" vertical="center"/>
    </xf>
    <xf numFmtId="1" fontId="3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37" fillId="2" borderId="12" xfId="0" applyFont="1" applyFill="1" applyBorder="1" applyAlignment="1">
      <alignment vertical="center"/>
    </xf>
    <xf numFmtId="0" fontId="3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37" fillId="2" borderId="12" xfId="0" applyNumberFormat="1" applyFont="1" applyFill="1" applyBorder="1" applyAlignment="1">
      <alignment horizontal="center" vertical="center"/>
    </xf>
    <xf numFmtId="0" fontId="38" fillId="3" borderId="12" xfId="0" applyFont="1" applyFill="1" applyBorder="1" applyAlignment="1">
      <alignment horizontal="right"/>
    </xf>
    <xf numFmtId="1" fontId="38" fillId="3" borderId="20" xfId="0" applyNumberFormat="1" applyFont="1" applyFill="1" applyBorder="1" applyAlignment="1">
      <alignment horizontal="right"/>
    </xf>
    <xf numFmtId="9" fontId="3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4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43" fillId="0" borderId="0" xfId="0" applyFont="1"/>
    <xf numFmtId="1" fontId="43" fillId="0" borderId="0" xfId="0" applyNumberFormat="1" applyFont="1" applyAlignment="1">
      <alignment horizontal="center"/>
    </xf>
    <xf numFmtId="0" fontId="43" fillId="0" borderId="0" xfId="0" applyFont="1" applyAlignment="1">
      <alignment horizontal="center"/>
    </xf>
    <xf numFmtId="0" fontId="4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43" fillId="0" borderId="38" xfId="0" applyFont="1" applyBorder="1"/>
    <xf numFmtId="1" fontId="43" fillId="0" borderId="38" xfId="0" applyNumberFormat="1" applyFont="1" applyBorder="1" applyAlignment="1">
      <alignment horizontal="center"/>
    </xf>
    <xf numFmtId="0" fontId="43" fillId="0" borderId="38" xfId="0" applyFont="1" applyBorder="1" applyAlignment="1">
      <alignment horizontal="center"/>
    </xf>
    <xf numFmtId="43" fontId="43" fillId="0" borderId="38" xfId="1" applyFont="1" applyBorder="1" applyAlignment="1">
      <alignment horizontal="center"/>
    </xf>
    <xf numFmtId="0" fontId="43" fillId="0" borderId="39" xfId="0" applyFont="1" applyBorder="1"/>
    <xf numFmtId="0" fontId="45" fillId="0" borderId="0" xfId="0" applyFont="1" applyAlignment="1">
      <alignment wrapText="1"/>
    </xf>
    <xf numFmtId="0" fontId="45" fillId="3" borderId="45" xfId="0" applyFont="1" applyFill="1" applyBorder="1" applyAlignment="1">
      <alignment horizontal="center" vertical="center" wrapText="1"/>
    </xf>
    <xf numFmtId="0" fontId="43" fillId="0" borderId="47" xfId="0" applyFont="1" applyBorder="1"/>
    <xf numFmtId="173" fontId="43" fillId="0" borderId="48" xfId="0" applyNumberFormat="1" applyFont="1" applyBorder="1" applyAlignment="1">
      <alignment horizontal="center"/>
    </xf>
    <xf numFmtId="1" fontId="43" fillId="0" borderId="48" xfId="0" applyNumberFormat="1" applyFont="1" applyBorder="1" applyAlignment="1">
      <alignment horizontal="center"/>
    </xf>
    <xf numFmtId="174" fontId="43" fillId="0" borderId="48" xfId="0" applyNumberFormat="1" applyFont="1" applyBorder="1" applyAlignment="1">
      <alignment horizontal="center"/>
    </xf>
    <xf numFmtId="0" fontId="43" fillId="0" borderId="48" xfId="0" applyFont="1" applyBorder="1"/>
    <xf numFmtId="9" fontId="43" fillId="0" borderId="48" xfId="0" applyNumberFormat="1" applyFont="1" applyBorder="1" applyAlignment="1">
      <alignment horizontal="center"/>
    </xf>
    <xf numFmtId="0" fontId="43" fillId="0" borderId="48" xfId="0" applyFont="1" applyBorder="1" applyAlignment="1">
      <alignment horizontal="center"/>
    </xf>
    <xf numFmtId="9" fontId="43" fillId="0" borderId="48" xfId="2" applyFont="1" applyBorder="1" applyAlignment="1">
      <alignment horizontal="center" vertical="center"/>
    </xf>
    <xf numFmtId="9" fontId="43" fillId="0" borderId="49" xfId="0" applyNumberFormat="1" applyFont="1" applyBorder="1" applyAlignment="1">
      <alignment horizontal="center"/>
    </xf>
    <xf numFmtId="0" fontId="43" fillId="0" borderId="12" xfId="0" applyFont="1" applyBorder="1"/>
    <xf numFmtId="0" fontId="43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44" fillId="2" borderId="12" xfId="0" applyFont="1" applyFill="1" applyBorder="1"/>
    <xf numFmtId="14" fontId="43" fillId="2" borderId="12" xfId="0" applyNumberFormat="1" applyFont="1" applyFill="1" applyBorder="1" applyAlignment="1">
      <alignment horizontal="center" vertical="center"/>
    </xf>
    <xf numFmtId="0" fontId="38" fillId="10" borderId="20" xfId="0" applyFont="1" applyFill="1" applyBorder="1"/>
    <xf numFmtId="0" fontId="38" fillId="10" borderId="28" xfId="0" applyFont="1" applyFill="1" applyBorder="1"/>
    <xf numFmtId="14" fontId="4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38" fillId="16" borderId="12" xfId="0" applyFont="1" applyFill="1" applyBorder="1" applyAlignment="1">
      <alignment horizontal="center"/>
    </xf>
    <xf numFmtId="0" fontId="38" fillId="10" borderId="7" xfId="0" applyFont="1" applyFill="1" applyBorder="1" applyAlignment="1">
      <alignment horizontal="center"/>
    </xf>
    <xf numFmtId="9" fontId="43" fillId="0" borderId="47" xfId="0" applyNumberFormat="1" applyFont="1" applyBorder="1" applyAlignment="1">
      <alignment horizontal="center"/>
    </xf>
    <xf numFmtId="9" fontId="43" fillId="0" borderId="12" xfId="0" applyNumberFormat="1" applyFont="1" applyBorder="1" applyAlignment="1">
      <alignment horizontal="center"/>
    </xf>
    <xf numFmtId="0" fontId="38" fillId="17" borderId="12" xfId="0" applyFont="1" applyFill="1" applyBorder="1" applyAlignment="1">
      <alignment horizontal="center"/>
    </xf>
    <xf numFmtId="0" fontId="3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38" fillId="3" borderId="0" xfId="0" applyFont="1" applyFill="1" applyAlignment="1">
      <alignment horizontal="center"/>
    </xf>
    <xf numFmtId="0" fontId="3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3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53" fillId="18" borderId="12" xfId="0" applyNumberFormat="1" applyFont="1" applyFill="1" applyBorder="1" applyAlignment="1">
      <alignment horizontal="center"/>
    </xf>
    <xf numFmtId="2" fontId="5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3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38" fillId="3" borderId="20" xfId="0" applyNumberFormat="1" applyFont="1" applyFill="1" applyBorder="1" applyAlignment="1">
      <alignment horizontal="right"/>
    </xf>
    <xf numFmtId="0" fontId="53" fillId="18" borderId="7" xfId="0" applyFont="1" applyFill="1" applyBorder="1"/>
    <xf numFmtId="0" fontId="53" fillId="18" borderId="29" xfId="0" applyFont="1" applyFill="1" applyBorder="1"/>
    <xf numFmtId="174" fontId="53" fillId="18" borderId="29" xfId="0" applyNumberFormat="1" applyFont="1" applyFill="1" applyBorder="1" applyAlignment="1">
      <alignment horizontal="center"/>
    </xf>
    <xf numFmtId="0" fontId="54" fillId="2" borderId="0" xfId="0" applyFont="1" applyFill="1"/>
    <xf numFmtId="0" fontId="43" fillId="0" borderId="50" xfId="0" applyFont="1" applyBorder="1" applyAlignment="1">
      <alignment horizontal="center"/>
    </xf>
    <xf numFmtId="176" fontId="43" fillId="0" borderId="48" xfId="0" applyNumberFormat="1" applyFont="1" applyBorder="1" applyAlignment="1">
      <alignment horizontal="center"/>
    </xf>
    <xf numFmtId="176" fontId="43" fillId="0" borderId="50" xfId="0" applyNumberFormat="1" applyFont="1" applyBorder="1" applyAlignment="1">
      <alignment horizontal="center"/>
    </xf>
    <xf numFmtId="0" fontId="37" fillId="2" borderId="7" xfId="0" applyFont="1" applyFill="1" applyBorder="1" applyAlignment="1">
      <alignment horizontal="center" vertical="center"/>
    </xf>
    <xf numFmtId="0" fontId="38" fillId="18" borderId="12" xfId="0" applyFont="1" applyFill="1" applyBorder="1" applyAlignment="1">
      <alignment horizontal="center"/>
    </xf>
    <xf numFmtId="0" fontId="43" fillId="0" borderId="49" xfId="0" applyFont="1" applyBorder="1" applyAlignment="1">
      <alignment horizontal="center"/>
    </xf>
    <xf numFmtId="0" fontId="4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38" fillId="2" borderId="0" xfId="0" applyFont="1" applyFill="1" applyAlignment="1">
      <alignment horizontal="center"/>
    </xf>
    <xf numFmtId="0" fontId="3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35" fillId="2" borderId="28" xfId="0" applyFont="1" applyFill="1" applyBorder="1" applyAlignment="1">
      <alignment horizontal="center" vertical="center"/>
    </xf>
    <xf numFmtId="2" fontId="43" fillId="0" borderId="48" xfId="0" applyNumberFormat="1" applyFont="1" applyBorder="1" applyAlignment="1">
      <alignment horizontal="center"/>
    </xf>
    <xf numFmtId="9" fontId="53" fillId="18" borderId="29" xfId="2" applyFont="1" applyFill="1" applyBorder="1" applyAlignment="1">
      <alignment horizontal="center"/>
    </xf>
    <xf numFmtId="0" fontId="38" fillId="20" borderId="12" xfId="0" applyFont="1" applyFill="1" applyBorder="1"/>
    <xf numFmtId="9" fontId="43" fillId="0" borderId="0" xfId="2" applyFont="1" applyAlignment="1">
      <alignment horizontal="center"/>
    </xf>
    <xf numFmtId="0" fontId="38" fillId="0" borderId="12" xfId="0" applyFont="1" applyBorder="1"/>
    <xf numFmtId="176" fontId="0" fillId="0" borderId="12" xfId="0" applyNumberFormat="1" applyBorder="1"/>
    <xf numFmtId="1" fontId="56" fillId="2" borderId="12" xfId="0" applyNumberFormat="1" applyFont="1" applyFill="1" applyBorder="1"/>
    <xf numFmtId="9" fontId="56" fillId="2" borderId="12" xfId="0" applyNumberFormat="1" applyFont="1" applyFill="1" applyBorder="1"/>
    <xf numFmtId="0" fontId="48" fillId="2" borderId="12" xfId="0" applyFont="1" applyFill="1" applyBorder="1"/>
    <xf numFmtId="1" fontId="45" fillId="3" borderId="45" xfId="0" applyNumberFormat="1" applyFont="1" applyFill="1" applyBorder="1" applyAlignment="1">
      <alignment horizontal="center" vertical="center" wrapText="1"/>
    </xf>
    <xf numFmtId="43" fontId="45" fillId="3" borderId="45" xfId="1" applyFont="1" applyFill="1" applyBorder="1" applyAlignment="1">
      <alignment horizontal="center" vertical="center" wrapText="1"/>
    </xf>
    <xf numFmtId="0" fontId="3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34" fillId="2" borderId="7" xfId="0" applyFont="1" applyFill="1" applyBorder="1" applyAlignment="1">
      <alignment vertical="center"/>
    </xf>
    <xf numFmtId="0" fontId="34" fillId="2" borderId="28" xfId="0" applyFont="1" applyFill="1" applyBorder="1" applyAlignment="1">
      <alignment vertical="center"/>
    </xf>
    <xf numFmtId="20" fontId="3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33" fillId="2" borderId="12" xfId="0" applyFont="1" applyFill="1" applyBorder="1" applyAlignment="1">
      <alignment vertical="center"/>
    </xf>
    <xf numFmtId="0" fontId="33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vertical="center"/>
    </xf>
    <xf numFmtId="0" fontId="32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43" fillId="8" borderId="20" xfId="0" applyFont="1" applyFill="1" applyBorder="1" applyAlignment="1">
      <alignment horizontal="center" vertical="center"/>
    </xf>
    <xf numFmtId="14" fontId="43" fillId="7" borderId="12" xfId="0" applyNumberFormat="1" applyFont="1" applyFill="1" applyBorder="1" applyAlignment="1">
      <alignment horizontal="center" vertical="center"/>
    </xf>
    <xf numFmtId="20" fontId="31" fillId="2" borderId="28" xfId="0" applyNumberFormat="1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vertical="center"/>
    </xf>
    <xf numFmtId="9" fontId="43" fillId="8" borderId="12" xfId="0" applyNumberFormat="1" applyFont="1" applyFill="1" applyBorder="1" applyAlignment="1">
      <alignment horizontal="center" vertical="center"/>
    </xf>
    <xf numFmtId="1" fontId="4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0" fillId="2" borderId="12" xfId="0" applyFont="1" applyFill="1" applyBorder="1" applyAlignment="1">
      <alignment vertical="center"/>
    </xf>
    <xf numFmtId="14" fontId="4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43" fillId="2" borderId="20" xfId="0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vertical="center"/>
    </xf>
    <xf numFmtId="0" fontId="44" fillId="2" borderId="28" xfId="0" applyFont="1" applyFill="1" applyBorder="1"/>
    <xf numFmtId="0" fontId="43" fillId="2" borderId="28" xfId="0" applyFont="1" applyFill="1" applyBorder="1" applyAlignment="1">
      <alignment horizontal="center" vertical="center"/>
    </xf>
    <xf numFmtId="14" fontId="43" fillId="7" borderId="10" xfId="0" applyNumberFormat="1" applyFont="1" applyFill="1" applyBorder="1" applyAlignment="1">
      <alignment vertical="center"/>
    </xf>
    <xf numFmtId="14" fontId="43" fillId="7" borderId="10" xfId="0" applyNumberFormat="1" applyFont="1" applyFill="1" applyBorder="1" applyAlignment="1">
      <alignment horizontal="center" vertical="center"/>
    </xf>
    <xf numFmtId="14" fontId="43" fillId="2" borderId="10" xfId="0" applyNumberFormat="1" applyFont="1" applyFill="1" applyBorder="1" applyAlignment="1">
      <alignment vertical="center"/>
    </xf>
    <xf numFmtId="14" fontId="43" fillId="2" borderId="10" xfId="0" applyNumberFormat="1" applyFont="1" applyFill="1" applyBorder="1" applyAlignment="1">
      <alignment horizontal="center" vertical="center"/>
    </xf>
    <xf numFmtId="0" fontId="43" fillId="2" borderId="10" xfId="0" applyFont="1" applyFill="1" applyBorder="1" applyAlignment="1">
      <alignment horizontal="center" vertical="center"/>
    </xf>
    <xf numFmtId="1" fontId="43" fillId="8" borderId="10" xfId="0" applyNumberFormat="1" applyFont="1" applyFill="1" applyBorder="1" applyAlignment="1">
      <alignment horizontal="center" vertical="center"/>
    </xf>
    <xf numFmtId="0" fontId="43" fillId="8" borderId="10" xfId="0" applyFont="1" applyFill="1" applyBorder="1" applyAlignment="1">
      <alignment horizontal="center" vertical="center"/>
    </xf>
    <xf numFmtId="14" fontId="43" fillId="7" borderId="17" xfId="0" applyNumberFormat="1" applyFont="1" applyFill="1" applyBorder="1" applyAlignment="1">
      <alignment vertical="center"/>
    </xf>
    <xf numFmtId="14" fontId="43" fillId="2" borderId="17" xfId="0" applyNumberFormat="1" applyFont="1" applyFill="1" applyBorder="1" applyAlignment="1">
      <alignment vertical="center"/>
    </xf>
    <xf numFmtId="14" fontId="43" fillId="2" borderId="17" xfId="0" applyNumberFormat="1" applyFont="1" applyFill="1" applyBorder="1" applyAlignment="1">
      <alignment horizontal="center" vertical="center"/>
    </xf>
    <xf numFmtId="0" fontId="4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43" fillId="9" borderId="28" xfId="0" applyFont="1" applyFill="1" applyBorder="1" applyAlignment="1">
      <alignment horizontal="center" vertical="center"/>
    </xf>
    <xf numFmtId="0" fontId="44" fillId="2" borderId="10" xfId="0" applyFont="1" applyFill="1" applyBorder="1"/>
    <xf numFmtId="0" fontId="44" fillId="2" borderId="17" xfId="0" applyFont="1" applyFill="1" applyBorder="1"/>
    <xf numFmtId="0" fontId="0" fillId="2" borderId="17" xfId="0" applyFill="1" applyBorder="1"/>
    <xf numFmtId="0" fontId="43" fillId="9" borderId="17" xfId="0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vertical="center"/>
    </xf>
    <xf numFmtId="0" fontId="29" fillId="2" borderId="12" xfId="0" applyFont="1" applyFill="1" applyBorder="1" applyAlignment="1">
      <alignment horizontal="center" vertical="center"/>
    </xf>
    <xf numFmtId="9" fontId="43" fillId="2" borderId="12" xfId="0" applyNumberFormat="1" applyFont="1" applyFill="1" applyBorder="1" applyAlignment="1">
      <alignment horizontal="center" vertical="center"/>
    </xf>
    <xf numFmtId="1" fontId="43" fillId="8" borderId="28" xfId="0" applyNumberFormat="1" applyFont="1" applyFill="1" applyBorder="1" applyAlignment="1">
      <alignment horizontal="center" vertical="center"/>
    </xf>
    <xf numFmtId="0" fontId="38" fillId="18" borderId="28" xfId="0" applyFont="1" applyFill="1" applyBorder="1" applyAlignment="1">
      <alignment horizontal="center" vertical="center"/>
    </xf>
    <xf numFmtId="0" fontId="3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29" fillId="2" borderId="28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/>
    </xf>
    <xf numFmtId="14" fontId="30" fillId="2" borderId="20" xfId="0" applyNumberFormat="1" applyFont="1" applyFill="1" applyBorder="1" applyAlignment="1">
      <alignment horizontal="center" vertical="center"/>
    </xf>
    <xf numFmtId="0" fontId="37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29" fillId="2" borderId="17" xfId="0" applyNumberFormat="1" applyFon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43" fillId="0" borderId="47" xfId="0" applyNumberFormat="1" applyFont="1" applyBorder="1" applyAlignment="1">
      <alignment horizontal="center"/>
    </xf>
    <xf numFmtId="174" fontId="43" fillId="0" borderId="47" xfId="0" applyNumberFormat="1" applyFont="1" applyBorder="1" applyAlignment="1">
      <alignment horizontal="center"/>
    </xf>
    <xf numFmtId="9" fontId="43" fillId="0" borderId="47" xfId="2" applyFont="1" applyBorder="1" applyAlignment="1">
      <alignment horizontal="center" vertical="center"/>
    </xf>
    <xf numFmtId="1" fontId="43" fillId="0" borderId="12" xfId="0" applyNumberFormat="1" applyFont="1" applyBorder="1" applyAlignment="1">
      <alignment horizontal="center"/>
    </xf>
    <xf numFmtId="174" fontId="43" fillId="0" borderId="12" xfId="0" applyNumberFormat="1" applyFont="1" applyBorder="1" applyAlignment="1">
      <alignment horizontal="center"/>
    </xf>
    <xf numFmtId="0" fontId="43" fillId="0" borderId="12" xfId="0" applyFont="1" applyBorder="1" applyAlignment="1">
      <alignment horizontal="center"/>
    </xf>
    <xf numFmtId="9" fontId="43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37" fillId="2" borderId="20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top" wrapText="1"/>
    </xf>
    <xf numFmtId="0" fontId="3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38" fillId="18" borderId="30" xfId="0" applyFont="1" applyFill="1" applyBorder="1" applyAlignment="1">
      <alignment horizontal="center" vertical="center"/>
    </xf>
    <xf numFmtId="0" fontId="38" fillId="18" borderId="22" xfId="0" applyFont="1" applyFill="1" applyBorder="1" applyAlignment="1">
      <alignment horizontal="center" vertical="center"/>
    </xf>
    <xf numFmtId="1" fontId="38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27" fillId="2" borderId="12" xfId="0" applyFont="1" applyFill="1" applyBorder="1" applyAlignment="1">
      <alignment vertical="center"/>
    </xf>
    <xf numFmtId="0" fontId="27" fillId="2" borderId="12" xfId="0" applyFont="1" applyFill="1" applyBorder="1" applyAlignment="1">
      <alignment horizontal="center" vertical="center"/>
    </xf>
    <xf numFmtId="14" fontId="28" fillId="2" borderId="17" xfId="0" applyNumberFormat="1" applyFont="1" applyFill="1" applyBorder="1" applyAlignment="1">
      <alignment horizontal="center" vertical="center"/>
    </xf>
    <xf numFmtId="0" fontId="28" fillId="2" borderId="17" xfId="0" applyFon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38" fillId="20" borderId="12" xfId="0" applyFont="1" applyFill="1" applyBorder="1" applyAlignment="1">
      <alignment horizontal="center"/>
    </xf>
    <xf numFmtId="0" fontId="38" fillId="18" borderId="20" xfId="0" applyFont="1" applyFill="1" applyBorder="1" applyAlignment="1">
      <alignment horizontal="center" vertical="center"/>
    </xf>
    <xf numFmtId="0" fontId="38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3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26" fillId="2" borderId="12" xfId="0" applyFont="1" applyFill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14" fontId="26" fillId="2" borderId="17" xfId="0" applyNumberFormat="1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38" fillId="4" borderId="12" xfId="0" applyNumberFormat="1" applyFont="1" applyFill="1" applyBorder="1" applyAlignment="1">
      <alignment horizontal="center"/>
    </xf>
    <xf numFmtId="0" fontId="22" fillId="2" borderId="12" xfId="0" applyFont="1" applyFill="1" applyBorder="1" applyAlignment="1">
      <alignment vertical="center"/>
    </xf>
    <xf numFmtId="0" fontId="22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vertical="center"/>
    </xf>
    <xf numFmtId="0" fontId="21" fillId="2" borderId="12" xfId="0" applyFont="1" applyFill="1" applyBorder="1" applyAlignment="1">
      <alignment horizontal="center" vertical="center"/>
    </xf>
    <xf numFmtId="14" fontId="21" fillId="2" borderId="12" xfId="0" applyNumberFormat="1" applyFont="1" applyFill="1" applyBorder="1" applyAlignment="1">
      <alignment horizontal="center" vertical="center"/>
    </xf>
    <xf numFmtId="14" fontId="23" fillId="2" borderId="12" xfId="0" applyNumberFormat="1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3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horizontal="center"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18" fillId="2" borderId="12" xfId="0" applyFont="1" applyFill="1" applyBorder="1" applyAlignment="1">
      <alignment vertical="center"/>
    </xf>
    <xf numFmtId="177" fontId="0" fillId="0" borderId="0" xfId="0" applyNumberFormat="1"/>
    <xf numFmtId="0" fontId="17" fillId="2" borderId="12" xfId="0" applyFont="1" applyFill="1" applyBorder="1" applyAlignment="1">
      <alignment vertical="center"/>
    </xf>
    <xf numFmtId="0" fontId="17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horizontal="center" vertical="center"/>
    </xf>
    <xf numFmtId="14" fontId="16" fillId="2" borderId="12" xfId="0" applyNumberFormat="1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horizontal="center"/>
    </xf>
    <xf numFmtId="1" fontId="38" fillId="2" borderId="12" xfId="0" applyNumberFormat="1" applyFont="1" applyFill="1" applyBorder="1" applyAlignment="1">
      <alignment horizontal="center"/>
    </xf>
    <xf numFmtId="0" fontId="38" fillId="18" borderId="30" xfId="0" applyFont="1" applyFill="1" applyBorder="1" applyAlignment="1">
      <alignment horizontal="center"/>
    </xf>
    <xf numFmtId="0" fontId="38" fillId="18" borderId="32" xfId="0" applyFont="1" applyFill="1" applyBorder="1" applyAlignment="1">
      <alignment horizontal="center"/>
    </xf>
    <xf numFmtId="0" fontId="38" fillId="20" borderId="0" xfId="0" applyFont="1" applyFill="1" applyAlignment="1">
      <alignment horizontal="center"/>
    </xf>
    <xf numFmtId="0" fontId="15" fillId="2" borderId="12" xfId="0" applyFont="1" applyFill="1" applyBorder="1" applyAlignment="1">
      <alignment horizontal="center" vertical="center"/>
    </xf>
    <xf numFmtId="14" fontId="0" fillId="2" borderId="28" xfId="0" applyNumberFormat="1" applyFill="1" applyBorder="1"/>
    <xf numFmtId="0" fontId="38" fillId="4" borderId="12" xfId="0" applyFont="1" applyFill="1" applyBorder="1"/>
    <xf numFmtId="0" fontId="38" fillId="18" borderId="12" xfId="0" applyFont="1" applyFill="1" applyBorder="1"/>
    <xf numFmtId="0" fontId="38" fillId="18" borderId="12" xfId="0" applyFont="1" applyFill="1" applyBorder="1" applyAlignment="1">
      <alignment horizontal="left"/>
    </xf>
    <xf numFmtId="0" fontId="13" fillId="2" borderId="12" xfId="0" applyFont="1" applyFill="1" applyBorder="1"/>
    <xf numFmtId="0" fontId="37" fillId="3" borderId="0" xfId="0" applyFont="1" applyFill="1" applyAlignment="1">
      <alignment horizontal="center"/>
    </xf>
    <xf numFmtId="0" fontId="37" fillId="3" borderId="19" xfId="0" applyFont="1" applyFill="1" applyBorder="1" applyAlignment="1">
      <alignment horizontal="center"/>
    </xf>
    <xf numFmtId="0" fontId="3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13" fillId="2" borderId="2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53" fillId="3" borderId="19" xfId="0" applyFont="1" applyFill="1" applyBorder="1" applyAlignment="1">
      <alignment horizontal="center" vertical="center"/>
    </xf>
    <xf numFmtId="164" fontId="53" fillId="3" borderId="21" xfId="1" applyNumberFormat="1" applyFont="1" applyFill="1" applyBorder="1" applyAlignment="1">
      <alignment horizontal="center" vertical="center"/>
    </xf>
    <xf numFmtId="165" fontId="53" fillId="3" borderId="21" xfId="0" applyNumberFormat="1" applyFont="1" applyFill="1" applyBorder="1" applyAlignment="1">
      <alignment horizontal="center" vertical="center"/>
    </xf>
    <xf numFmtId="9" fontId="53" fillId="3" borderId="21" xfId="2" applyFont="1" applyFill="1" applyBorder="1" applyAlignment="1">
      <alignment horizontal="center" vertical="center"/>
    </xf>
    <xf numFmtId="9" fontId="53" fillId="3" borderId="22" xfId="2" applyFont="1" applyFill="1" applyBorder="1" applyAlignment="1">
      <alignment horizontal="center" vertical="center" wrapText="1"/>
    </xf>
    <xf numFmtId="14" fontId="58" fillId="2" borderId="9" xfId="0" applyNumberFormat="1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vertical="center"/>
    </xf>
    <xf numFmtId="164" fontId="58" fillId="2" borderId="10" xfId="1" applyNumberFormat="1" applyFont="1" applyFill="1" applyBorder="1" applyAlignment="1">
      <alignment horizontal="center" vertical="center"/>
    </xf>
    <xf numFmtId="165" fontId="58" fillId="2" borderId="10" xfId="0" applyNumberFormat="1" applyFont="1" applyFill="1" applyBorder="1" applyAlignment="1">
      <alignment horizontal="center" vertical="center"/>
    </xf>
    <xf numFmtId="9" fontId="58" fillId="2" borderId="10" xfId="2" applyFont="1" applyFill="1" applyBorder="1" applyAlignment="1">
      <alignment horizontal="center" vertical="center"/>
    </xf>
    <xf numFmtId="166" fontId="58" fillId="2" borderId="11" xfId="1" applyNumberFormat="1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" fontId="58" fillId="2" borderId="11" xfId="0" applyNumberFormat="1" applyFont="1" applyFill="1" applyBorder="1" applyAlignment="1">
      <alignment horizontal="center" vertical="center"/>
    </xf>
    <xf numFmtId="164" fontId="58" fillId="2" borderId="10" xfId="0" applyNumberFormat="1" applyFont="1" applyFill="1" applyBorder="1" applyAlignment="1">
      <alignment horizontal="center" vertical="center"/>
    </xf>
    <xf numFmtId="0" fontId="58" fillId="2" borderId="12" xfId="0" applyFont="1" applyFill="1" applyBorder="1"/>
    <xf numFmtId="14" fontId="58" fillId="2" borderId="14" xfId="0" applyNumberFormat="1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vertical="center"/>
    </xf>
    <xf numFmtId="164" fontId="58" fillId="2" borderId="15" xfId="1" applyNumberFormat="1" applyFont="1" applyFill="1" applyBorder="1" applyAlignment="1">
      <alignment horizontal="center" vertical="center"/>
    </xf>
    <xf numFmtId="165" fontId="58" fillId="2" borderId="15" xfId="0" applyNumberFormat="1" applyFont="1" applyFill="1" applyBorder="1" applyAlignment="1">
      <alignment horizontal="center" vertical="center"/>
    </xf>
    <xf numFmtId="9" fontId="58" fillId="2" borderId="15" xfId="2" applyFont="1" applyFill="1" applyBorder="1" applyAlignment="1">
      <alignment horizontal="center" vertical="center"/>
    </xf>
    <xf numFmtId="164" fontId="58" fillId="2" borderId="17" xfId="1" applyNumberFormat="1" applyFont="1" applyFill="1" applyBorder="1" applyAlignment="1">
      <alignment horizontal="center" vertical="center"/>
    </xf>
    <xf numFmtId="166" fontId="58" fillId="2" borderId="16" xfId="1" applyNumberFormat="1" applyFont="1" applyFill="1" applyBorder="1" applyAlignment="1">
      <alignment horizontal="center" vertical="center"/>
    </xf>
    <xf numFmtId="164" fontId="58" fillId="2" borderId="12" xfId="0" applyNumberFormat="1" applyFont="1" applyFill="1" applyBorder="1"/>
    <xf numFmtId="167" fontId="58" fillId="2" borderId="12" xfId="0" applyNumberFormat="1" applyFont="1" applyFill="1" applyBorder="1"/>
    <xf numFmtId="164" fontId="58" fillId="2" borderId="15" xfId="0" applyNumberFormat="1" applyFont="1" applyFill="1" applyBorder="1" applyAlignment="1">
      <alignment horizontal="center" vertical="center"/>
    </xf>
    <xf numFmtId="164" fontId="58" fillId="2" borderId="17" xfId="0" applyNumberFormat="1" applyFont="1" applyFill="1" applyBorder="1" applyAlignment="1">
      <alignment horizontal="center" vertical="center"/>
    </xf>
    <xf numFmtId="166" fontId="58" fillId="2" borderId="12" xfId="0" applyNumberFormat="1" applyFont="1" applyFill="1" applyBorder="1"/>
    <xf numFmtId="0" fontId="58" fillId="2" borderId="17" xfId="0" applyFont="1" applyFill="1" applyBorder="1" applyAlignment="1">
      <alignment vertical="center"/>
    </xf>
    <xf numFmtId="1" fontId="58" fillId="2" borderId="16" xfId="0" applyNumberFormat="1" applyFont="1" applyFill="1" applyBorder="1" applyAlignment="1">
      <alignment horizontal="center" vertical="center"/>
    </xf>
    <xf numFmtId="14" fontId="58" fillId="2" borderId="19" xfId="0" applyNumberFormat="1" applyFont="1" applyFill="1" applyBorder="1" applyAlignment="1">
      <alignment horizontal="center" vertical="center"/>
    </xf>
    <xf numFmtId="0" fontId="58" fillId="2" borderId="20" xfId="0" applyFont="1" applyFill="1" applyBorder="1" applyAlignment="1">
      <alignment vertical="center"/>
    </xf>
    <xf numFmtId="164" fontId="58" fillId="2" borderId="20" xfId="1" applyNumberFormat="1" applyFont="1" applyFill="1" applyBorder="1" applyAlignment="1">
      <alignment horizontal="center" vertical="center"/>
    </xf>
    <xf numFmtId="165" fontId="58" fillId="2" borderId="21" xfId="0" applyNumberFormat="1" applyFont="1" applyFill="1" applyBorder="1" applyAlignment="1">
      <alignment horizontal="center" vertical="center"/>
    </xf>
    <xf numFmtId="9" fontId="58" fillId="2" borderId="21" xfId="2" applyFont="1" applyFill="1" applyBorder="1" applyAlignment="1">
      <alignment horizontal="center" vertical="center"/>
    </xf>
    <xf numFmtId="166" fontId="58" fillId="2" borderId="22" xfId="1" applyNumberFormat="1" applyFont="1" applyFill="1" applyBorder="1" applyAlignment="1">
      <alignment horizontal="center" vertical="center"/>
    </xf>
    <xf numFmtId="1" fontId="58" fillId="2" borderId="22" xfId="0" applyNumberFormat="1" applyFont="1" applyFill="1" applyBorder="1" applyAlignment="1">
      <alignment horizontal="center" vertical="center"/>
    </xf>
    <xf numFmtId="164" fontId="58" fillId="2" borderId="21" xfId="0" applyNumberFormat="1" applyFont="1" applyFill="1" applyBorder="1" applyAlignment="1">
      <alignment horizontal="center" vertical="center"/>
    </xf>
    <xf numFmtId="164" fontId="58" fillId="2" borderId="20" xfId="0" applyNumberFormat="1" applyFont="1" applyFill="1" applyBorder="1" applyAlignment="1">
      <alignment horizontal="center" vertical="center"/>
    </xf>
    <xf numFmtId="164" fontId="58" fillId="2" borderId="23" xfId="0" applyNumberFormat="1" applyFont="1" applyFill="1" applyBorder="1" applyAlignment="1">
      <alignment horizontal="center" vertical="center"/>
    </xf>
    <xf numFmtId="164" fontId="58" fillId="2" borderId="25" xfId="0" applyNumberFormat="1" applyFont="1" applyFill="1" applyBorder="1" applyAlignment="1">
      <alignment horizontal="center" vertical="center"/>
    </xf>
    <xf numFmtId="0" fontId="58" fillId="2" borderId="16" xfId="0" applyFont="1" applyFill="1" applyBorder="1" applyAlignment="1">
      <alignment horizontal="center" vertical="center"/>
    </xf>
    <xf numFmtId="0" fontId="58" fillId="2" borderId="27" xfId="0" applyFont="1" applyFill="1" applyBorder="1" applyAlignment="1">
      <alignment vertical="center"/>
    </xf>
    <xf numFmtId="164" fontId="58" fillId="2" borderId="27" xfId="1" applyNumberFormat="1" applyFont="1" applyFill="1" applyBorder="1" applyAlignment="1">
      <alignment horizontal="center" vertical="center"/>
    </xf>
    <xf numFmtId="165" fontId="58" fillId="2" borderId="27" xfId="0" applyNumberFormat="1" applyFont="1" applyFill="1" applyBorder="1" applyAlignment="1">
      <alignment horizontal="center" vertical="center"/>
    </xf>
    <xf numFmtId="9" fontId="58" fillId="2" borderId="27" xfId="2" applyFont="1" applyFill="1" applyBorder="1" applyAlignment="1">
      <alignment horizontal="center" vertical="center"/>
    </xf>
    <xf numFmtId="164" fontId="58" fillId="2" borderId="15" xfId="0" applyNumberFormat="1" applyFont="1" applyFill="1" applyBorder="1" applyAlignment="1">
      <alignment vertical="center"/>
    </xf>
    <xf numFmtId="164" fontId="58" fillId="2" borderId="17" xfId="0" applyNumberFormat="1" applyFont="1" applyFill="1" applyBorder="1" applyAlignment="1">
      <alignment vertical="center"/>
    </xf>
    <xf numFmtId="175" fontId="58" fillId="2" borderId="27" xfId="2" applyNumberFormat="1" applyFont="1" applyFill="1" applyBorder="1" applyAlignment="1">
      <alignment horizontal="center" vertical="center"/>
    </xf>
    <xf numFmtId="14" fontId="53" fillId="4" borderId="19" xfId="0" applyNumberFormat="1" applyFont="1" applyFill="1" applyBorder="1" applyAlignment="1">
      <alignment horizontal="center" vertical="center"/>
    </xf>
    <xf numFmtId="0" fontId="53" fillId="4" borderId="21" xfId="0" applyFont="1" applyFill="1" applyBorder="1" applyAlignment="1">
      <alignment vertical="center"/>
    </xf>
    <xf numFmtId="164" fontId="53" fillId="4" borderId="21" xfId="1" applyNumberFormat="1" applyFont="1" applyFill="1" applyBorder="1" applyAlignment="1">
      <alignment horizontal="center" vertical="center"/>
    </xf>
    <xf numFmtId="165" fontId="53" fillId="4" borderId="21" xfId="0" applyNumberFormat="1" applyFont="1" applyFill="1" applyBorder="1" applyAlignment="1">
      <alignment horizontal="center" vertical="center"/>
    </xf>
    <xf numFmtId="9" fontId="53" fillId="4" borderId="21" xfId="2" applyFont="1" applyFill="1" applyBorder="1" applyAlignment="1">
      <alignment horizontal="center" vertical="center"/>
    </xf>
    <xf numFmtId="166" fontId="53" fillId="4" borderId="22" xfId="1" applyNumberFormat="1" applyFont="1" applyFill="1" applyBorder="1" applyAlignment="1">
      <alignment horizontal="center" vertical="center"/>
    </xf>
    <xf numFmtId="0" fontId="53" fillId="4" borderId="22" xfId="0" applyFont="1" applyFill="1" applyBorder="1" applyAlignment="1">
      <alignment horizontal="center" vertical="center"/>
    </xf>
    <xf numFmtId="1" fontId="53" fillId="4" borderId="22" xfId="0" applyNumberFormat="1" applyFont="1" applyFill="1" applyBorder="1" applyAlignment="1">
      <alignment horizontal="center" vertical="center"/>
    </xf>
    <xf numFmtId="164" fontId="53" fillId="4" borderId="21" xfId="0" applyNumberFormat="1" applyFont="1" applyFill="1" applyBorder="1" applyAlignment="1">
      <alignment horizontal="center" vertical="center"/>
    </xf>
    <xf numFmtId="164" fontId="58" fillId="4" borderId="28" xfId="0" applyNumberFormat="1" applyFont="1" applyFill="1" applyBorder="1" applyAlignment="1">
      <alignment horizontal="center" vertical="center"/>
    </xf>
    <xf numFmtId="0" fontId="53" fillId="4" borderId="17" xfId="0" applyFont="1" applyFill="1" applyBorder="1"/>
    <xf numFmtId="164" fontId="53" fillId="4" borderId="17" xfId="1" applyNumberFormat="1" applyFont="1" applyFill="1" applyBorder="1" applyAlignment="1">
      <alignment horizontal="center" vertical="center"/>
    </xf>
    <xf numFmtId="9" fontId="53" fillId="4" borderId="17" xfId="2" applyFont="1" applyFill="1" applyBorder="1" applyAlignment="1">
      <alignment horizontal="center" vertical="center"/>
    </xf>
    <xf numFmtId="1" fontId="53" fillId="4" borderId="17" xfId="0" applyNumberFormat="1" applyFont="1" applyFill="1" applyBorder="1" applyAlignment="1">
      <alignment horizontal="center"/>
    </xf>
    <xf numFmtId="164" fontId="53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53" fillId="4" borderId="6" xfId="0" applyNumberFormat="1" applyFont="1" applyFill="1" applyBorder="1" applyAlignment="1">
      <alignment horizontal="center" vertical="center"/>
    </xf>
    <xf numFmtId="164" fontId="53" fillId="4" borderId="54" xfId="0" applyNumberFormat="1" applyFont="1" applyFill="1" applyBorder="1" applyAlignment="1">
      <alignment vertical="center"/>
    </xf>
    <xf numFmtId="0" fontId="53" fillId="3" borderId="22" xfId="0" applyFont="1" applyFill="1" applyBorder="1" applyAlignment="1">
      <alignment horizontal="center" vertical="center" wrapText="1"/>
    </xf>
    <xf numFmtId="0" fontId="53" fillId="3" borderId="21" xfId="0" applyFont="1" applyFill="1" applyBorder="1" applyAlignment="1">
      <alignment horizontal="center" vertical="center"/>
    </xf>
    <xf numFmtId="0" fontId="53" fillId="3" borderId="21" xfId="0" applyFont="1" applyFill="1" applyBorder="1" applyAlignment="1">
      <alignment horizontal="center" vertical="center" wrapText="1"/>
    </xf>
    <xf numFmtId="0" fontId="53" fillId="20" borderId="28" xfId="0" applyFont="1" applyFill="1" applyBorder="1" applyAlignment="1">
      <alignment horizontal="center" vertical="center"/>
    </xf>
    <xf numFmtId="14" fontId="58" fillId="17" borderId="9" xfId="0" applyNumberFormat="1" applyFont="1" applyFill="1" applyBorder="1" applyAlignment="1">
      <alignment horizontal="center" vertical="center"/>
    </xf>
    <xf numFmtId="0" fontId="58" fillId="17" borderId="10" xfId="0" applyFont="1" applyFill="1" applyBorder="1" applyAlignment="1">
      <alignment vertical="center"/>
    </xf>
    <xf numFmtId="164" fontId="58" fillId="17" borderId="10" xfId="1" applyNumberFormat="1" applyFont="1" applyFill="1" applyBorder="1" applyAlignment="1">
      <alignment horizontal="center" vertical="center"/>
    </xf>
    <xf numFmtId="165" fontId="58" fillId="17" borderId="10" xfId="0" applyNumberFormat="1" applyFont="1" applyFill="1" applyBorder="1" applyAlignment="1">
      <alignment horizontal="center" vertical="center"/>
    </xf>
    <xf numFmtId="9" fontId="58" fillId="17" borderId="10" xfId="2" applyFont="1" applyFill="1" applyBorder="1" applyAlignment="1">
      <alignment horizontal="center" vertical="center"/>
    </xf>
    <xf numFmtId="166" fontId="58" fillId="17" borderId="11" xfId="1" applyNumberFormat="1" applyFont="1" applyFill="1" applyBorder="1" applyAlignment="1">
      <alignment horizontal="center" vertical="center"/>
    </xf>
    <xf numFmtId="1" fontId="58" fillId="17" borderId="11" xfId="0" applyNumberFormat="1" applyFont="1" applyFill="1" applyBorder="1" applyAlignment="1">
      <alignment horizontal="center" vertical="center"/>
    </xf>
    <xf numFmtId="164" fontId="58" fillId="17" borderId="10" xfId="0" applyNumberFormat="1" applyFont="1" applyFill="1" applyBorder="1" applyAlignment="1">
      <alignment horizontal="center" vertical="center"/>
    </xf>
    <xf numFmtId="0" fontId="58" fillId="17" borderId="12" xfId="0" applyFont="1" applyFill="1" applyBorder="1"/>
    <xf numFmtId="14" fontId="58" fillId="17" borderId="14" xfId="0" applyNumberFormat="1" applyFont="1" applyFill="1" applyBorder="1" applyAlignment="1">
      <alignment horizontal="center" vertical="center"/>
    </xf>
    <xf numFmtId="0" fontId="58" fillId="17" borderId="15" xfId="0" applyFont="1" applyFill="1" applyBorder="1" applyAlignment="1">
      <alignment vertical="center"/>
    </xf>
    <xf numFmtId="164" fontId="58" fillId="17" borderId="17" xfId="1" applyNumberFormat="1" applyFont="1" applyFill="1" applyBorder="1" applyAlignment="1">
      <alignment horizontal="center" vertical="center"/>
    </xf>
    <xf numFmtId="9" fontId="58" fillId="17" borderId="15" xfId="2" applyFont="1" applyFill="1" applyBorder="1" applyAlignment="1">
      <alignment horizontal="center" vertical="center"/>
    </xf>
    <xf numFmtId="166" fontId="58" fillId="17" borderId="16" xfId="1" applyNumberFormat="1" applyFont="1" applyFill="1" applyBorder="1" applyAlignment="1">
      <alignment horizontal="center" vertical="center"/>
    </xf>
    <xf numFmtId="164" fontId="58" fillId="17" borderId="15" xfId="0" applyNumberFormat="1" applyFont="1" applyFill="1" applyBorder="1" applyAlignment="1">
      <alignment horizontal="center" vertical="center"/>
    </xf>
    <xf numFmtId="164" fontId="58" fillId="17" borderId="12" xfId="0" applyNumberFormat="1" applyFont="1" applyFill="1" applyBorder="1"/>
    <xf numFmtId="164" fontId="58" fillId="17" borderId="17" xfId="0" applyNumberFormat="1" applyFont="1" applyFill="1" applyBorder="1" applyAlignment="1">
      <alignment horizontal="center" vertical="center"/>
    </xf>
    <xf numFmtId="0" fontId="58" fillId="17" borderId="17" xfId="0" applyFont="1" applyFill="1" applyBorder="1" applyAlignment="1">
      <alignment vertical="center"/>
    </xf>
    <xf numFmtId="1" fontId="58" fillId="17" borderId="16" xfId="0" applyNumberFormat="1" applyFont="1" applyFill="1" applyBorder="1" applyAlignment="1">
      <alignment horizontal="center" vertical="center"/>
    </xf>
    <xf numFmtId="0" fontId="48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3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38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3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12" fillId="2" borderId="1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" fontId="43" fillId="0" borderId="50" xfId="0" applyNumberFormat="1" applyFont="1" applyBorder="1" applyAlignment="1">
      <alignment horizontal="center"/>
    </xf>
    <xf numFmtId="0" fontId="8" fillId="2" borderId="12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left" vertical="center"/>
    </xf>
    <xf numFmtId="0" fontId="58" fillId="2" borderId="12" xfId="0" applyFont="1" applyFill="1" applyBorder="1" applyAlignment="1">
      <alignment wrapText="1"/>
    </xf>
    <xf numFmtId="0" fontId="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38" fillId="4" borderId="12" xfId="0" applyFont="1" applyFill="1" applyBorder="1" applyAlignment="1">
      <alignment horizontal="center" wrapText="1"/>
    </xf>
    <xf numFmtId="165" fontId="59" fillId="17" borderId="10" xfId="0" applyNumberFormat="1" applyFont="1" applyFill="1" applyBorder="1" applyAlignment="1">
      <alignment horizontal="center" vertical="center"/>
    </xf>
    <xf numFmtId="165" fontId="59" fillId="2" borderId="21" xfId="0" applyNumberFormat="1" applyFont="1" applyFill="1" applyBorder="1" applyAlignment="1">
      <alignment horizontal="center" vertical="center"/>
    </xf>
    <xf numFmtId="165" fontId="59" fillId="17" borderId="15" xfId="0" applyNumberFormat="1" applyFont="1" applyFill="1" applyBorder="1" applyAlignment="1">
      <alignment horizontal="center" vertical="center"/>
    </xf>
    <xf numFmtId="165" fontId="59" fillId="2" borderId="15" xfId="0" applyNumberFormat="1" applyFont="1" applyFill="1" applyBorder="1" applyAlignment="1">
      <alignment horizontal="center" vertical="center"/>
    </xf>
    <xf numFmtId="165" fontId="59" fillId="2" borderId="10" xfId="0" applyNumberFormat="1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vertical="center"/>
    </xf>
    <xf numFmtId="0" fontId="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43" fillId="18" borderId="12" xfId="0" applyFont="1" applyFill="1" applyBorder="1" applyAlignment="1">
      <alignment horizontal="center"/>
    </xf>
    <xf numFmtId="0" fontId="3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38" fillId="18" borderId="12" xfId="0" applyNumberFormat="1" applyFont="1" applyFill="1" applyBorder="1" applyAlignment="1">
      <alignment horizontal="center" wrapText="1"/>
    </xf>
    <xf numFmtId="0" fontId="38" fillId="2" borderId="12" xfId="0" applyFont="1" applyFill="1" applyBorder="1"/>
    <xf numFmtId="14" fontId="6" fillId="2" borderId="12" xfId="0" applyNumberFormat="1" applyFont="1" applyFill="1" applyBorder="1"/>
    <xf numFmtId="0" fontId="5" fillId="2" borderId="12" xfId="0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/>
    </xf>
    <xf numFmtId="173" fontId="43" fillId="0" borderId="47" xfId="0" applyNumberFormat="1" applyFont="1" applyBorder="1" applyAlignment="1">
      <alignment horizontal="center"/>
    </xf>
    <xf numFmtId="1" fontId="43" fillId="0" borderId="20" xfId="0" applyNumberFormat="1" applyFont="1" applyBorder="1" applyAlignment="1">
      <alignment horizontal="center"/>
    </xf>
    <xf numFmtId="174" fontId="43" fillId="0" borderId="20" xfId="0" applyNumberFormat="1" applyFont="1" applyBorder="1" applyAlignment="1">
      <alignment horizontal="center"/>
    </xf>
    <xf numFmtId="0" fontId="43" fillId="0" borderId="20" xfId="0" applyFont="1" applyBorder="1"/>
    <xf numFmtId="9" fontId="43" fillId="0" borderId="20" xfId="0" applyNumberFormat="1" applyFont="1" applyBorder="1" applyAlignment="1">
      <alignment horizontal="center"/>
    </xf>
    <xf numFmtId="0" fontId="43" fillId="0" borderId="20" xfId="0" applyFont="1" applyBorder="1" applyAlignment="1">
      <alignment horizontal="center"/>
    </xf>
    <xf numFmtId="9" fontId="43" fillId="0" borderId="20" xfId="2" applyFont="1" applyBorder="1" applyAlignment="1">
      <alignment horizontal="center" vertical="center"/>
    </xf>
    <xf numFmtId="173" fontId="43" fillId="14" borderId="12" xfId="0" applyNumberFormat="1" applyFont="1" applyFill="1" applyBorder="1" applyAlignment="1">
      <alignment horizontal="center"/>
    </xf>
    <xf numFmtId="43" fontId="43" fillId="14" borderId="12" xfId="1" applyFont="1" applyFill="1" applyBorder="1" applyAlignment="1">
      <alignment horizontal="center"/>
    </xf>
    <xf numFmtId="0" fontId="43" fillId="21" borderId="12" xfId="0" applyFont="1" applyFill="1" applyBorder="1" applyAlignment="1">
      <alignment horizontal="center"/>
    </xf>
    <xf numFmtId="0" fontId="43" fillId="14" borderId="12" xfId="0" applyFont="1" applyFill="1" applyBorder="1"/>
    <xf numFmtId="1" fontId="43" fillId="21" borderId="12" xfId="0" applyNumberFormat="1" applyFont="1" applyFill="1" applyBorder="1" applyAlignment="1">
      <alignment horizontal="center"/>
    </xf>
    <xf numFmtId="2" fontId="43" fillId="21" borderId="12" xfId="0" applyNumberFormat="1" applyFont="1" applyFill="1" applyBorder="1" applyAlignment="1">
      <alignment horizontal="center"/>
    </xf>
    <xf numFmtId="176" fontId="43" fillId="21" borderId="12" xfId="0" applyNumberFormat="1" applyFont="1" applyFill="1" applyBorder="1" applyAlignment="1">
      <alignment horizontal="center"/>
    </xf>
    <xf numFmtId="9" fontId="43" fillId="21" borderId="12" xfId="0" applyNumberFormat="1" applyFont="1" applyFill="1" applyBorder="1" applyAlignment="1">
      <alignment horizontal="center"/>
    </xf>
    <xf numFmtId="0" fontId="43" fillId="14" borderId="12" xfId="0" applyFont="1" applyFill="1" applyBorder="1" applyAlignment="1">
      <alignment horizontal="center"/>
    </xf>
    <xf numFmtId="0" fontId="45" fillId="21" borderId="12" xfId="0" applyFont="1" applyFill="1" applyBorder="1" applyAlignment="1">
      <alignment horizontal="center" wrapText="1"/>
    </xf>
    <xf numFmtId="43" fontId="43" fillId="21" borderId="12" xfId="1" applyFont="1" applyFill="1" applyBorder="1" applyAlignment="1">
      <alignment horizontal="center"/>
    </xf>
    <xf numFmtId="1" fontId="43" fillId="14" borderId="48" xfId="0" applyNumberFormat="1" applyFont="1" applyFill="1" applyBorder="1" applyAlignment="1">
      <alignment horizontal="center"/>
    </xf>
    <xf numFmtId="14" fontId="30" fillId="2" borderId="10" xfId="0" applyNumberFormat="1" applyFont="1" applyFill="1" applyBorder="1" applyAlignment="1">
      <alignment horizontal="center" vertical="center"/>
    </xf>
    <xf numFmtId="14" fontId="20" fillId="2" borderId="10" xfId="0" applyNumberFormat="1" applyFont="1" applyFill="1" applyBorder="1" applyAlignment="1">
      <alignment horizontal="center" vertical="center"/>
    </xf>
    <xf numFmtId="14" fontId="30" fillId="2" borderId="12" xfId="0" applyNumberFormat="1" applyFont="1" applyFill="1" applyBorder="1" applyAlignment="1">
      <alignment horizontal="center" vertical="center"/>
    </xf>
    <xf numFmtId="14" fontId="28" fillId="2" borderId="10" xfId="0" applyNumberFormat="1" applyFont="1" applyFill="1" applyBorder="1" applyAlignment="1">
      <alignment horizontal="center" vertical="center"/>
    </xf>
    <xf numFmtId="14" fontId="29" fillId="2" borderId="10" xfId="0" applyNumberFormat="1" applyFont="1" applyFill="1" applyBorder="1" applyAlignment="1">
      <alignment horizontal="center" vertical="center"/>
    </xf>
    <xf numFmtId="14" fontId="27" fillId="2" borderId="10" xfId="0" applyNumberFormat="1" applyFont="1" applyFill="1" applyBorder="1" applyAlignment="1">
      <alignment horizontal="center" vertical="center"/>
    </xf>
    <xf numFmtId="0" fontId="27" fillId="2" borderId="10" xfId="0" applyFont="1" applyFill="1" applyBorder="1" applyAlignment="1">
      <alignment horizontal="center"/>
    </xf>
    <xf numFmtId="14" fontId="28" fillId="2" borderId="27" xfId="0" applyNumberFormat="1" applyFont="1" applyFill="1" applyBorder="1" applyAlignment="1">
      <alignment horizontal="center" vertical="center"/>
    </xf>
    <xf numFmtId="14" fontId="25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38" fillId="2" borderId="12" xfId="0" applyNumberFormat="1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/>
    </xf>
    <xf numFmtId="9" fontId="38" fillId="2" borderId="12" xfId="0" applyNumberFormat="1" applyFont="1" applyFill="1" applyBorder="1" applyAlignment="1">
      <alignment horizontal="center"/>
    </xf>
    <xf numFmtId="1" fontId="38" fillId="2" borderId="27" xfId="0" applyNumberFormat="1" applyFont="1" applyFill="1" applyBorder="1" applyAlignment="1">
      <alignment horizontal="center" vertical="center"/>
    </xf>
    <xf numFmtId="176" fontId="38" fillId="2" borderId="23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176" fontId="38" fillId="2" borderId="25" xfId="0" applyNumberFormat="1" applyFont="1" applyFill="1" applyBorder="1" applyAlignment="1">
      <alignment horizontal="center" vertical="center"/>
    </xf>
    <xf numFmtId="176" fontId="38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3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3" fillId="2" borderId="10" xfId="0" applyNumberFormat="1" applyFont="1" applyFill="1" applyBorder="1" applyAlignment="1">
      <alignment horizontal="center" vertical="center"/>
    </xf>
    <xf numFmtId="14" fontId="3" fillId="2" borderId="17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2" fillId="2" borderId="17" xfId="0" applyNumberFormat="1" applyFont="1" applyFill="1" applyBorder="1" applyAlignment="1">
      <alignment horizontal="center" vertical="center"/>
    </xf>
    <xf numFmtId="14" fontId="2" fillId="2" borderId="10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43" fontId="0" fillId="2" borderId="17" xfId="1" applyFont="1" applyFill="1" applyBorder="1" applyAlignment="1">
      <alignment vertical="center"/>
    </xf>
    <xf numFmtId="14" fontId="3" fillId="16" borderId="10" xfId="0" applyNumberFormat="1" applyFont="1" applyFill="1" applyBorder="1" applyAlignment="1">
      <alignment horizontal="center" vertical="center"/>
    </xf>
    <xf numFmtId="0" fontId="37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43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2" fontId="0" fillId="16" borderId="0" xfId="0" applyNumberFormat="1" applyFill="1"/>
    <xf numFmtId="0" fontId="41" fillId="16" borderId="0" xfId="0" applyFont="1" applyFill="1"/>
    <xf numFmtId="0" fontId="0" fillId="16" borderId="0" xfId="0" applyFill="1"/>
    <xf numFmtId="14" fontId="2" fillId="16" borderId="17" xfId="0" applyNumberFormat="1" applyFont="1" applyFill="1" applyBorder="1" applyAlignment="1">
      <alignment horizontal="center" vertical="center"/>
    </xf>
    <xf numFmtId="14" fontId="2" fillId="16" borderId="10" xfId="0" applyNumberFormat="1" applyFont="1" applyFill="1" applyBorder="1" applyAlignment="1">
      <alignment horizontal="center" vertical="center"/>
    </xf>
    <xf numFmtId="0" fontId="37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41" fillId="16" borderId="0" xfId="3" applyNumberFormat="1" applyFont="1" applyFill="1"/>
    <xf numFmtId="0" fontId="38" fillId="0" borderId="0" xfId="0" applyFont="1" applyAlignment="1">
      <alignment horizontal="center"/>
    </xf>
    <xf numFmtId="0" fontId="2" fillId="2" borderId="28" xfId="0" applyFont="1" applyFill="1" applyBorder="1" applyAlignment="1">
      <alignment horizontal="left" vertical="top" wrapText="1"/>
    </xf>
    <xf numFmtId="0" fontId="38" fillId="18" borderId="7" xfId="0" applyFont="1" applyFill="1" applyBorder="1" applyAlignment="1">
      <alignment horizontal="center"/>
    </xf>
    <xf numFmtId="0" fontId="3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vertical="center"/>
    </xf>
    <xf numFmtId="176" fontId="0" fillId="16" borderId="23" xfId="0" applyNumberForma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/>
    </xf>
    <xf numFmtId="0" fontId="0" fillId="16" borderId="10" xfId="0" applyFill="1" applyBorder="1"/>
    <xf numFmtId="1" fontId="0" fillId="16" borderId="17" xfId="0" applyNumberFormat="1" applyFill="1" applyBorder="1" applyAlignment="1">
      <alignment horizontal="center"/>
    </xf>
    <xf numFmtId="1" fontId="0" fillId="16" borderId="21" xfId="0" applyNumberFormat="1" applyFill="1" applyBorder="1"/>
    <xf numFmtId="171" fontId="41" fillId="16" borderId="0" xfId="0" applyNumberFormat="1" applyFont="1" applyFill="1"/>
    <xf numFmtId="14" fontId="1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" fontId="0" fillId="16" borderId="15" xfId="0" applyNumberFormat="1" applyFill="1" applyBorder="1"/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wrapText="1"/>
    </xf>
    <xf numFmtId="14" fontId="1" fillId="16" borderId="9" xfId="0" applyNumberFormat="1" applyFont="1" applyFill="1" applyBorder="1" applyAlignment="1">
      <alignment horizontal="center" vertical="center"/>
    </xf>
    <xf numFmtId="10" fontId="0" fillId="2" borderId="12" xfId="2" applyNumberFormat="1" applyFont="1" applyFill="1" applyBorder="1" applyAlignment="1">
      <alignment horizontal="center"/>
    </xf>
    <xf numFmtId="14" fontId="38" fillId="4" borderId="12" xfId="0" applyNumberFormat="1" applyFont="1" applyFill="1" applyBorder="1" applyAlignment="1">
      <alignment horizontal="center"/>
    </xf>
    <xf numFmtId="0" fontId="52" fillId="4" borderId="1" xfId="0" applyFont="1" applyFill="1" applyBorder="1" applyAlignment="1">
      <alignment horizontal="center" vertical="center"/>
    </xf>
    <xf numFmtId="0" fontId="52" fillId="4" borderId="2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/>
    </xf>
    <xf numFmtId="0" fontId="52" fillId="4" borderId="13" xfId="0" applyFont="1" applyFill="1" applyBorder="1" applyAlignment="1">
      <alignment horizontal="center" vertical="center"/>
    </xf>
    <xf numFmtId="0" fontId="52" fillId="4" borderId="51" xfId="0" applyFont="1" applyFill="1" applyBorder="1" applyAlignment="1">
      <alignment horizontal="center" vertical="center"/>
    </xf>
    <xf numFmtId="0" fontId="52" fillId="4" borderId="26" xfId="0" applyFont="1" applyFill="1" applyBorder="1" applyAlignment="1">
      <alignment horizontal="center" vertical="center"/>
    </xf>
    <xf numFmtId="0" fontId="45" fillId="3" borderId="40" xfId="0" applyFont="1" applyFill="1" applyBorder="1" applyAlignment="1">
      <alignment horizontal="center" vertical="center" wrapText="1"/>
    </xf>
    <xf numFmtId="0" fontId="44" fillId="3" borderId="44" xfId="0" applyFont="1" applyFill="1" applyBorder="1" applyAlignment="1">
      <alignment vertical="center"/>
    </xf>
    <xf numFmtId="1" fontId="45" fillId="3" borderId="41" xfId="0" applyNumberFormat="1" applyFont="1" applyFill="1" applyBorder="1" applyAlignment="1">
      <alignment horizontal="center" vertical="center" wrapText="1"/>
    </xf>
    <xf numFmtId="0" fontId="44" fillId="3" borderId="42" xfId="0" applyFont="1" applyFill="1" applyBorder="1" applyAlignment="1">
      <alignment vertical="center"/>
    </xf>
    <xf numFmtId="0" fontId="44" fillId="3" borderId="43" xfId="0" applyFont="1" applyFill="1" applyBorder="1" applyAlignment="1">
      <alignment vertical="center"/>
    </xf>
    <xf numFmtId="1" fontId="45" fillId="3" borderId="40" xfId="0" applyNumberFormat="1" applyFont="1" applyFill="1" applyBorder="1" applyAlignment="1">
      <alignment horizontal="center" vertical="center" wrapText="1"/>
    </xf>
    <xf numFmtId="0" fontId="45" fillId="3" borderId="41" xfId="0" applyFont="1" applyFill="1" applyBorder="1" applyAlignment="1">
      <alignment horizontal="center" vertical="center" wrapText="1"/>
    </xf>
    <xf numFmtId="0" fontId="44" fillId="3" borderId="46" xfId="0" applyFont="1" applyFill="1" applyBorder="1" applyAlignment="1">
      <alignment vertical="center"/>
    </xf>
    <xf numFmtId="1" fontId="45" fillId="3" borderId="44" xfId="0" applyNumberFormat="1" applyFont="1" applyFill="1" applyBorder="1" applyAlignment="1">
      <alignment horizontal="center" vertical="center" wrapText="1"/>
    </xf>
    <xf numFmtId="0" fontId="38" fillId="20" borderId="12" xfId="0" applyFont="1" applyFill="1" applyBorder="1" applyAlignment="1">
      <alignment horizontal="center"/>
    </xf>
    <xf numFmtId="0" fontId="50" fillId="15" borderId="51" xfId="0" applyFont="1" applyFill="1" applyBorder="1" applyAlignment="1">
      <alignment horizontal="center"/>
    </xf>
    <xf numFmtId="0" fontId="51" fillId="15" borderId="0" xfId="0" applyFont="1" applyFill="1" applyAlignment="1">
      <alignment horizontal="center"/>
    </xf>
    <xf numFmtId="0" fontId="55" fillId="3" borderId="42" xfId="0" applyFont="1" applyFill="1" applyBorder="1" applyAlignment="1">
      <alignment horizontal="center" vertical="center"/>
    </xf>
    <xf numFmtId="0" fontId="55" fillId="3" borderId="43" xfId="0" applyFont="1" applyFill="1" applyBorder="1" applyAlignment="1">
      <alignment horizontal="center" vertical="center"/>
    </xf>
    <xf numFmtId="0" fontId="45" fillId="3" borderId="42" xfId="0" applyFont="1" applyFill="1" applyBorder="1" applyAlignment="1">
      <alignment horizontal="center" vertical="center" wrapText="1"/>
    </xf>
    <xf numFmtId="0" fontId="45" fillId="3" borderId="43" xfId="0" applyFont="1" applyFill="1" applyBorder="1" applyAlignment="1">
      <alignment horizontal="center" vertical="center" wrapText="1"/>
    </xf>
    <xf numFmtId="0" fontId="38" fillId="4" borderId="12" xfId="0" applyFont="1" applyFill="1" applyBorder="1" applyAlignment="1">
      <alignment horizontal="center"/>
    </xf>
    <xf numFmtId="0" fontId="53" fillId="18" borderId="0" xfId="0" applyFont="1" applyFill="1" applyAlignment="1">
      <alignment horizontal="center"/>
    </xf>
    <xf numFmtId="0" fontId="38" fillId="18" borderId="12" xfId="0" applyFont="1" applyFill="1" applyBorder="1" applyAlignment="1">
      <alignment horizontal="center"/>
    </xf>
    <xf numFmtId="0" fontId="38" fillId="3" borderId="7" xfId="0" applyFont="1" applyFill="1" applyBorder="1" applyAlignment="1">
      <alignment horizontal="center"/>
    </xf>
    <xf numFmtId="0" fontId="38" fillId="3" borderId="8" xfId="0" applyFont="1" applyFill="1" applyBorder="1" applyAlignment="1">
      <alignment horizontal="center"/>
    </xf>
    <xf numFmtId="0" fontId="38" fillId="3" borderId="29" xfId="0" applyFont="1" applyFill="1" applyBorder="1" applyAlignment="1">
      <alignment horizontal="center"/>
    </xf>
    <xf numFmtId="0" fontId="38" fillId="3" borderId="0" xfId="0" applyFont="1" applyFill="1" applyAlignment="1">
      <alignment horizontal="center"/>
    </xf>
    <xf numFmtId="0" fontId="58" fillId="2" borderId="20" xfId="0" applyFont="1" applyFill="1" applyBorder="1" applyAlignment="1">
      <alignment horizontal="left" wrapText="1"/>
    </xf>
    <xf numFmtId="0" fontId="58" fillId="2" borderId="28" xfId="0" applyFont="1" applyFill="1" applyBorder="1" applyAlignment="1">
      <alignment horizontal="left" wrapText="1"/>
    </xf>
    <xf numFmtId="14" fontId="58" fillId="2" borderId="1" xfId="0" applyNumberFormat="1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14" fontId="58" fillId="2" borderId="13" xfId="0" applyNumberFormat="1" applyFont="1" applyFill="1" applyBorder="1" applyAlignment="1">
      <alignment horizontal="center" vertical="center"/>
    </xf>
    <xf numFmtId="14" fontId="58" fillId="2" borderId="14" xfId="0" applyNumberFormat="1" applyFont="1" applyFill="1" applyBorder="1" applyAlignment="1">
      <alignment horizontal="center" vertical="center"/>
    </xf>
    <xf numFmtId="164" fontId="58" fillId="2" borderId="0" xfId="0" applyNumberFormat="1" applyFont="1" applyFill="1" applyAlignment="1">
      <alignment horizontal="center" vertical="center"/>
    </xf>
    <xf numFmtId="0" fontId="58" fillId="2" borderId="53" xfId="0" applyFont="1" applyFill="1" applyBorder="1" applyAlignment="1">
      <alignment horizontal="center" vertical="center"/>
    </xf>
    <xf numFmtId="164" fontId="58" fillId="2" borderId="6" xfId="0" applyNumberFormat="1" applyFont="1" applyFill="1" applyBorder="1" applyAlignment="1">
      <alignment horizontal="center" vertical="center"/>
    </xf>
    <xf numFmtId="0" fontId="58" fillId="2" borderId="16" xfId="0" applyFont="1" applyFill="1" applyBorder="1" applyAlignment="1">
      <alignment horizontal="center" vertical="center"/>
    </xf>
    <xf numFmtId="14" fontId="53" fillId="4" borderId="18" xfId="0" applyNumberFormat="1" applyFont="1" applyFill="1" applyBorder="1" applyAlignment="1">
      <alignment horizontal="center" vertical="center"/>
    </xf>
    <xf numFmtId="14" fontId="53" fillId="4" borderId="19" xfId="0" applyNumberFormat="1" applyFont="1" applyFill="1" applyBorder="1" applyAlignment="1">
      <alignment horizontal="center" vertical="center"/>
    </xf>
    <xf numFmtId="0" fontId="53" fillId="4" borderId="24" xfId="0" applyFont="1" applyFill="1" applyBorder="1" applyAlignment="1">
      <alignment horizontal="center"/>
    </xf>
    <xf numFmtId="0" fontId="53" fillId="4" borderId="17" xfId="0" applyFont="1" applyFill="1" applyBorder="1" applyAlignment="1">
      <alignment horizontal="center"/>
    </xf>
    <xf numFmtId="164" fontId="58" fillId="2" borderId="5" xfId="0" applyNumberFormat="1" applyFont="1" applyFill="1" applyBorder="1" applyAlignment="1">
      <alignment horizontal="center" vertical="center"/>
    </xf>
    <xf numFmtId="164" fontId="58" fillId="2" borderId="15" xfId="0" applyNumberFormat="1" applyFont="1" applyFill="1" applyBorder="1" applyAlignment="1">
      <alignment horizontal="center" vertical="center"/>
    </xf>
    <xf numFmtId="14" fontId="58" fillId="17" borderId="1" xfId="0" applyNumberFormat="1" applyFont="1" applyFill="1" applyBorder="1" applyAlignment="1">
      <alignment horizontal="center" vertical="center"/>
    </xf>
    <xf numFmtId="14" fontId="58" fillId="17" borderId="4" xfId="0" applyNumberFormat="1" applyFont="1" applyFill="1" applyBorder="1" applyAlignment="1">
      <alignment horizontal="center" vertical="center"/>
    </xf>
    <xf numFmtId="14" fontId="58" fillId="17" borderId="13" xfId="0" applyNumberFormat="1" applyFont="1" applyFill="1" applyBorder="1" applyAlignment="1">
      <alignment horizontal="center" vertical="center"/>
    </xf>
    <xf numFmtId="14" fontId="58" fillId="17" borderId="14" xfId="0" applyNumberFormat="1" applyFont="1" applyFill="1" applyBorder="1" applyAlignment="1">
      <alignment horizontal="center" vertical="center"/>
    </xf>
    <xf numFmtId="164" fontId="58" fillId="17" borderId="5" xfId="0" applyNumberFormat="1" applyFont="1" applyFill="1" applyBorder="1" applyAlignment="1">
      <alignment horizontal="center" vertical="center"/>
    </xf>
    <xf numFmtId="164" fontId="58" fillId="17" borderId="15" xfId="0" applyNumberFormat="1" applyFont="1" applyFill="1" applyBorder="1" applyAlignment="1">
      <alignment horizontal="center" vertical="center"/>
    </xf>
    <xf numFmtId="0" fontId="53" fillId="3" borderId="18" xfId="0" applyFont="1" applyFill="1" applyBorder="1" applyAlignment="1">
      <alignment horizontal="center" vertical="center"/>
    </xf>
    <xf numFmtId="0" fontId="53" fillId="3" borderId="19" xfId="0" applyFont="1" applyFill="1" applyBorder="1" applyAlignment="1">
      <alignment horizontal="center" vertical="center"/>
    </xf>
    <xf numFmtId="164" fontId="58" fillId="2" borderId="21" xfId="0" applyNumberFormat="1" applyFont="1" applyFill="1" applyBorder="1" applyAlignment="1">
      <alignment horizontal="center" vertical="center"/>
    </xf>
    <xf numFmtId="0" fontId="53" fillId="3" borderId="36" xfId="0" applyFont="1" applyFill="1" applyBorder="1" applyAlignment="1">
      <alignment horizontal="center"/>
    </xf>
    <xf numFmtId="0" fontId="53" fillId="3" borderId="55" xfId="0" applyFont="1" applyFill="1" applyBorder="1" applyAlignment="1">
      <alignment horizontal="center"/>
    </xf>
    <xf numFmtId="0" fontId="53" fillId="3" borderId="56" xfId="0" applyFont="1" applyFill="1" applyBorder="1" applyAlignment="1">
      <alignment horizontal="center"/>
    </xf>
    <xf numFmtId="0" fontId="48" fillId="16" borderId="36" xfId="0" applyFont="1" applyFill="1" applyBorder="1" applyAlignment="1">
      <alignment horizontal="center"/>
    </xf>
    <xf numFmtId="0" fontId="48" fillId="16" borderId="55" xfId="0" applyFont="1" applyFill="1" applyBorder="1" applyAlignment="1">
      <alignment horizontal="center"/>
    </xf>
    <xf numFmtId="0" fontId="48" fillId="16" borderId="56" xfId="0" applyFont="1" applyFill="1" applyBorder="1" applyAlignment="1">
      <alignment horizontal="center"/>
    </xf>
    <xf numFmtId="0" fontId="38" fillId="4" borderId="1" xfId="0" applyFont="1" applyFill="1" applyBorder="1" applyAlignment="1">
      <alignment horizontal="center"/>
    </xf>
    <xf numFmtId="0" fontId="38" fillId="4" borderId="2" xfId="0" applyFont="1" applyFill="1" applyBorder="1" applyAlignment="1">
      <alignment horizontal="center"/>
    </xf>
    <xf numFmtId="0" fontId="38" fillId="4" borderId="3" xfId="0" applyFont="1" applyFill="1" applyBorder="1" applyAlignment="1">
      <alignment horizontal="center"/>
    </xf>
    <xf numFmtId="0" fontId="38" fillId="4" borderId="18" xfId="0" applyFont="1" applyFill="1" applyBorder="1" applyAlignment="1">
      <alignment horizontal="center"/>
    </xf>
    <xf numFmtId="0" fontId="38" fillId="4" borderId="0" xfId="0" applyFont="1" applyFill="1" applyAlignment="1">
      <alignment horizontal="center"/>
    </xf>
    <xf numFmtId="0" fontId="38" fillId="4" borderId="67" xfId="0" applyFont="1" applyFill="1" applyBorder="1" applyAlignment="1">
      <alignment horizontal="center"/>
    </xf>
    <xf numFmtId="0" fontId="53" fillId="4" borderId="0" xfId="0" applyFont="1" applyFill="1" applyAlignment="1">
      <alignment horizontal="center"/>
    </xf>
    <xf numFmtId="0" fontId="38" fillId="18" borderId="30" xfId="0" applyFont="1" applyFill="1" applyBorder="1" applyAlignment="1">
      <alignment horizontal="center" vertical="center"/>
    </xf>
    <xf numFmtId="0" fontId="38" fillId="18" borderId="34" xfId="0" applyFont="1" applyFill="1" applyBorder="1" applyAlignment="1">
      <alignment horizontal="center" vertical="center"/>
    </xf>
    <xf numFmtId="0" fontId="38" fillId="18" borderId="31" xfId="0" applyFont="1" applyFill="1" applyBorder="1" applyAlignment="1">
      <alignment horizontal="center" vertical="center"/>
    </xf>
    <xf numFmtId="0" fontId="38" fillId="18" borderId="32" xfId="0" applyFont="1" applyFill="1" applyBorder="1" applyAlignment="1">
      <alignment horizontal="center" vertical="center"/>
    </xf>
    <xf numFmtId="0" fontId="38" fillId="18" borderId="53" xfId="0" applyFont="1" applyFill="1" applyBorder="1" applyAlignment="1">
      <alignment horizontal="center" vertical="center"/>
    </xf>
    <xf numFmtId="0" fontId="38" fillId="18" borderId="33" xfId="0" applyFont="1" applyFill="1" applyBorder="1" applyAlignment="1">
      <alignment horizontal="center" vertical="center"/>
    </xf>
    <xf numFmtId="0" fontId="38" fillId="18" borderId="20" xfId="0" applyFont="1" applyFill="1" applyBorder="1" applyAlignment="1">
      <alignment horizontal="center" vertical="center"/>
    </xf>
    <xf numFmtId="0" fontId="38" fillId="18" borderId="28" xfId="0" applyFont="1" applyFill="1" applyBorder="1" applyAlignment="1">
      <alignment horizontal="center" vertical="center"/>
    </xf>
    <xf numFmtId="0" fontId="38" fillId="18" borderId="12" xfId="0" applyFont="1" applyFill="1" applyBorder="1" applyAlignment="1">
      <alignment horizontal="center" vertical="center"/>
    </xf>
    <xf numFmtId="0" fontId="38" fillId="18" borderId="7" xfId="0" applyFont="1" applyFill="1" applyBorder="1" applyAlignment="1">
      <alignment horizontal="center"/>
    </xf>
    <xf numFmtId="0" fontId="38" fillId="18" borderId="29" xfId="0" applyFont="1" applyFill="1" applyBorder="1" applyAlignment="1">
      <alignment horizontal="center"/>
    </xf>
    <xf numFmtId="0" fontId="38" fillId="18" borderId="8" xfId="0" applyFont="1" applyFill="1" applyBorder="1" applyAlignment="1">
      <alignment horizontal="center"/>
    </xf>
    <xf numFmtId="0" fontId="57" fillId="4" borderId="36" xfId="0" applyFont="1" applyFill="1" applyBorder="1" applyAlignment="1">
      <alignment horizontal="center"/>
    </xf>
    <xf numFmtId="0" fontId="57" fillId="4" borderId="55" xfId="0" applyFont="1" applyFill="1" applyBorder="1" applyAlignment="1">
      <alignment horizontal="center"/>
    </xf>
    <xf numFmtId="0" fontId="57" fillId="4" borderId="56" xfId="0" applyFont="1" applyFill="1" applyBorder="1" applyAlignment="1">
      <alignment horizontal="center"/>
    </xf>
    <xf numFmtId="0" fontId="38" fillId="18" borderId="21" xfId="0" applyFont="1" applyFill="1" applyBorder="1" applyAlignment="1">
      <alignment horizontal="center" vertical="center"/>
    </xf>
    <xf numFmtId="17" fontId="57" fillId="4" borderId="36" xfId="0" applyNumberFormat="1" applyFont="1" applyFill="1" applyBorder="1" applyAlignment="1">
      <alignment horizontal="center"/>
    </xf>
    <xf numFmtId="17" fontId="57" fillId="4" borderId="55" xfId="0" applyNumberFormat="1" applyFont="1" applyFill="1" applyBorder="1" applyAlignment="1">
      <alignment horizontal="center"/>
    </xf>
    <xf numFmtId="17" fontId="57" fillId="4" borderId="56" xfId="0" applyNumberFormat="1" applyFont="1" applyFill="1" applyBorder="1" applyAlignment="1">
      <alignment horizontal="center"/>
    </xf>
    <xf numFmtId="14" fontId="37" fillId="2" borderId="1" xfId="0" applyNumberFormat="1" applyFont="1" applyFill="1" applyBorder="1" applyAlignment="1">
      <alignment horizontal="center" vertical="center"/>
    </xf>
    <xf numFmtId="14" fontId="37" fillId="2" borderId="4" xfId="0" applyNumberFormat="1" applyFont="1" applyFill="1" applyBorder="1" applyAlignment="1">
      <alignment horizontal="center" vertical="center"/>
    </xf>
    <xf numFmtId="14" fontId="37" fillId="2" borderId="13" xfId="0" applyNumberFormat="1" applyFont="1" applyFill="1" applyBorder="1" applyAlignment="1">
      <alignment horizontal="center" vertical="center"/>
    </xf>
    <xf numFmtId="14" fontId="37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37" fillId="2" borderId="18" xfId="0" applyNumberFormat="1" applyFont="1" applyFill="1" applyBorder="1" applyAlignment="1">
      <alignment horizontal="center" vertical="center"/>
    </xf>
    <xf numFmtId="14" fontId="37" fillId="2" borderId="19" xfId="0" applyNumberFormat="1" applyFon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4" fontId="37" fillId="16" borderId="1" xfId="0" applyNumberFormat="1" applyFont="1" applyFill="1" applyBorder="1" applyAlignment="1">
      <alignment horizontal="center" vertical="center"/>
    </xf>
    <xf numFmtId="14" fontId="37" fillId="16" borderId="4" xfId="0" applyNumberFormat="1" applyFont="1" applyFill="1" applyBorder="1" applyAlignment="1">
      <alignment horizontal="center" vertical="center"/>
    </xf>
    <xf numFmtId="14" fontId="37" fillId="16" borderId="13" xfId="0" applyNumberFormat="1" applyFont="1" applyFill="1" applyBorder="1" applyAlignment="1">
      <alignment horizontal="center" vertical="center"/>
    </xf>
    <xf numFmtId="14" fontId="37" fillId="16" borderId="14" xfId="0" applyNumberFormat="1" applyFont="1" applyFill="1" applyBorder="1" applyAlignment="1">
      <alignment horizontal="center" vertic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4" fontId="38" fillId="2" borderId="1" xfId="0" applyNumberFormat="1" applyFont="1" applyFill="1" applyBorder="1" applyAlignment="1">
      <alignment horizontal="center" vertical="center"/>
    </xf>
    <xf numFmtId="14" fontId="38" fillId="2" borderId="4" xfId="0" applyNumberFormat="1" applyFont="1" applyFill="1" applyBorder="1" applyAlignment="1">
      <alignment horizontal="center" vertical="center"/>
    </xf>
    <xf numFmtId="14" fontId="38" fillId="2" borderId="13" xfId="0" applyNumberFormat="1" applyFont="1" applyFill="1" applyBorder="1" applyAlignment="1">
      <alignment horizontal="center" vertical="center"/>
    </xf>
    <xf numFmtId="14" fontId="38" fillId="2" borderId="14" xfId="0" applyNumberFormat="1" applyFont="1" applyFill="1" applyBorder="1" applyAlignment="1">
      <alignment horizontal="center" vertical="center"/>
    </xf>
    <xf numFmtId="1" fontId="38" fillId="2" borderId="5" xfId="0" applyNumberFormat="1" applyFont="1" applyFill="1" applyBorder="1" applyAlignment="1">
      <alignment horizontal="center"/>
    </xf>
    <xf numFmtId="1" fontId="38" fillId="2" borderId="15" xfId="0" applyNumberFormat="1" applyFont="1" applyFill="1" applyBorder="1" applyAlignment="1">
      <alignment horizontal="center"/>
    </xf>
    <xf numFmtId="1" fontId="38" fillId="2" borderId="5" xfId="0" applyNumberFormat="1" applyFont="1" applyFill="1" applyBorder="1" applyAlignment="1">
      <alignment horizontal="center" vertical="center"/>
    </xf>
    <xf numFmtId="1" fontId="38" fillId="2" borderId="15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0" fontId="38" fillId="3" borderId="30" xfId="0" applyFont="1" applyFill="1" applyBorder="1" applyAlignment="1">
      <alignment horizontal="center"/>
    </xf>
    <xf numFmtId="0" fontId="38" fillId="3" borderId="31" xfId="0" applyFont="1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66" xfId="0" applyNumberFormat="1" applyFill="1" applyBorder="1" applyAlignment="1">
      <alignment horizontal="center" vertical="center"/>
    </xf>
    <xf numFmtId="1" fontId="0" fillId="2" borderId="32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4" fontId="35" fillId="2" borderId="32" xfId="0" applyNumberFormat="1" applyFont="1" applyFill="1" applyBorder="1" applyAlignment="1">
      <alignment horizontal="center" vertical="center"/>
    </xf>
    <xf numFmtId="14" fontId="37" fillId="2" borderId="33" xfId="0" applyNumberFormat="1" applyFont="1" applyFill="1" applyBorder="1" applyAlignment="1">
      <alignment horizontal="center" vertical="center"/>
    </xf>
    <xf numFmtId="0" fontId="48" fillId="20" borderId="7" xfId="0" applyFont="1" applyFill="1" applyBorder="1" applyAlignment="1">
      <alignment horizontal="center"/>
    </xf>
    <xf numFmtId="0" fontId="48" fillId="20" borderId="8" xfId="0" applyFont="1" applyFill="1" applyBorder="1" applyAlignment="1">
      <alignment horizontal="center"/>
    </xf>
    <xf numFmtId="0" fontId="38" fillId="2" borderId="0" xfId="0" applyFont="1" applyFill="1" applyAlignment="1">
      <alignment horizontal="center"/>
    </xf>
    <xf numFmtId="0" fontId="38" fillId="3" borderId="34" xfId="0" applyFont="1" applyFill="1" applyBorder="1" applyAlignment="1">
      <alignment horizontal="center"/>
    </xf>
    <xf numFmtId="0" fontId="37" fillId="3" borderId="36" xfId="0" applyFont="1" applyFill="1" applyBorder="1" applyAlignment="1">
      <alignment horizontal="center"/>
    </xf>
    <xf numFmtId="0" fontId="37" fillId="3" borderId="37" xfId="0" applyFont="1" applyFill="1" applyBorder="1" applyAlignment="1">
      <alignment horizontal="center"/>
    </xf>
    <xf numFmtId="0" fontId="53" fillId="2" borderId="0" xfId="0" applyFont="1" applyFill="1" applyAlignment="1">
      <alignment horizontal="center"/>
    </xf>
    <xf numFmtId="14" fontId="14" fillId="2" borderId="32" xfId="0" applyNumberFormat="1" applyFont="1" applyFill="1" applyBorder="1" applyAlignment="1">
      <alignment horizontal="center" vertical="center"/>
    </xf>
    <xf numFmtId="14" fontId="37" fillId="2" borderId="32" xfId="0" applyNumberFormat="1" applyFont="1" applyFill="1" applyBorder="1" applyAlignment="1">
      <alignment horizontal="center" vertical="center"/>
    </xf>
    <xf numFmtId="20" fontId="45" fillId="11" borderId="7" xfId="0" applyNumberFormat="1" applyFont="1" applyFill="1" applyBorder="1" applyAlignment="1">
      <alignment horizontal="center" vertical="center"/>
    </xf>
    <xf numFmtId="20" fontId="45" fillId="11" borderId="29" xfId="0" applyNumberFormat="1" applyFont="1" applyFill="1" applyBorder="1" applyAlignment="1">
      <alignment horizontal="center" vertical="center"/>
    </xf>
    <xf numFmtId="20" fontId="45" fillId="11" borderId="8" xfId="0" applyNumberFormat="1" applyFont="1" applyFill="1" applyBorder="1" applyAlignment="1">
      <alignment horizontal="center" vertical="center"/>
    </xf>
    <xf numFmtId="20" fontId="47" fillId="10" borderId="7" xfId="0" applyNumberFormat="1" applyFont="1" applyFill="1" applyBorder="1" applyAlignment="1">
      <alignment horizontal="center"/>
    </xf>
    <xf numFmtId="20" fontId="47" fillId="10" borderId="29" xfId="0" applyNumberFormat="1" applyFont="1" applyFill="1" applyBorder="1" applyAlignment="1">
      <alignment horizontal="center"/>
    </xf>
    <xf numFmtId="20" fontId="47" fillId="10" borderId="8" xfId="0" applyNumberFormat="1" applyFont="1" applyFill="1" applyBorder="1" applyAlignment="1">
      <alignment horizontal="center"/>
    </xf>
    <xf numFmtId="0" fontId="45" fillId="11" borderId="29" xfId="0" applyFont="1" applyFill="1" applyBorder="1" applyAlignment="1">
      <alignment horizontal="center" vertical="center"/>
    </xf>
    <xf numFmtId="0" fontId="45" fillId="11" borderId="8" xfId="0" applyFont="1" applyFill="1" applyBorder="1" applyAlignment="1">
      <alignment horizontal="center" vertical="center"/>
    </xf>
    <xf numFmtId="0" fontId="45" fillId="11" borderId="7" xfId="0" applyFont="1" applyFill="1" applyBorder="1" applyAlignment="1">
      <alignment horizontal="center" vertical="center"/>
    </xf>
    <xf numFmtId="14" fontId="43" fillId="7" borderId="5" xfId="0" applyNumberFormat="1" applyFont="1" applyFill="1" applyBorder="1" applyAlignment="1">
      <alignment horizontal="center" vertical="center"/>
    </xf>
    <xf numFmtId="14" fontId="43" fillId="7" borderId="21" xfId="0" applyNumberFormat="1" applyFont="1" applyFill="1" applyBorder="1" applyAlignment="1">
      <alignment horizontal="center" vertical="center"/>
    </xf>
    <xf numFmtId="0" fontId="44" fillId="2" borderId="20" xfId="0" applyFont="1" applyFill="1" applyBorder="1" applyAlignment="1">
      <alignment horizontal="center"/>
    </xf>
    <xf numFmtId="0" fontId="44" fillId="2" borderId="21" xfId="0" applyFont="1" applyFill="1" applyBorder="1" applyAlignment="1">
      <alignment horizontal="center"/>
    </xf>
    <xf numFmtId="0" fontId="44" fillId="2" borderId="28" xfId="0" applyFont="1" applyFill="1" applyBorder="1" applyAlignment="1">
      <alignment horizontal="center"/>
    </xf>
    <xf numFmtId="0" fontId="44" fillId="2" borderId="20" xfId="0" applyFont="1" applyFill="1" applyBorder="1" applyAlignment="1">
      <alignment horizontal="center" vertical="center"/>
    </xf>
    <xf numFmtId="0" fontId="44" fillId="2" borderId="21" xfId="0" applyFont="1" applyFill="1" applyBorder="1" applyAlignment="1">
      <alignment horizontal="center" vertical="center"/>
    </xf>
    <xf numFmtId="0" fontId="44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8" fillId="10" borderId="12" xfId="0" applyFont="1" applyFill="1" applyBorder="1" applyAlignment="1">
      <alignment horizontal="center" vertical="center"/>
    </xf>
    <xf numFmtId="14" fontId="43" fillId="7" borderId="20" xfId="0" applyNumberFormat="1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/>
    </xf>
    <xf numFmtId="14" fontId="43" fillId="7" borderId="57" xfId="0" applyNumberFormat="1" applyFont="1" applyFill="1" applyBorder="1" applyAlignment="1">
      <alignment horizontal="center" vertical="center"/>
    </xf>
    <xf numFmtId="14" fontId="43" fillId="7" borderId="60" xfId="0" applyNumberFormat="1" applyFont="1" applyFill="1" applyBorder="1" applyAlignment="1">
      <alignment horizontal="center" vertical="center"/>
    </xf>
    <xf numFmtId="14" fontId="43" fillId="7" borderId="24" xfId="0" applyNumberFormat="1" applyFont="1" applyFill="1" applyBorder="1" applyAlignment="1">
      <alignment horizontal="center" vertical="center"/>
    </xf>
    <xf numFmtId="14" fontId="43" fillId="7" borderId="12" xfId="0" applyNumberFormat="1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44" fillId="2" borderId="12" xfId="0" applyFont="1" applyFill="1" applyBorder="1"/>
    <xf numFmtId="14" fontId="43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43" fillId="2" borderId="12" xfId="0" applyFont="1" applyFill="1" applyBorder="1" applyAlignment="1">
      <alignment horizontal="left" vertical="top" wrapText="1"/>
    </xf>
    <xf numFmtId="0" fontId="43" fillId="8" borderId="12" xfId="0" applyFont="1" applyFill="1" applyBorder="1" applyAlignment="1">
      <alignment horizontal="center" vertical="center"/>
    </xf>
    <xf numFmtId="0" fontId="43" fillId="8" borderId="20" xfId="0" applyFont="1" applyFill="1" applyBorder="1" applyAlignment="1">
      <alignment horizontal="center" vertical="center"/>
    </xf>
    <xf numFmtId="0" fontId="43" fillId="8" borderId="21" xfId="0" applyFont="1" applyFill="1" applyBorder="1" applyAlignment="1">
      <alignment horizontal="center" vertical="center"/>
    </xf>
    <xf numFmtId="0" fontId="43" fillId="8" borderId="28" xfId="0" applyFont="1" applyFill="1" applyBorder="1" applyAlignment="1">
      <alignment horizontal="center" vertical="center"/>
    </xf>
    <xf numFmtId="0" fontId="43" fillId="2" borderId="59" xfId="0" applyFont="1" applyFill="1" applyBorder="1" applyAlignment="1">
      <alignment horizontal="center" vertical="top" wrapText="1"/>
    </xf>
    <xf numFmtId="0" fontId="43" fillId="2" borderId="61" xfId="0" applyFont="1" applyFill="1" applyBorder="1" applyAlignment="1">
      <alignment horizontal="center" vertical="top" wrapText="1"/>
    </xf>
    <xf numFmtId="0" fontId="43" fillId="2" borderId="62" xfId="0" applyFont="1" applyFill="1" applyBorder="1" applyAlignment="1">
      <alignment horizontal="center" vertical="top" wrapText="1"/>
    </xf>
    <xf numFmtId="0" fontId="43" fillId="2" borderId="63" xfId="0" applyFont="1" applyFill="1" applyBorder="1" applyAlignment="1">
      <alignment horizontal="center" vertical="top" wrapText="1"/>
    </xf>
    <xf numFmtId="0" fontId="43" fillId="2" borderId="64" xfId="0" applyFont="1" applyFill="1" applyBorder="1" applyAlignment="1">
      <alignment horizontal="center" vertical="top" wrapText="1"/>
    </xf>
    <xf numFmtId="0" fontId="4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750</c:v>
                </c:pt>
                <c:pt idx="1">
                  <c:v>1500</c:v>
                </c:pt>
                <c:pt idx="2">
                  <c:v>2000</c:v>
                </c:pt>
                <c:pt idx="3">
                  <c:v>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1.2659173280029774</c:v>
                </c:pt>
                <c:pt idx="1">
                  <c:v>2.5318346560059548</c:v>
                </c:pt>
                <c:pt idx="2">
                  <c:v>3.3757795413412732</c:v>
                </c:pt>
                <c:pt idx="3">
                  <c:v>8.4394488533531833E-2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Tonage Production/Batch Process Milling and Leaching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Tonage/Batch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Tank'!$K$10:$K$15</c:f>
              <c:numCache>
                <c:formatCode>0</c:formatCode>
                <c:ptCount val="6"/>
                <c:pt idx="0">
                  <c:v>292.31359999999995</c:v>
                </c:pt>
                <c:pt idx="1">
                  <c:v>300.14215000000002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C-4E99-A336-B370C8ECF0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9553648"/>
        <c:axId val="109537328"/>
      </c:barChart>
      <c:lineChart>
        <c:grouping val="standard"/>
        <c:varyColors val="0"/>
        <c:ser>
          <c:idx val="1"/>
          <c:order val="1"/>
          <c:tx>
            <c:v>Cumulative Tonage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Tank'!$T$10:$T$15</c:f>
              <c:numCache>
                <c:formatCode>0</c:formatCode>
                <c:ptCount val="6"/>
                <c:pt idx="0">
                  <c:v>292.31359999999995</c:v>
                </c:pt>
                <c:pt idx="1">
                  <c:v>592.45574999999997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0C-4E99-A336-B370C8ECF0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88391248"/>
        <c:axId val="688390768"/>
      </c:lineChart>
      <c:catAx>
        <c:axId val="109553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Batch Process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37328"/>
        <c:crosses val="autoZero"/>
        <c:auto val="1"/>
        <c:lblAlgn val="ctr"/>
        <c:lblOffset val="100"/>
        <c:noMultiLvlLbl val="0"/>
      </c:catAx>
      <c:valAx>
        <c:axId val="109537328"/>
        <c:scaling>
          <c:orientation val="minMax"/>
          <c:max val="1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Tonage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53648"/>
        <c:crosses val="autoZero"/>
        <c:crossBetween val="between"/>
      </c:valAx>
      <c:valAx>
        <c:axId val="68839076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Tonage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91248"/>
        <c:crosses val="max"/>
        <c:crossBetween val="between"/>
      </c:valAx>
      <c:catAx>
        <c:axId val="6883912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83907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'LT Ball Mill'!$B$4:$B$22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'LT Ball Mill'!$F$4:$F$22</c:f>
              <c:numCache>
                <c:formatCode>General</c:formatCode>
                <c:ptCount val="19"/>
                <c:pt idx="0">
                  <c:v>1.0229999999999999</c:v>
                </c:pt>
                <c:pt idx="1">
                  <c:v>0.94899999999999995</c:v>
                </c:pt>
                <c:pt idx="2">
                  <c:v>0.92900000000000005</c:v>
                </c:pt>
                <c:pt idx="3">
                  <c:v>0.64100000000000001</c:v>
                </c:pt>
                <c:pt idx="4">
                  <c:v>0.63700000000000001</c:v>
                </c:pt>
                <c:pt idx="5">
                  <c:v>0.54900000000000004</c:v>
                </c:pt>
                <c:pt idx="6">
                  <c:v>0.64600000000000002</c:v>
                </c:pt>
                <c:pt idx="7">
                  <c:v>0.64500000000000002</c:v>
                </c:pt>
                <c:pt idx="8">
                  <c:v>0.65</c:v>
                </c:pt>
                <c:pt idx="9">
                  <c:v>0.64100000000000001</c:v>
                </c:pt>
                <c:pt idx="10">
                  <c:v>0.63700000000000001</c:v>
                </c:pt>
                <c:pt idx="11">
                  <c:v>0.54900000000000004</c:v>
                </c:pt>
                <c:pt idx="12">
                  <c:v>0.66</c:v>
                </c:pt>
                <c:pt idx="13">
                  <c:v>0.82399999999999995</c:v>
                </c:pt>
                <c:pt idx="14">
                  <c:v>0.75</c:v>
                </c:pt>
                <c:pt idx="15">
                  <c:v>1.0209999999999999</c:v>
                </c:pt>
                <c:pt idx="16">
                  <c:v>1.016</c:v>
                </c:pt>
                <c:pt idx="17">
                  <c:v>1.0329999999999999</c:v>
                </c:pt>
                <c:pt idx="18">
                  <c:v>0.66800000000000004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52-48EC-A2D6-2F6A58609DE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'LT Ball Mill'!$U$34:$U$52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'LT Ball Mill'!$V$34:$V$52</c:f>
              <c:numCache>
                <c:formatCode>General</c:formatCode>
                <c:ptCount val="19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52-48EC-A2D6-2F6A58609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6592128"/>
        <c:axId val="849034736"/>
      </c:scatterChart>
      <c:valAx>
        <c:axId val="33659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034736"/>
        <c:crosses val="autoZero"/>
        <c:crossBetween val="midCat"/>
        <c:majorUnit val="2"/>
      </c:valAx>
      <c:valAx>
        <c:axId val="849034736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59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29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717080</xdr:colOff>
      <xdr:row>32</xdr:row>
      <xdr:rowOff>39276</xdr:rowOff>
    </xdr:from>
    <xdr:to>
      <xdr:col>34</xdr:col>
      <xdr:colOff>576203</xdr:colOff>
      <xdr:row>64</xdr:row>
      <xdr:rowOff>148166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294640</xdr:colOff>
      <xdr:row>64</xdr:row>
      <xdr:rowOff>55880</xdr:rowOff>
    </xdr:from>
    <xdr:to>
      <xdr:col>7</xdr:col>
      <xdr:colOff>0</xdr:colOff>
      <xdr:row>81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B72167-03D0-1441-55F3-E44C170096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67654</xdr:colOff>
      <xdr:row>33</xdr:row>
      <xdr:rowOff>106110</xdr:rowOff>
    </xdr:from>
    <xdr:to>
      <xdr:col>14</xdr:col>
      <xdr:colOff>964963</xdr:colOff>
      <xdr:row>48</xdr:row>
      <xdr:rowOff>71927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D4AFB6-908B-6595-2B58-75C8919368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107203</xdr:colOff>
      <xdr:row>15</xdr:row>
      <xdr:rowOff>17507</xdr:rowOff>
    </xdr:from>
    <xdr:to>
      <xdr:col>44</xdr:col>
      <xdr:colOff>301956</xdr:colOff>
      <xdr:row>36</xdr:row>
      <xdr:rowOff>118213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abSelected="1" topLeftCell="A11" zoomScale="60" zoomScaleNormal="40" workbookViewId="0">
      <pane xSplit="2" topLeftCell="C1" activePane="topRight" state="frozen"/>
      <selection activeCell="A2" sqref="A2"/>
      <selection pane="topRight" activeCell="J51" sqref="J51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595" t="s">
        <v>125</v>
      </c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95"/>
      <c r="Y1" s="595"/>
      <c r="Z1" s="595"/>
      <c r="AA1" s="595"/>
      <c r="AB1" s="595"/>
      <c r="AC1" s="595"/>
      <c r="AD1" s="595"/>
      <c r="AE1" s="595"/>
      <c r="AF1" s="595"/>
      <c r="AG1" s="595"/>
      <c r="AH1" s="595"/>
      <c r="AI1" s="595"/>
      <c r="AJ1" s="595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596" t="s">
        <v>126</v>
      </c>
      <c r="I2" s="596"/>
      <c r="J2" s="596"/>
      <c r="K2" s="596"/>
      <c r="L2" s="596"/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96"/>
      <c r="Y2" s="596"/>
      <c r="Z2" s="596"/>
      <c r="AA2" s="596"/>
      <c r="AB2" s="596"/>
      <c r="AC2" s="596"/>
      <c r="AD2" s="596"/>
      <c r="AE2" s="596"/>
      <c r="AF2" s="596"/>
      <c r="AG2" s="596"/>
      <c r="AH2" s="596"/>
      <c r="AI2" s="596"/>
      <c r="AJ2" s="596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585" t="s">
        <v>73</v>
      </c>
      <c r="C5" s="587" t="s">
        <v>74</v>
      </c>
      <c r="D5" s="588"/>
      <c r="E5" s="588"/>
      <c r="F5" s="588"/>
      <c r="G5" s="588"/>
      <c r="H5" s="589"/>
      <c r="I5" s="590" t="s">
        <v>446</v>
      </c>
      <c r="J5" s="590" t="s">
        <v>329</v>
      </c>
      <c r="K5" s="591" t="s">
        <v>75</v>
      </c>
      <c r="L5" s="588"/>
      <c r="M5" s="588"/>
      <c r="N5" s="585" t="s">
        <v>76</v>
      </c>
      <c r="O5" s="597" t="s">
        <v>179</v>
      </c>
      <c r="P5" s="597"/>
      <c r="Q5" s="597"/>
      <c r="R5" s="597"/>
      <c r="S5" s="597"/>
      <c r="T5" s="597"/>
      <c r="U5" s="597"/>
      <c r="V5" s="597"/>
      <c r="W5" s="597"/>
      <c r="X5" s="597"/>
      <c r="Y5" s="598"/>
      <c r="Z5" s="591" t="s">
        <v>77</v>
      </c>
      <c r="AA5" s="599"/>
      <c r="AB5" s="599"/>
      <c r="AC5" s="599"/>
      <c r="AD5" s="599"/>
      <c r="AE5" s="599"/>
      <c r="AF5" s="599"/>
      <c r="AG5" s="600"/>
      <c r="AH5" s="591" t="s">
        <v>78</v>
      </c>
      <c r="AI5" s="589"/>
      <c r="AJ5" s="591" t="s">
        <v>79</v>
      </c>
      <c r="AK5" s="588"/>
      <c r="AL5" s="588"/>
      <c r="AM5" s="588"/>
      <c r="AN5" s="588"/>
      <c r="AO5" s="589"/>
      <c r="AP5" s="591" t="s">
        <v>80</v>
      </c>
      <c r="AQ5" s="589"/>
      <c r="AR5" s="85"/>
      <c r="AS5" s="95" t="s">
        <v>81</v>
      </c>
    </row>
    <row r="6" spans="1:45" ht="29.4" thickBot="1" x14ac:dyDescent="0.35">
      <c r="A6" s="94"/>
      <c r="B6" s="586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172</v>
      </c>
      <c r="H6" s="96" t="s">
        <v>86</v>
      </c>
      <c r="I6" s="586"/>
      <c r="J6" s="593"/>
      <c r="K6" s="96" t="s">
        <v>87</v>
      </c>
      <c r="L6" s="96" t="s">
        <v>88</v>
      </c>
      <c r="M6" s="96" t="s">
        <v>127</v>
      </c>
      <c r="N6" s="592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324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53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53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53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53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0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0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Consumption'!O20</f>
        <v>0</v>
      </c>
      <c r="AA18" s="99">
        <f>'Fuel Consumption'!F15</f>
        <v>0</v>
      </c>
      <c r="AB18" s="103">
        <f>'Reagent Consumption'!Q20</f>
        <v>0</v>
      </c>
      <c r="AC18" s="103">
        <f>'Reagent Consumption'!P20</f>
        <v>0</v>
      </c>
      <c r="AD18" s="103">
        <f>'Reagent Consumption'!R20</f>
        <v>0</v>
      </c>
      <c r="AE18" s="103">
        <f>'Reagent Consumption'!S20</f>
        <v>0</v>
      </c>
      <c r="AF18" s="103">
        <f>'Reagent Consumption'!T20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Hours'!M5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Consumption'!O21</f>
        <v>0</v>
      </c>
      <c r="AA19" s="99">
        <f>'Fuel Consumption'!F16</f>
        <v>0</v>
      </c>
      <c r="AB19" s="103">
        <f>'Reagent Consumption'!Q21</f>
        <v>0</v>
      </c>
      <c r="AC19" s="103">
        <f>'Reagent Consumption'!P21</f>
        <v>0</v>
      </c>
      <c r="AD19" s="103">
        <f>'Reagent Consumption'!R21</f>
        <v>0</v>
      </c>
      <c r="AE19" s="103">
        <f>'Reagent Consumption'!S21</f>
        <v>0</v>
      </c>
      <c r="AF19" s="103">
        <f>'Reagent Consumption'!T21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Hours'!M6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Consumption'!O22</f>
        <v>0</v>
      </c>
      <c r="AA20" s="99">
        <f>'Fuel Consumption'!F17</f>
        <v>0</v>
      </c>
      <c r="AB20" s="103">
        <f>'Reagent Consumption'!Q22</f>
        <v>0</v>
      </c>
      <c r="AC20" s="103">
        <f>'Reagent Consumption'!P22</f>
        <v>0</v>
      </c>
      <c r="AD20" s="103">
        <f>'Reagent Consumption'!R22</f>
        <v>0</v>
      </c>
      <c r="AE20" s="103">
        <f>'Reagent Consumption'!S22</f>
        <v>0</v>
      </c>
      <c r="AF20" s="103">
        <f>'Reagent Consumption'!T22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Hours'!M7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Consumption'!O23</f>
        <v>0</v>
      </c>
      <c r="AA21" s="99">
        <f>'Fuel Consumption'!F18</f>
        <v>0</v>
      </c>
      <c r="AB21" s="103">
        <f>'Reagent Consumption'!Q23</f>
        <v>0</v>
      </c>
      <c r="AC21" s="103">
        <f>'Reagent Consumption'!P23</f>
        <v>0</v>
      </c>
      <c r="AD21" s="103">
        <f>'Reagent Consumption'!R23</f>
        <v>0</v>
      </c>
      <c r="AE21" s="103">
        <f>'Reagent Consumption'!S23</f>
        <v>0</v>
      </c>
      <c r="AF21" s="103">
        <f>'Reagent Consumption'!T23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Hours'!M8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Consumption'!O24</f>
        <v>0</v>
      </c>
      <c r="AA22" s="99">
        <f>'Fuel Consumption'!F19</f>
        <v>0</v>
      </c>
      <c r="AB22" s="103">
        <f>'Reagent Consumption'!Q24</f>
        <v>0</v>
      </c>
      <c r="AC22" s="103">
        <f>'Reagent Consumption'!P24</f>
        <v>0</v>
      </c>
      <c r="AD22" s="103">
        <f>'Reagent Consumption'!R24</f>
        <v>0</v>
      </c>
      <c r="AE22" s="103">
        <f>'Reagent Consumption'!S24</f>
        <v>0</v>
      </c>
      <c r="AF22" s="103">
        <f>'Reagent Consumption'!T24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Hours'!M9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Consumption'!O25</f>
        <v>0</v>
      </c>
      <c r="AA23" s="99">
        <f>'Fuel Consumption'!F20</f>
        <v>0</v>
      </c>
      <c r="AB23" s="103">
        <f>'Reagent Consumption'!Q25</f>
        <v>0</v>
      </c>
      <c r="AC23" s="103">
        <f>'Reagent Consumption'!P25</f>
        <v>0</v>
      </c>
      <c r="AD23" s="103">
        <f>'Reagent Consumption'!R25</f>
        <v>0</v>
      </c>
      <c r="AE23" s="103">
        <f>'Reagent Consumption'!S25</f>
        <v>0</v>
      </c>
      <c r="AF23" s="103">
        <f>'Reagent Consumption'!T25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Hours'!L5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Hours'!M10</f>
        <v>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Consumption'!O26</f>
        <v>0</v>
      </c>
      <c r="AA24" s="99">
        <f>'Fuel Consumption'!F21</f>
        <v>0</v>
      </c>
      <c r="AB24" s="103">
        <f>'Reagent Consumption'!Q26</f>
        <v>0</v>
      </c>
      <c r="AC24" s="103">
        <f>'Reagent Consumption'!P26</f>
        <v>0</v>
      </c>
      <c r="AD24" s="103">
        <f>'Reagent Consumption'!R26</f>
        <v>0</v>
      </c>
      <c r="AE24" s="103">
        <f>'Reagent Consumption'!S26</f>
        <v>0</v>
      </c>
      <c r="AF24" s="103">
        <f>'Reagent Consumption'!T26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Hours'!L6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Hours'!M11</f>
        <v>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Consumption'!O27</f>
        <v>0</v>
      </c>
      <c r="AA25" s="99">
        <f>'Fuel Consumption'!F22</f>
        <v>0</v>
      </c>
      <c r="AB25" s="103">
        <f>'Reagent Consumption'!Q27</f>
        <v>0</v>
      </c>
      <c r="AC25" s="103">
        <f>'Reagent Consumption'!P27</f>
        <v>0</v>
      </c>
      <c r="AD25" s="103">
        <f>'Reagent Consumption'!R27</f>
        <v>0</v>
      </c>
      <c r="AE25" s="103">
        <f>'Reagent Consumption'!S27</f>
        <v>0</v>
      </c>
      <c r="AF25" s="103">
        <f>'Reagent Consumption'!T27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Hours'!L7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Hours'!M12</f>
        <v>1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Consumption'!O28</f>
        <v>0</v>
      </c>
      <c r="AA26" s="99">
        <f>'Fuel Consumption'!F23</f>
        <v>0</v>
      </c>
      <c r="AB26" s="103">
        <f>'Reagent Consumption'!Q28</f>
        <v>0</v>
      </c>
      <c r="AC26" s="103">
        <f>'Reagent Consumption'!P28</f>
        <v>0</v>
      </c>
      <c r="AD26" s="103">
        <f>'Reagent Consumption'!R28</f>
        <v>0</v>
      </c>
      <c r="AE26" s="103">
        <f>'Reagent Consumption'!S28</f>
        <v>0</v>
      </c>
      <c r="AF26" s="103">
        <f>'Reagent Consumption'!T28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Hours'!L8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Hours'!M13</f>
        <v>1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Consumption'!O29</f>
        <v>0</v>
      </c>
      <c r="AA27" s="99">
        <f>'Fuel Consumption'!F24</f>
        <v>0</v>
      </c>
      <c r="AB27" s="103">
        <f>'Reagent Consumption'!Q29</f>
        <v>0</v>
      </c>
      <c r="AC27" s="103">
        <f>'Reagent Consumption'!P29</f>
        <v>0</v>
      </c>
      <c r="AD27" s="103">
        <f>'Reagent Consumption'!R29</f>
        <v>0</v>
      </c>
      <c r="AE27" s="103">
        <f>'Reagent Consumption'!S29</f>
        <v>0</v>
      </c>
      <c r="AF27" s="103">
        <f>'Reagent Consumption'!T29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Hours'!L9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Hours'!M14</f>
        <v>1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Consumption'!O30</f>
        <v>0</v>
      </c>
      <c r="AA28" s="99">
        <f>'Fuel Consumption'!F25</f>
        <v>0</v>
      </c>
      <c r="AB28" s="103">
        <f>'Reagent Consumption'!Q30</f>
        <v>0</v>
      </c>
      <c r="AC28" s="103">
        <f>'Reagent Consumption'!P30</f>
        <v>0</v>
      </c>
      <c r="AD28" s="103">
        <f>'Reagent Consumption'!R30</f>
        <v>0</v>
      </c>
      <c r="AE28" s="103">
        <f>'Reagent Consumption'!S30</f>
        <v>0</v>
      </c>
      <c r="AF28" s="103">
        <f>'Reagent Consumption'!T30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Hours'!L10</f>
        <v>24</v>
      </c>
      <c r="K29" s="102">
        <f>'Crushing Down Time Hours'!M29</f>
        <v>0</v>
      </c>
      <c r="L29" s="102">
        <f t="shared" si="2"/>
        <v>1</v>
      </c>
      <c r="M29" s="105">
        <f>'Milling Down Time Hours'!M15</f>
        <v>1</v>
      </c>
      <c r="N29" s="102">
        <f t="shared" si="7"/>
        <v>0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Consumption'!O31</f>
        <v>0</v>
      </c>
      <c r="AA29" s="99">
        <f>'Fuel Consumption'!F26</f>
        <v>0</v>
      </c>
      <c r="AB29" s="103">
        <f>'Reagent Consumption'!Q31</f>
        <v>0</v>
      </c>
      <c r="AC29" s="103">
        <f>'Reagent Consumption'!P31</f>
        <v>0</v>
      </c>
      <c r="AD29" s="103">
        <f>'Reagent Consumption'!R31</f>
        <v>0</v>
      </c>
      <c r="AE29" s="103">
        <f>'Reagent Consumption'!S31</f>
        <v>0</v>
      </c>
      <c r="AF29" s="103">
        <f>'Reagent Consumption'!T31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Hours'!L11</f>
        <v>24</v>
      </c>
      <c r="K30" s="102">
        <f>'Crushing Down Time Hours'!M30</f>
        <v>0</v>
      </c>
      <c r="L30" s="102">
        <f t="shared" si="2"/>
        <v>1</v>
      </c>
      <c r="M30" s="105">
        <f>'Milling Down Time Hours'!M16</f>
        <v>1</v>
      </c>
      <c r="N30" s="102">
        <f t="shared" si="7"/>
        <v>0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Consumption'!O32</f>
        <v>0</v>
      </c>
      <c r="AA30" s="99">
        <f>'Fuel Consumption'!F27</f>
        <v>0</v>
      </c>
      <c r="AB30" s="103">
        <f>'Reagent Consumption'!Q32</f>
        <v>0</v>
      </c>
      <c r="AC30" s="103">
        <f>'Reagent Consumption'!P32</f>
        <v>0</v>
      </c>
      <c r="AD30" s="103">
        <f>'Reagent Consumption'!R32</f>
        <v>0</v>
      </c>
      <c r="AE30" s="103">
        <f>'Reagent Consumption'!S32</f>
        <v>0</v>
      </c>
      <c r="AF30" s="103">
        <f>'Reagent Consumption'!T32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Hours'!L12</f>
        <v>24</v>
      </c>
      <c r="K31" s="102">
        <f>'Crushing Down Time Hours'!M31</f>
        <v>0</v>
      </c>
      <c r="L31" s="102">
        <f t="shared" si="2"/>
        <v>1</v>
      </c>
      <c r="M31" s="105">
        <f>'Milling Down Time Hours'!M17</f>
        <v>1</v>
      </c>
      <c r="N31" s="102">
        <f t="shared" si="7"/>
        <v>0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Consumption'!O33</f>
        <v>0</v>
      </c>
      <c r="AA31" s="99">
        <f>'Fuel Consumption'!F28</f>
        <v>0</v>
      </c>
      <c r="AB31" s="103">
        <f>'Reagent Consumption'!Q33</f>
        <v>0</v>
      </c>
      <c r="AC31" s="103">
        <f>'Reagent Consumption'!P33</f>
        <v>0</v>
      </c>
      <c r="AD31" s="103">
        <f>'Reagent Consumption'!R33</f>
        <v>0</v>
      </c>
      <c r="AE31" s="103">
        <f>'Reagent Consumption'!S33</f>
        <v>0</v>
      </c>
      <c r="AF31" s="103">
        <f>'Reagent Consumption'!T33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Hours'!L13</f>
        <v>24</v>
      </c>
      <c r="K32" s="102">
        <f>'Crushing Down Time Hours'!M32</f>
        <v>0</v>
      </c>
      <c r="L32" s="102">
        <f t="shared" si="2"/>
        <v>1</v>
      </c>
      <c r="M32" s="102">
        <v>1</v>
      </c>
      <c r="N32" s="102">
        <f t="shared" si="7"/>
        <v>0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Consumption'!O34</f>
        <v>0</v>
      </c>
      <c r="AA32" s="99">
        <f>'Fuel Consumption'!F29</f>
        <v>0</v>
      </c>
      <c r="AB32" s="103">
        <f>'Reagent Consumption'!Q34</f>
        <v>0</v>
      </c>
      <c r="AC32" s="103">
        <f>'Reagent Consumption'!P34</f>
        <v>0</v>
      </c>
      <c r="AD32" s="103">
        <f>'Reagent Consumption'!R34</f>
        <v>0</v>
      </c>
      <c r="AE32" s="103">
        <f>'Reagent Consumption'!S34</f>
        <v>0</v>
      </c>
      <c r="AF32" s="103">
        <f>'Reagent Consumption'!T34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Hours'!L14</f>
        <v>24</v>
      </c>
      <c r="K33" s="102">
        <f>'Crushing Down Time Hours'!M33</f>
        <v>0</v>
      </c>
      <c r="L33" s="102">
        <f t="shared" si="2"/>
        <v>1</v>
      </c>
      <c r="M33" s="102">
        <v>1</v>
      </c>
      <c r="N33" s="102">
        <f t="shared" si="7"/>
        <v>0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Consumption'!O35</f>
        <v>0</v>
      </c>
      <c r="AA33" s="99">
        <f>'Fuel Consumption'!F30</f>
        <v>0</v>
      </c>
      <c r="AB33" s="103">
        <f>'Reagent Consumption'!Q35</f>
        <v>0</v>
      </c>
      <c r="AC33" s="103">
        <f>'Reagent Consumption'!P35</f>
        <v>0</v>
      </c>
      <c r="AD33" s="103">
        <f>'Reagent Consumption'!R35</f>
        <v>0</v>
      </c>
      <c r="AE33" s="103">
        <f>'Reagent Consumption'!S35</f>
        <v>0</v>
      </c>
      <c r="AF33" s="103">
        <f>'Reagent Consumption'!T35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Hours'!L15</f>
        <v>24</v>
      </c>
      <c r="K34" s="102">
        <f>'Crushing Down Time Hours'!M34</f>
        <v>0</v>
      </c>
      <c r="L34" s="102">
        <f t="shared" si="2"/>
        <v>1</v>
      </c>
      <c r="M34" s="102">
        <v>1</v>
      </c>
      <c r="N34" s="102">
        <f t="shared" si="7"/>
        <v>0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Consumption'!O36</f>
        <v>0</v>
      </c>
      <c r="AA34" s="99">
        <f>'Fuel Consumption'!F31</f>
        <v>0</v>
      </c>
      <c r="AB34" s="103">
        <f>'Reagent Consumption'!Q36</f>
        <v>0</v>
      </c>
      <c r="AC34" s="103">
        <f>'Reagent Consumption'!P36</f>
        <v>0</v>
      </c>
      <c r="AD34" s="103">
        <f>'Reagent Consumption'!R36</f>
        <v>0</v>
      </c>
      <c r="AE34" s="103">
        <f>'Reagent Consumption'!S36</f>
        <v>0</v>
      </c>
      <c r="AF34" s="103">
        <f>'Reagent Consumption'!T36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Hours'!L16</f>
        <v>24</v>
      </c>
      <c r="K35" s="102">
        <f>'Crushing Down Time Hours'!M35</f>
        <v>0</v>
      </c>
      <c r="L35" s="102">
        <f t="shared" si="2"/>
        <v>1</v>
      </c>
      <c r="M35" s="102">
        <v>1</v>
      </c>
      <c r="N35" s="102">
        <f t="shared" si="7"/>
        <v>0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Consumption'!O37</f>
        <v>0</v>
      </c>
      <c r="AA35" s="99">
        <f>'Fuel Consumption'!F32</f>
        <v>0</v>
      </c>
      <c r="AB35" s="103">
        <f>'Reagent Consumption'!Q37</f>
        <v>0</v>
      </c>
      <c r="AC35" s="103">
        <f>'Reagent Consumption'!P37</f>
        <v>0</v>
      </c>
      <c r="AD35" s="103">
        <f>'Reagent Consumption'!R37</f>
        <v>0</v>
      </c>
      <c r="AE35" s="103">
        <f>'Reagent Consumption'!S37</f>
        <v>0</v>
      </c>
      <c r="AF35" s="103">
        <f>'Reagent Consumption'!T37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42">
        <f>Crushing!N35</f>
        <v>0</v>
      </c>
      <c r="D36" s="242">
        <f t="shared" si="9"/>
        <v>2145.0891000000006</v>
      </c>
      <c r="E36" s="243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Hours'!L17</f>
        <v>24</v>
      </c>
      <c r="K36" s="102">
        <f>'Crushing Down Time Hours'!M36</f>
        <v>0</v>
      </c>
      <c r="L36" s="102">
        <f t="shared" si="2"/>
        <v>1</v>
      </c>
      <c r="M36" s="118">
        <v>1</v>
      </c>
      <c r="N36" s="118">
        <f t="shared" si="7"/>
        <v>0</v>
      </c>
      <c r="O36" s="97"/>
      <c r="P36" s="97"/>
      <c r="Q36" s="97"/>
      <c r="R36" s="97"/>
      <c r="S36" s="97"/>
      <c r="T36" s="149">
        <f t="shared" si="3"/>
        <v>0</v>
      </c>
      <c r="U36" s="244" t="e">
        <f t="shared" si="4"/>
        <v>#DIV/0!</v>
      </c>
      <c r="V36" s="97"/>
      <c r="W36" s="97"/>
      <c r="X36" s="97"/>
      <c r="Y36" s="97"/>
      <c r="Z36" s="149">
        <f>'Reagent Consumption'!O38</f>
        <v>0</v>
      </c>
      <c r="AA36" s="242">
        <f>'Fuel Consumption'!F33</f>
        <v>0</v>
      </c>
      <c r="AB36" s="149">
        <f>'Reagent Consumption'!Q38</f>
        <v>0</v>
      </c>
      <c r="AC36" s="149">
        <f>'Reagent Consumption'!P38</f>
        <v>0</v>
      </c>
      <c r="AD36" s="149">
        <f>'Reagent Consumption'!R38</f>
        <v>0</v>
      </c>
      <c r="AE36" s="149">
        <f>'Reagent Consumption'!S38</f>
        <v>0</v>
      </c>
      <c r="AF36" s="149">
        <f>'Reagent Consumption'!T38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5">
        <f>Crushing!N66</f>
        <v>0</v>
      </c>
      <c r="D37" s="245">
        <f>D36+C37</f>
        <v>2145.0891000000006</v>
      </c>
      <c r="E37" s="246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Hours'!L18</f>
        <v>24</v>
      </c>
      <c r="K37" s="102">
        <f>'Crushing Down Time Hours'!M37</f>
        <v>0</v>
      </c>
      <c r="L37" s="102">
        <f t="shared" si="2"/>
        <v>1</v>
      </c>
      <c r="M37" s="119">
        <v>1</v>
      </c>
      <c r="N37" s="119">
        <f t="shared" si="7"/>
        <v>0</v>
      </c>
      <c r="O37" s="106"/>
      <c r="P37" s="106"/>
      <c r="Q37" s="106"/>
      <c r="R37" s="106"/>
      <c r="S37" s="106"/>
      <c r="T37" s="247">
        <f t="shared" si="3"/>
        <v>0</v>
      </c>
      <c r="U37" s="248" t="e">
        <f t="shared" si="4"/>
        <v>#DIV/0!</v>
      </c>
      <c r="V37" s="106"/>
      <c r="W37" s="106"/>
      <c r="X37" s="106"/>
      <c r="Y37" s="106"/>
      <c r="Z37" s="149">
        <f>'Reagent Consumption'!O39</f>
        <v>0</v>
      </c>
      <c r="AA37" s="242">
        <f>'Fuel Consumption'!F34</f>
        <v>0</v>
      </c>
      <c r="AB37" s="149">
        <f>'Reagent Consumption'!Q39</f>
        <v>0</v>
      </c>
      <c r="AC37" s="149">
        <f>'Reagent Consumption'!P39</f>
        <v>0</v>
      </c>
      <c r="AD37" s="149">
        <f>'Reagent Consumption'!R39</f>
        <v>0</v>
      </c>
      <c r="AE37" s="149">
        <f>'Reagent Consumption'!S39</f>
        <v>0</v>
      </c>
      <c r="AF37" s="149">
        <f>'Reagent Consumption'!T39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7"/>
      <c r="AQ37" s="106"/>
      <c r="AR37" s="85"/>
      <c r="AS37" s="85"/>
    </row>
    <row r="38" spans="1:45" ht="14.4" x14ac:dyDescent="0.3">
      <c r="A38" s="85"/>
      <c r="B38" s="98">
        <v>46279</v>
      </c>
      <c r="C38" s="245">
        <f>Crushing!N68</f>
        <v>0</v>
      </c>
      <c r="D38" s="245">
        <f>D37+C38</f>
        <v>2145.0891000000006</v>
      </c>
      <c r="E38" s="246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Hours'!L19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7"/>
      <c r="U38" s="248"/>
      <c r="V38" s="106"/>
      <c r="W38" s="106"/>
      <c r="X38" s="106"/>
      <c r="Y38" s="106"/>
      <c r="Z38" s="149">
        <f>'Reagent Consumption'!O40</f>
        <v>0</v>
      </c>
      <c r="AA38" s="242">
        <f>'Fuel Consumption'!F35</f>
        <v>0</v>
      </c>
      <c r="AB38" s="149">
        <f>'Reagent Consumption'!Q40</f>
        <v>0</v>
      </c>
      <c r="AC38" s="149">
        <f>'Reagent Consumption'!P40</f>
        <v>0</v>
      </c>
      <c r="AD38" s="149">
        <f>'Reagent Consumption'!R40</f>
        <v>0</v>
      </c>
      <c r="AE38" s="149">
        <f>'Reagent Consumption'!S40</f>
        <v>0</v>
      </c>
      <c r="AF38" s="149">
        <f>'Reagent Consumption'!T40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7"/>
      <c r="AQ38" s="106"/>
      <c r="AR38" s="85"/>
      <c r="AS38" s="85"/>
    </row>
    <row r="39" spans="1:45" ht="14.4" x14ac:dyDescent="0.3">
      <c r="A39" s="85"/>
      <c r="B39" s="98">
        <v>46280</v>
      </c>
      <c r="C39" s="245"/>
      <c r="D39" s="245">
        <f t="shared" ref="D39:D49" si="13">D38+C39</f>
        <v>2145.0891000000006</v>
      </c>
      <c r="E39" s="246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Hours'!L20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7"/>
      <c r="U39" s="248"/>
      <c r="V39" s="106"/>
      <c r="W39" s="106"/>
      <c r="X39" s="106"/>
      <c r="Y39" s="106"/>
      <c r="Z39" s="149">
        <f>'Reagent Consumption'!O41</f>
        <v>0</v>
      </c>
      <c r="AA39" s="242">
        <f>'Fuel Consumption'!F36</f>
        <v>0</v>
      </c>
      <c r="AB39" s="149">
        <f>'Reagent Consumption'!Q41</f>
        <v>0</v>
      </c>
      <c r="AC39" s="149">
        <f>'Reagent Consumption'!P41</f>
        <v>0</v>
      </c>
      <c r="AD39" s="149">
        <f>'Reagent Consumption'!R41</f>
        <v>0</v>
      </c>
      <c r="AE39" s="149">
        <f>'Reagent Consumption'!S41</f>
        <v>0</v>
      </c>
      <c r="AF39" s="149">
        <f>'Reagent Consumption'!T41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7"/>
      <c r="AQ39" s="106"/>
      <c r="AR39" s="85"/>
      <c r="AS39" s="85"/>
    </row>
    <row r="40" spans="1:45" ht="14.4" x14ac:dyDescent="0.3">
      <c r="A40" s="85"/>
      <c r="B40" s="98">
        <v>46281</v>
      </c>
      <c r="C40" s="245">
        <f>Crushing!N39</f>
        <v>0</v>
      </c>
      <c r="D40" s="245">
        <f t="shared" si="13"/>
        <v>2145.0891000000006</v>
      </c>
      <c r="E40" s="246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Hours'!L21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7"/>
      <c r="U40" s="248"/>
      <c r="V40" s="106"/>
      <c r="W40" s="106"/>
      <c r="X40" s="106"/>
      <c r="Y40" s="106"/>
      <c r="Z40" s="149">
        <f>'Reagent Consumption'!O42</f>
        <v>0</v>
      </c>
      <c r="AA40" s="242">
        <f>'Fuel Consumption'!F37</f>
        <v>0</v>
      </c>
      <c r="AB40" s="149">
        <f>'Reagent Consumption'!Q42</f>
        <v>0</v>
      </c>
      <c r="AC40" s="149">
        <f>'Reagent Consumption'!P42</f>
        <v>0</v>
      </c>
      <c r="AD40" s="149">
        <f>'Reagent Consumption'!R42</f>
        <v>0</v>
      </c>
      <c r="AE40" s="149">
        <f>'Reagent Consumption'!S42</f>
        <v>0</v>
      </c>
      <c r="AF40" s="149">
        <f>'Reagent Consumption'!T42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7"/>
      <c r="AQ40" s="106"/>
      <c r="AR40" s="85"/>
      <c r="AS40" s="85"/>
    </row>
    <row r="41" spans="1:45" ht="14.4" x14ac:dyDescent="0.3">
      <c r="A41" s="85"/>
      <c r="B41" s="98">
        <v>46282</v>
      </c>
      <c r="C41" s="245">
        <f>Crushing!N40</f>
        <v>0</v>
      </c>
      <c r="D41" s="245">
        <f t="shared" si="13"/>
        <v>2145.0891000000006</v>
      </c>
      <c r="E41" s="246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Hours'!L22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7"/>
      <c r="U41" s="248"/>
      <c r="V41" s="106"/>
      <c r="W41" s="106"/>
      <c r="X41" s="106"/>
      <c r="Y41" s="106"/>
      <c r="Z41" s="149">
        <f>'Reagent Consumption'!O43</f>
        <v>0</v>
      </c>
      <c r="AA41" s="242">
        <f>'Fuel Consumption'!F38</f>
        <v>0</v>
      </c>
      <c r="AB41" s="149">
        <f>'Reagent Consumption'!Q43</f>
        <v>0</v>
      </c>
      <c r="AC41" s="149">
        <f>'Reagent Consumption'!P43</f>
        <v>0</v>
      </c>
      <c r="AD41" s="149">
        <f>'Reagent Consumption'!R43</f>
        <v>0</v>
      </c>
      <c r="AE41" s="149">
        <f>'Reagent Consumption'!S43</f>
        <v>0</v>
      </c>
      <c r="AF41" s="149">
        <f>'Reagent Consumption'!T43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7"/>
      <c r="AQ41" s="106"/>
      <c r="AR41" s="85"/>
      <c r="AS41" s="85"/>
    </row>
    <row r="42" spans="1:45" ht="14.4" x14ac:dyDescent="0.3">
      <c r="A42" s="85"/>
      <c r="B42" s="98">
        <v>46283</v>
      </c>
      <c r="C42" s="245">
        <f>Crushing!N41</f>
        <v>0</v>
      </c>
      <c r="D42" s="245">
        <f t="shared" si="13"/>
        <v>2145.0891000000006</v>
      </c>
      <c r="E42" s="246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Hours'!L23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7"/>
      <c r="U42" s="248"/>
      <c r="V42" s="106"/>
      <c r="W42" s="106"/>
      <c r="X42" s="106"/>
      <c r="Y42" s="106"/>
      <c r="Z42" s="149">
        <f>'Reagent Consumption'!O44</f>
        <v>0</v>
      </c>
      <c r="AA42" s="242">
        <f>'Fuel Consumption'!F39</f>
        <v>0</v>
      </c>
      <c r="AB42" s="149">
        <f>'Reagent Consumption'!Q44</f>
        <v>0</v>
      </c>
      <c r="AC42" s="149">
        <f>'Reagent Consumption'!P44</f>
        <v>0</v>
      </c>
      <c r="AD42" s="149">
        <f>'Reagent Consumption'!R44</f>
        <v>0</v>
      </c>
      <c r="AE42" s="149">
        <f>'Reagent Consumption'!S44</f>
        <v>0</v>
      </c>
      <c r="AF42" s="149">
        <f>'Reagent Consumption'!T44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7"/>
      <c r="AQ42" s="106"/>
      <c r="AR42" s="85"/>
      <c r="AS42" s="85"/>
    </row>
    <row r="43" spans="1:45" ht="14.4" x14ac:dyDescent="0.3">
      <c r="A43" s="85"/>
      <c r="B43" s="98">
        <v>46284</v>
      </c>
      <c r="C43" s="245">
        <f>Crushing!N42</f>
        <v>0</v>
      </c>
      <c r="D43" s="245">
        <f t="shared" si="13"/>
        <v>2145.0891000000006</v>
      </c>
      <c r="E43" s="246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Hours'!L24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7"/>
      <c r="U43" s="248"/>
      <c r="V43" s="106"/>
      <c r="W43" s="106"/>
      <c r="X43" s="106"/>
      <c r="Y43" s="106"/>
      <c r="Z43" s="149">
        <f>'Reagent Consumption'!O45</f>
        <v>0</v>
      </c>
      <c r="AA43" s="242">
        <f>'Fuel Consumption'!F40</f>
        <v>0</v>
      </c>
      <c r="AB43" s="149">
        <f>'Reagent Consumption'!Q45</f>
        <v>0</v>
      </c>
      <c r="AC43" s="149">
        <f>'Reagent Consumption'!P45</f>
        <v>0</v>
      </c>
      <c r="AD43" s="149">
        <f>'Reagent Consumption'!R45</f>
        <v>0</v>
      </c>
      <c r="AE43" s="149">
        <f>'Reagent Consumption'!S45</f>
        <v>0</v>
      </c>
      <c r="AF43" s="149">
        <f>'Reagent Consumption'!T45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7"/>
      <c r="AQ43" s="106"/>
      <c r="AR43" s="85"/>
      <c r="AS43" s="85"/>
    </row>
    <row r="44" spans="1:45" ht="14.4" x14ac:dyDescent="0.3">
      <c r="A44" s="85"/>
      <c r="B44" s="98">
        <v>46285</v>
      </c>
      <c r="C44" s="245">
        <f>Crushing!N43</f>
        <v>0</v>
      </c>
      <c r="D44" s="245">
        <f t="shared" si="13"/>
        <v>2145.0891000000006</v>
      </c>
      <c r="E44" s="246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Hours'!L25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7"/>
      <c r="U44" s="248"/>
      <c r="V44" s="106"/>
      <c r="W44" s="106"/>
      <c r="X44" s="106"/>
      <c r="Y44" s="106"/>
      <c r="Z44" s="149">
        <f>'Reagent Consumption'!O46</f>
        <v>0</v>
      </c>
      <c r="AA44" s="242">
        <f>'Fuel Consumption'!F41</f>
        <v>0</v>
      </c>
      <c r="AB44" s="149">
        <f>'Reagent Consumption'!Q46</f>
        <v>0</v>
      </c>
      <c r="AC44" s="149">
        <f>'Reagent Consumption'!P46</f>
        <v>0</v>
      </c>
      <c r="AD44" s="149">
        <f>'Reagent Consumption'!R46</f>
        <v>0</v>
      </c>
      <c r="AE44" s="149">
        <f>'Reagent Consumption'!S46</f>
        <v>0</v>
      </c>
      <c r="AF44" s="149">
        <f>'Reagent Consumption'!T46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7"/>
      <c r="AQ44" s="106"/>
      <c r="AR44" s="85"/>
      <c r="AS44" s="85"/>
    </row>
    <row r="45" spans="1:45" ht="14.4" x14ac:dyDescent="0.3">
      <c r="A45" s="85"/>
      <c r="B45" s="98">
        <v>46286</v>
      </c>
      <c r="C45" s="245">
        <f>Crushing!N44</f>
        <v>0</v>
      </c>
      <c r="D45" s="245">
        <f t="shared" si="13"/>
        <v>2145.0891000000006</v>
      </c>
      <c r="E45" s="246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5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7"/>
      <c r="U45" s="248"/>
      <c r="V45" s="106"/>
      <c r="W45" s="106"/>
      <c r="X45" s="106"/>
      <c r="Y45" s="106"/>
      <c r="Z45" s="149">
        <f>'Reagent Consumption'!O47</f>
        <v>0</v>
      </c>
      <c r="AA45" s="242">
        <f>'Fuel Consumption'!F42</f>
        <v>0</v>
      </c>
      <c r="AB45" s="149">
        <f>'Reagent Consumption'!Q47</f>
        <v>0</v>
      </c>
      <c r="AC45" s="149">
        <f>'Reagent Consumption'!P47</f>
        <v>0</v>
      </c>
      <c r="AD45" s="149">
        <f>'Reagent Consumption'!R47</f>
        <v>0</v>
      </c>
      <c r="AE45" s="149">
        <f>'Reagent Consumption'!S47</f>
        <v>0</v>
      </c>
      <c r="AF45" s="149">
        <f>'Reagent Consumption'!T47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7"/>
      <c r="AQ45" s="106"/>
      <c r="AR45" s="85"/>
      <c r="AS45" s="85"/>
    </row>
    <row r="46" spans="1:45" ht="14.4" x14ac:dyDescent="0.3">
      <c r="A46" s="85"/>
      <c r="B46" s="98">
        <v>46287</v>
      </c>
      <c r="C46" s="245">
        <f>Crushing!N45</f>
        <v>0</v>
      </c>
      <c r="D46" s="245">
        <f t="shared" si="13"/>
        <v>2145.0891000000006</v>
      </c>
      <c r="E46" s="246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5"/>
      <c r="K46" s="119"/>
      <c r="L46" s="119"/>
      <c r="M46" s="119"/>
      <c r="N46" s="119"/>
      <c r="O46" s="106"/>
      <c r="P46" s="106"/>
      <c r="Q46" s="106"/>
      <c r="R46" s="106"/>
      <c r="S46" s="106"/>
      <c r="T46" s="247"/>
      <c r="U46" s="248"/>
      <c r="V46" s="106"/>
      <c r="W46" s="106"/>
      <c r="X46" s="106"/>
      <c r="Y46" s="106"/>
      <c r="Z46" s="149">
        <f>'Reagent Consumption'!O48</f>
        <v>0</v>
      </c>
      <c r="AA46" s="242">
        <f>'Fuel Consumption'!F43</f>
        <v>0</v>
      </c>
      <c r="AB46" s="149">
        <f>'Reagent Consumption'!Q48</f>
        <v>0</v>
      </c>
      <c r="AC46" s="149">
        <f>'Reagent Consumption'!P48</f>
        <v>0</v>
      </c>
      <c r="AD46" s="149">
        <f>'Reagent Consumption'!R48</f>
        <v>0</v>
      </c>
      <c r="AE46" s="149">
        <f>'Reagent Consumption'!S48</f>
        <v>0</v>
      </c>
      <c r="AF46" s="149">
        <f>'Reagent Consumption'!T48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7"/>
      <c r="AQ46" s="106"/>
      <c r="AR46" s="85"/>
      <c r="AS46" s="85"/>
    </row>
    <row r="47" spans="1:45" ht="14.4" x14ac:dyDescent="0.3">
      <c r="A47" s="85"/>
      <c r="B47" s="98">
        <v>46288</v>
      </c>
      <c r="C47" s="245">
        <f>Crushing!N46</f>
        <v>0</v>
      </c>
      <c r="D47" s="245">
        <f t="shared" si="13"/>
        <v>2145.0891000000006</v>
      </c>
      <c r="E47" s="246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5"/>
      <c r="K47" s="119"/>
      <c r="L47" s="119"/>
      <c r="M47" s="119"/>
      <c r="N47" s="119"/>
      <c r="O47" s="106"/>
      <c r="P47" s="106"/>
      <c r="Q47" s="106"/>
      <c r="R47" s="106"/>
      <c r="S47" s="106"/>
      <c r="T47" s="247"/>
      <c r="U47" s="248"/>
      <c r="V47" s="106"/>
      <c r="W47" s="106"/>
      <c r="X47" s="106"/>
      <c r="Y47" s="106"/>
      <c r="Z47" s="149">
        <f>'Reagent Consumption'!O49</f>
        <v>0</v>
      </c>
      <c r="AA47" s="242">
        <f>'Fuel Consumption'!F44</f>
        <v>0</v>
      </c>
      <c r="AB47" s="149">
        <f>'Reagent Consumption'!Q49</f>
        <v>0</v>
      </c>
      <c r="AC47" s="149">
        <f>'Reagent Consumption'!P49</f>
        <v>0</v>
      </c>
      <c r="AD47" s="149">
        <f>'Reagent Consumption'!R49</f>
        <v>0</v>
      </c>
      <c r="AE47" s="149">
        <f>'Reagent Consumption'!S49</f>
        <v>0</v>
      </c>
      <c r="AF47" s="149">
        <f>'Reagent Consumption'!T49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7"/>
      <c r="AQ47" s="106"/>
      <c r="AR47" s="85"/>
      <c r="AS47" s="85"/>
    </row>
    <row r="48" spans="1:45" ht="14.4" x14ac:dyDescent="0.3">
      <c r="A48" s="85"/>
      <c r="B48" s="98">
        <v>46289</v>
      </c>
      <c r="C48" s="245">
        <f>Crushing!N47</f>
        <v>0</v>
      </c>
      <c r="D48" s="245">
        <f t="shared" si="13"/>
        <v>2145.0891000000006</v>
      </c>
      <c r="E48" s="246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5"/>
      <c r="K48" s="119"/>
      <c r="L48" s="119"/>
      <c r="M48" s="119"/>
      <c r="N48" s="119"/>
      <c r="O48" s="106"/>
      <c r="P48" s="106"/>
      <c r="Q48" s="106"/>
      <c r="R48" s="106"/>
      <c r="S48" s="106"/>
      <c r="T48" s="247"/>
      <c r="U48" s="248"/>
      <c r="V48" s="106"/>
      <c r="W48" s="106"/>
      <c r="X48" s="106"/>
      <c r="Y48" s="106"/>
      <c r="Z48" s="149">
        <f>'Reagent Consumption'!O50</f>
        <v>0</v>
      </c>
      <c r="AA48" s="242">
        <f>'Fuel Consumption'!F45</f>
        <v>0</v>
      </c>
      <c r="AB48" s="149">
        <f>'Reagent Consumption'!Q50</f>
        <v>0</v>
      </c>
      <c r="AC48" s="149">
        <f>'Reagent Consumption'!P50</f>
        <v>0</v>
      </c>
      <c r="AD48" s="149">
        <f>'Reagent Consumption'!R50</f>
        <v>0</v>
      </c>
      <c r="AE48" s="149">
        <f>'Reagent Consumption'!S50</f>
        <v>0</v>
      </c>
      <c r="AF48" s="149">
        <f>'Reagent Consumption'!T50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7"/>
      <c r="AQ48" s="106"/>
      <c r="AR48" s="85"/>
      <c r="AS48" s="85"/>
    </row>
    <row r="49" spans="1:45" ht="14.4" x14ac:dyDescent="0.3">
      <c r="A49" s="85"/>
      <c r="B49" s="477">
        <v>46290</v>
      </c>
      <c r="C49" s="478">
        <f>Crushing!N48</f>
        <v>0</v>
      </c>
      <c r="D49" s="478">
        <f t="shared" si="13"/>
        <v>2145.0891000000006</v>
      </c>
      <c r="E49" s="479">
        <f t="shared" si="12"/>
        <v>0</v>
      </c>
      <c r="F49" s="480"/>
      <c r="G49" s="242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78"/>
      <c r="K49" s="481"/>
      <c r="L49" s="481"/>
      <c r="M49" s="481"/>
      <c r="N49" s="481"/>
      <c r="O49" s="480"/>
      <c r="P49" s="480"/>
      <c r="Q49" s="480"/>
      <c r="R49" s="480"/>
      <c r="S49" s="480"/>
      <c r="T49" s="482"/>
      <c r="U49" s="483"/>
      <c r="V49" s="480"/>
      <c r="W49" s="480"/>
      <c r="X49" s="480"/>
      <c r="Y49" s="480"/>
      <c r="Z49" s="149">
        <f>'Reagent Consumption'!O51</f>
        <v>0</v>
      </c>
      <c r="AA49" s="242">
        <f>'Fuel Consumption'!F46</f>
        <v>0</v>
      </c>
      <c r="AB49" s="149">
        <f>'Reagent Consumption'!Q51</f>
        <v>0</v>
      </c>
      <c r="AC49" s="149">
        <f>'Reagent Consumption'!P51</f>
        <v>0</v>
      </c>
      <c r="AD49" s="149">
        <f>'Reagent Consumption'!R51</f>
        <v>0</v>
      </c>
      <c r="AE49" s="149">
        <f>'Reagent Consumption'!S51</f>
        <v>0</v>
      </c>
      <c r="AF49" s="149">
        <f>'Reagent Consumption'!T51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82"/>
      <c r="AQ49" s="480"/>
      <c r="AR49" s="85"/>
      <c r="AS49" s="85"/>
    </row>
    <row r="50" spans="1:45" ht="14.4" x14ac:dyDescent="0.3">
      <c r="A50" s="85"/>
      <c r="B50" s="484" t="s">
        <v>18</v>
      </c>
      <c r="C50" s="488">
        <f>SUM(C7:C49)</f>
        <v>2145.0891000000006</v>
      </c>
      <c r="D50" s="489"/>
      <c r="E50" s="489"/>
      <c r="F50" s="489"/>
      <c r="G50" s="488">
        <f>SUM(G7:G49)</f>
        <v>1775.8371160412696</v>
      </c>
      <c r="H50" s="490">
        <f>SUM(H7:H37)</f>
        <v>1.77583711604127</v>
      </c>
      <c r="I50" s="495">
        <f>'Crushing Down Time Hours'!L45</f>
        <v>0</v>
      </c>
      <c r="J50" s="488"/>
      <c r="K50" s="491"/>
      <c r="L50" s="486"/>
      <c r="M50" s="486"/>
      <c r="N50" s="491"/>
      <c r="O50" s="486">
        <f t="shared" ref="O50:Y50" si="14">SUM(O7:O36)</f>
        <v>0</v>
      </c>
      <c r="P50" s="486">
        <f>SUM(P7:P36)</f>
        <v>0</v>
      </c>
      <c r="Q50" s="486">
        <f t="shared" si="14"/>
        <v>0</v>
      </c>
      <c r="R50" s="486"/>
      <c r="S50" s="486"/>
      <c r="T50" s="492">
        <f t="shared" ref="T50" si="15">R50-S50</f>
        <v>0</v>
      </c>
      <c r="U50" s="485"/>
      <c r="V50" s="486">
        <f t="shared" si="14"/>
        <v>0</v>
      </c>
      <c r="W50" s="486">
        <f t="shared" si="14"/>
        <v>0</v>
      </c>
      <c r="X50" s="486">
        <f t="shared" si="14"/>
        <v>0</v>
      </c>
      <c r="Y50" s="486">
        <f t="shared" si="14"/>
        <v>0</v>
      </c>
      <c r="Z50" s="486">
        <f>SUM(Z7:Z49)</f>
        <v>750</v>
      </c>
      <c r="AA50" s="486"/>
      <c r="AB50" s="487">
        <f>SUM(AB7:AB49)</f>
        <v>2000</v>
      </c>
      <c r="AC50" s="487">
        <f>SUM(AC7:AC49)</f>
        <v>1500</v>
      </c>
      <c r="AD50" s="487"/>
      <c r="AE50" s="487"/>
      <c r="AF50" s="486">
        <f>SUM(AF7:AF49)</f>
        <v>50</v>
      </c>
      <c r="AG50" s="486">
        <f>SUM(AG7:AG37)</f>
        <v>0</v>
      </c>
      <c r="AH50" s="486"/>
      <c r="AI50" s="486"/>
      <c r="AJ50" s="486"/>
      <c r="AK50" s="486"/>
      <c r="AL50" s="486"/>
      <c r="AM50" s="486"/>
      <c r="AN50" s="487"/>
      <c r="AO50" s="486"/>
      <c r="AP50" s="486"/>
      <c r="AQ50" s="486"/>
      <c r="AR50" s="85"/>
      <c r="AS50" s="85"/>
    </row>
    <row r="51" spans="1:45" ht="14.4" x14ac:dyDescent="0.3">
      <c r="A51" s="85"/>
      <c r="B51" s="493" t="s">
        <v>122</v>
      </c>
      <c r="C51" s="488">
        <f>AVERAGE(C7:C15)</f>
        <v>155.12416666666667</v>
      </c>
      <c r="D51" s="488"/>
      <c r="E51" s="488" t="e">
        <f>AVERAGE(E7:E15)</f>
        <v>#DIV/0!</v>
      </c>
      <c r="F51" s="490">
        <f>AVERAGE(F7:F49)</f>
        <v>0.93252380952380953</v>
      </c>
      <c r="G51" s="488">
        <f>AVERAGE(G7:G37)</f>
        <v>57.285068259395793</v>
      </c>
      <c r="H51" s="488">
        <f t="shared" ref="H51:AF51" si="16">AVERAGE(H8:H36)</f>
        <v>6.1235762622112763E-2</v>
      </c>
      <c r="I51" s="488">
        <f>AVERAGE(I7:I15)</f>
        <v>9.1291666666666664</v>
      </c>
      <c r="J51" s="488"/>
      <c r="K51" s="491">
        <f>AVERAGE(K7:K17)</f>
        <v>0.6261904761904763</v>
      </c>
      <c r="L51" s="491">
        <f t="shared" si="16"/>
        <v>0.38848180076628352</v>
      </c>
      <c r="M51" s="491">
        <f t="shared" si="16"/>
        <v>0.94020593869731794</v>
      </c>
      <c r="N51" s="491">
        <f>AVERAGE(N8:N45)</f>
        <v>8.5946637426900591E-2</v>
      </c>
      <c r="O51" s="488" t="e">
        <f t="shared" si="16"/>
        <v>#DIV/0!</v>
      </c>
      <c r="P51" s="488" t="e">
        <f>AVERAGE(P8:P36)</f>
        <v>#DIV/0!</v>
      </c>
      <c r="Q51" s="488" t="e">
        <f t="shared" si="16"/>
        <v>#DIV/0!</v>
      </c>
      <c r="R51" s="488"/>
      <c r="S51" s="488"/>
      <c r="T51" s="488"/>
      <c r="U51" s="494"/>
      <c r="V51" s="488" t="e">
        <f t="shared" si="16"/>
        <v>#DIV/0!</v>
      </c>
      <c r="W51" s="488" t="e">
        <f t="shared" si="16"/>
        <v>#DIV/0!</v>
      </c>
      <c r="X51" s="488" t="e">
        <f t="shared" si="16"/>
        <v>#DIV/0!</v>
      </c>
      <c r="Y51" s="488" t="e">
        <f t="shared" si="16"/>
        <v>#DIV/0!</v>
      </c>
      <c r="Z51" s="489">
        <f t="shared" si="16"/>
        <v>25.862068965517242</v>
      </c>
      <c r="AA51" s="488">
        <f t="shared" si="16"/>
        <v>0</v>
      </c>
      <c r="AB51" s="488">
        <f t="shared" si="16"/>
        <v>68.965517241379317</v>
      </c>
      <c r="AC51" s="489">
        <f t="shared" si="16"/>
        <v>51.724137931034484</v>
      </c>
      <c r="AD51" s="489"/>
      <c r="AE51" s="489"/>
      <c r="AF51" s="488">
        <f t="shared" si="16"/>
        <v>1.7241379310344827</v>
      </c>
      <c r="AG51" s="488"/>
      <c r="AH51" s="488"/>
      <c r="AI51" s="488"/>
      <c r="AJ51" s="488"/>
      <c r="AK51" s="488"/>
      <c r="AL51" s="488"/>
      <c r="AM51" s="488"/>
      <c r="AN51" s="488"/>
      <c r="AO51" s="488"/>
      <c r="AP51" s="488"/>
      <c r="AQ51" s="488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68" t="s">
        <v>203</v>
      </c>
      <c r="F53" s="467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68" t="s">
        <v>204</v>
      </c>
      <c r="F54" s="134">
        <f>MAX(F7:F17)</f>
        <v>1.45</v>
      </c>
      <c r="I54" s="86"/>
      <c r="J54" s="86"/>
      <c r="K54" s="87"/>
      <c r="L54" s="87"/>
      <c r="M54" s="87"/>
      <c r="W54" s="594" t="s">
        <v>206</v>
      </c>
      <c r="X54" s="594"/>
    </row>
    <row r="55" spans="1:45" ht="14.4" x14ac:dyDescent="0.3">
      <c r="C55" s="86"/>
      <c r="D55" s="87"/>
      <c r="E55" s="468" t="s">
        <v>205</v>
      </c>
      <c r="F55" s="134">
        <f>MIN(F7,F9:F19)</f>
        <v>0.442</v>
      </c>
      <c r="I55" s="86"/>
      <c r="J55" s="86"/>
      <c r="K55" s="87"/>
      <c r="L55" s="87"/>
      <c r="M55" s="87"/>
      <c r="W55" s="163" t="s">
        <v>207</v>
      </c>
      <c r="X55" s="164">
        <f>F53</f>
        <v>0.872</v>
      </c>
    </row>
    <row r="56" spans="1:45" ht="43.2" x14ac:dyDescent="0.3">
      <c r="C56" s="86"/>
      <c r="D56" s="87"/>
      <c r="E56" s="87"/>
      <c r="G56" s="448" t="s">
        <v>197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69" t="s">
        <v>426</v>
      </c>
      <c r="G57" s="470">
        <f>G50/D49</f>
        <v>0.82786170329300968</v>
      </c>
      <c r="I57" s="86"/>
      <c r="J57" s="86"/>
      <c r="K57" s="87"/>
      <c r="L57" s="87"/>
      <c r="M57" s="87"/>
      <c r="W57" s="163" t="s">
        <v>205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204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594" t="s">
        <v>208</v>
      </c>
      <c r="X60" s="594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209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01" t="s">
        <v>348</v>
      </c>
      <c r="D3" s="601"/>
      <c r="E3" s="601"/>
      <c r="F3" s="601"/>
      <c r="G3" s="601"/>
      <c r="H3" s="601"/>
      <c r="L3" s="601" t="s">
        <v>348</v>
      </c>
      <c r="M3" s="601"/>
      <c r="N3" s="601"/>
      <c r="O3" s="601"/>
      <c r="P3" s="601"/>
      <c r="Q3" s="601"/>
    </row>
    <row r="4" spans="3:17" x14ac:dyDescent="0.3">
      <c r="C4" s="17" t="s">
        <v>71</v>
      </c>
      <c r="D4" s="17" t="s">
        <v>349</v>
      </c>
      <c r="E4" s="17" t="s">
        <v>1</v>
      </c>
      <c r="F4" s="17" t="s">
        <v>350</v>
      </c>
      <c r="G4" s="17" t="s">
        <v>351</v>
      </c>
      <c r="H4" s="17" t="s">
        <v>352</v>
      </c>
      <c r="L4" s="17" t="s">
        <v>71</v>
      </c>
      <c r="M4" s="17" t="s">
        <v>349</v>
      </c>
      <c r="N4" s="17" t="s">
        <v>1</v>
      </c>
      <c r="O4" s="17" t="s">
        <v>350</v>
      </c>
      <c r="P4" s="17" t="s">
        <v>351</v>
      </c>
      <c r="Q4" s="17" t="s">
        <v>352</v>
      </c>
    </row>
    <row r="5" spans="3:17" x14ac:dyDescent="0.3">
      <c r="C5" s="134">
        <v>1</v>
      </c>
      <c r="D5" s="134" t="s">
        <v>353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407</v>
      </c>
      <c r="N5" s="332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354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408</v>
      </c>
      <c r="N6" s="332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355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409</v>
      </c>
      <c r="N7" s="332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356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410</v>
      </c>
      <c r="N8" s="332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357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411</v>
      </c>
      <c r="N9" s="332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358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412</v>
      </c>
      <c r="N10" s="332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359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413</v>
      </c>
      <c r="N11" s="332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360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414</v>
      </c>
      <c r="N12" s="332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361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415</v>
      </c>
      <c r="N13" s="332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362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395</v>
      </c>
      <c r="N14" s="332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363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396</v>
      </c>
      <c r="N15" s="332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364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397</v>
      </c>
      <c r="N16" s="332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365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416</v>
      </c>
      <c r="N17" s="332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366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417</v>
      </c>
      <c r="N18" s="332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367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401</v>
      </c>
      <c r="N19" s="332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368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403</v>
      </c>
      <c r="N20" s="332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369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405</v>
      </c>
      <c r="N21" s="332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370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407</v>
      </c>
      <c r="N22" s="332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371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409</v>
      </c>
      <c r="N23" s="332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372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411</v>
      </c>
      <c r="N24" s="332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373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413</v>
      </c>
      <c r="N25" s="332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374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415</v>
      </c>
      <c r="N26" s="332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368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396</v>
      </c>
      <c r="N27" s="332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369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416</v>
      </c>
      <c r="N28" s="332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370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418</v>
      </c>
      <c r="N29" s="332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371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401</v>
      </c>
      <c r="N30" s="332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372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403</v>
      </c>
      <c r="N31" s="332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373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405</v>
      </c>
      <c r="N32" s="332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374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407</v>
      </c>
      <c r="N33" s="332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375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409</v>
      </c>
      <c r="N34" s="332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376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411</v>
      </c>
      <c r="N35" s="332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377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413</v>
      </c>
      <c r="N36" s="332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386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415</v>
      </c>
      <c r="N37" s="332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387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396</v>
      </c>
      <c r="N38" s="332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388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403</v>
      </c>
      <c r="N39" s="332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389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405</v>
      </c>
      <c r="N40" s="332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390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407</v>
      </c>
      <c r="N41" s="332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391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409</v>
      </c>
      <c r="N42" s="332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392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411</v>
      </c>
      <c r="N43" s="332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393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413</v>
      </c>
      <c r="N44" s="332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394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415</v>
      </c>
      <c r="N45" s="332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395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396</v>
      </c>
      <c r="N46" s="332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396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416</v>
      </c>
      <c r="N47" s="332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397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401</v>
      </c>
      <c r="N48" s="332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401</v>
      </c>
      <c r="E49" s="332">
        <v>46253</v>
      </c>
      <c r="F49" s="134">
        <v>0.35099999999999998</v>
      </c>
      <c r="G49" s="134"/>
      <c r="H49" s="134"/>
      <c r="L49" s="134">
        <v>95</v>
      </c>
      <c r="M49" s="134" t="s">
        <v>403</v>
      </c>
      <c r="N49" s="332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402</v>
      </c>
      <c r="E50" s="332">
        <v>46253</v>
      </c>
      <c r="F50" s="134">
        <v>2.028</v>
      </c>
      <c r="G50" s="134"/>
      <c r="H50" s="134"/>
      <c r="L50" s="134">
        <v>96</v>
      </c>
      <c r="M50" s="134" t="s">
        <v>405</v>
      </c>
      <c r="N50" s="332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403</v>
      </c>
      <c r="E51" s="332">
        <v>46253</v>
      </c>
      <c r="F51" s="134">
        <v>1.8380000000000001</v>
      </c>
      <c r="G51" s="134"/>
      <c r="H51" s="134"/>
      <c r="L51" s="134">
        <v>97</v>
      </c>
      <c r="M51" s="134" t="s">
        <v>407</v>
      </c>
      <c r="N51" s="332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404</v>
      </c>
      <c r="E52" s="332">
        <v>46253</v>
      </c>
      <c r="F52" s="134">
        <v>1.3220000000000001</v>
      </c>
      <c r="G52" s="134"/>
      <c r="H52" s="134"/>
      <c r="L52" s="134">
        <v>98</v>
      </c>
      <c r="M52" s="134" t="s">
        <v>409</v>
      </c>
      <c r="N52" s="332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405</v>
      </c>
      <c r="E53" s="332">
        <v>46253</v>
      </c>
      <c r="F53" s="134">
        <v>0.65100000000000002</v>
      </c>
      <c r="G53" s="134"/>
      <c r="H53" s="134"/>
      <c r="L53" s="134">
        <v>99</v>
      </c>
      <c r="M53" s="134" t="s">
        <v>411</v>
      </c>
      <c r="N53" s="332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406</v>
      </c>
      <c r="E54" s="332">
        <v>46253</v>
      </c>
      <c r="F54" s="134">
        <v>0.50600000000000001</v>
      </c>
      <c r="G54" s="134"/>
      <c r="H54" s="134"/>
      <c r="L54" s="134">
        <v>100</v>
      </c>
      <c r="M54" s="134" t="s">
        <v>413</v>
      </c>
      <c r="N54" s="332">
        <v>46258</v>
      </c>
      <c r="O54" s="134">
        <v>0.32600000000000001</v>
      </c>
      <c r="P54" s="134"/>
      <c r="Q54" s="134"/>
    </row>
    <row r="55" spans="3:17" x14ac:dyDescent="0.3">
      <c r="L55" s="134">
        <v>101</v>
      </c>
      <c r="M55" s="134" t="s">
        <v>415</v>
      </c>
      <c r="N55" s="332">
        <v>46258</v>
      </c>
      <c r="O55" s="134">
        <v>0.24</v>
      </c>
      <c r="P55" s="134"/>
      <c r="Q55" s="134"/>
    </row>
    <row r="56" spans="3:17" x14ac:dyDescent="0.3">
      <c r="L56" s="134">
        <v>102</v>
      </c>
      <c r="M56" s="134" t="s">
        <v>396</v>
      </c>
      <c r="N56" s="332">
        <v>46258</v>
      </c>
      <c r="O56" s="134">
        <v>1.077</v>
      </c>
      <c r="P56" s="134"/>
      <c r="Q56" s="134"/>
    </row>
    <row r="57" spans="3:17" x14ac:dyDescent="0.3">
      <c r="L57" s="230">
        <v>103</v>
      </c>
      <c r="M57" s="230" t="s">
        <v>409</v>
      </c>
      <c r="N57" s="332">
        <v>46261</v>
      </c>
      <c r="O57" s="6">
        <v>0.253</v>
      </c>
      <c r="P57" s="21"/>
      <c r="Q57" s="21"/>
    </row>
    <row r="58" spans="3:17" x14ac:dyDescent="0.3">
      <c r="L58" s="230">
        <v>104</v>
      </c>
      <c r="M58" s="230" t="s">
        <v>411</v>
      </c>
      <c r="N58" s="332">
        <v>46261</v>
      </c>
      <c r="O58" s="6">
        <v>0.73199999999999998</v>
      </c>
      <c r="P58" s="21"/>
      <c r="Q58" s="21"/>
    </row>
    <row r="59" spans="3:17" x14ac:dyDescent="0.3">
      <c r="L59" s="230">
        <v>105</v>
      </c>
      <c r="M59" s="230" t="s">
        <v>413</v>
      </c>
      <c r="N59" s="332">
        <v>46261</v>
      </c>
      <c r="O59" s="6">
        <v>0.45400000000000001</v>
      </c>
      <c r="P59" s="21"/>
      <c r="Q59" s="21"/>
    </row>
    <row r="60" spans="3:17" x14ac:dyDescent="0.3">
      <c r="L60" s="230">
        <v>106</v>
      </c>
      <c r="M60" s="230" t="s">
        <v>415</v>
      </c>
      <c r="N60" s="332">
        <v>46261</v>
      </c>
      <c r="O60" s="6">
        <v>0.61599999999999999</v>
      </c>
      <c r="P60" s="21"/>
      <c r="Q60" s="21"/>
    </row>
    <row r="61" spans="3:17" x14ac:dyDescent="0.3">
      <c r="L61" s="230">
        <v>107</v>
      </c>
      <c r="M61" s="230" t="s">
        <v>396</v>
      </c>
      <c r="N61" s="332">
        <v>46261</v>
      </c>
      <c r="O61" s="6">
        <v>0.24199999999999999</v>
      </c>
      <c r="P61" s="21"/>
      <c r="Q61" s="21"/>
    </row>
    <row r="62" spans="3:17" x14ac:dyDescent="0.3">
      <c r="L62" s="230">
        <v>108</v>
      </c>
      <c r="M62" s="230" t="s">
        <v>416</v>
      </c>
      <c r="N62" s="332">
        <v>46261</v>
      </c>
      <c r="O62" s="6">
        <v>2.0979999999999999</v>
      </c>
      <c r="P62" s="21"/>
      <c r="Q62" s="21"/>
    </row>
    <row r="63" spans="3:17" x14ac:dyDescent="0.3">
      <c r="L63" s="230">
        <v>109</v>
      </c>
      <c r="M63" s="230" t="s">
        <v>418</v>
      </c>
      <c r="N63" s="332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3"/>
  <sheetViews>
    <sheetView zoomScale="66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I17" sqref="I17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4.4414062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602" t="s">
        <v>285</v>
      </c>
      <c r="C1" s="602"/>
      <c r="D1" s="602"/>
      <c r="E1" s="602"/>
      <c r="F1" s="602"/>
      <c r="G1" s="602"/>
      <c r="H1" s="602"/>
      <c r="I1" s="602"/>
      <c r="J1" s="602"/>
      <c r="K1" s="602"/>
      <c r="L1" s="602"/>
      <c r="M1" s="602"/>
      <c r="N1" s="602"/>
      <c r="O1" s="602"/>
      <c r="P1" s="602"/>
      <c r="Q1" s="602"/>
      <c r="R1" s="602"/>
      <c r="S1" s="602"/>
      <c r="T1">
        <f>125+150</f>
        <v>275</v>
      </c>
    </row>
    <row r="2" spans="1:42" ht="18" x14ac:dyDescent="0.35">
      <c r="B2" s="602" t="s">
        <v>286</v>
      </c>
      <c r="C2" s="602"/>
      <c r="D2" s="602"/>
      <c r="E2" s="602"/>
      <c r="F2" s="602"/>
      <c r="G2" s="602"/>
      <c r="H2" s="602"/>
      <c r="I2" s="602"/>
      <c r="J2" s="602"/>
      <c r="K2" s="602"/>
      <c r="L2" s="602"/>
      <c r="M2" s="602"/>
      <c r="N2" s="602"/>
      <c r="O2" s="602"/>
      <c r="P2" s="602"/>
      <c r="Q2" s="602"/>
      <c r="R2" s="602"/>
      <c r="S2" s="602"/>
    </row>
    <row r="3" spans="1:42" ht="18" x14ac:dyDescent="0.35">
      <c r="B3" s="602" t="s">
        <v>287</v>
      </c>
      <c r="C3" s="602"/>
      <c r="D3" s="602"/>
      <c r="E3" s="602"/>
      <c r="F3" s="602"/>
      <c r="G3" s="602"/>
      <c r="H3" s="602"/>
      <c r="I3" s="602"/>
      <c r="J3" s="602"/>
      <c r="K3" s="602"/>
      <c r="L3" s="602"/>
      <c r="M3" s="602"/>
      <c r="N3" s="602"/>
      <c r="O3" s="602"/>
      <c r="P3" s="602"/>
      <c r="Q3" s="602"/>
      <c r="R3" s="602"/>
      <c r="S3" s="602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604"/>
      <c r="C5" s="605"/>
      <c r="D5" s="604" t="s">
        <v>25</v>
      </c>
      <c r="E5" s="606"/>
      <c r="F5" s="605"/>
      <c r="G5" s="604" t="s">
        <v>26</v>
      </c>
      <c r="H5" s="606"/>
      <c r="I5" s="605"/>
      <c r="J5" s="604" t="s">
        <v>327</v>
      </c>
      <c r="K5" s="605"/>
      <c r="L5" s="125" t="s">
        <v>151</v>
      </c>
      <c r="U5" t="s">
        <v>337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175</v>
      </c>
      <c r="E6" s="18" t="s">
        <v>28</v>
      </c>
      <c r="F6" s="18" t="s">
        <v>29</v>
      </c>
      <c r="G6" s="18" t="s">
        <v>175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176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176</v>
      </c>
      <c r="V6" s="126" t="s">
        <v>338</v>
      </c>
      <c r="X6" s="607" t="s">
        <v>163</v>
      </c>
      <c r="Y6" s="607"/>
      <c r="Z6" s="607"/>
      <c r="AA6" s="607"/>
      <c r="AB6" s="607"/>
      <c r="AC6" s="607"/>
    </row>
    <row r="7" spans="1:42" x14ac:dyDescent="0.3">
      <c r="A7" s="22">
        <v>46262</v>
      </c>
      <c r="B7" s="146" t="s">
        <v>13</v>
      </c>
      <c r="C7" s="452" t="s">
        <v>432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SUMIF(A$7:A$39,N7,D$7:D$39)+SUMIF(A$7:A$39,N7,G$7:G$39)</f>
        <v>0</v>
      </c>
      <c r="P7" s="21">
        <f>SUMIF(A$7:A$39,N7,E$7:E$39)+SUMIF(A$7:A$39,N7,J$7:J$39)</f>
        <v>0</v>
      </c>
      <c r="Q7" s="21">
        <f>SUMIF(A$7:A$39,N7,F$7:F$39)</f>
        <v>0</v>
      </c>
      <c r="R7" s="21">
        <f>SUMIF(A$7:A$52,N7,H$7:H$53)</f>
        <v>0</v>
      </c>
      <c r="S7" s="21">
        <f>SUMIF(A$7:A$52,N7,I$7:I$52)</f>
        <v>0</v>
      </c>
      <c r="T7" s="21">
        <f>SUMIF(A$7:A$39,N7,K$7:K$39)</f>
        <v>0</v>
      </c>
      <c r="U7" s="21">
        <f>SUMIF(A$7:A$53,N7,G$7:G$53)</f>
        <v>0</v>
      </c>
      <c r="V7" s="21">
        <f>SUMIF(A$7:A$53,N7,I$7:I$53)</f>
        <v>0</v>
      </c>
      <c r="X7" s="136" t="s">
        <v>225</v>
      </c>
      <c r="Y7" s="136" t="s">
        <v>161</v>
      </c>
      <c r="Z7" s="136" t="s">
        <v>162</v>
      </c>
      <c r="AA7" s="136" t="s">
        <v>164</v>
      </c>
      <c r="AB7" s="136" t="s">
        <v>293</v>
      </c>
      <c r="AC7" s="136" t="s">
        <v>339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SUMIF(A$7:A$39,N8,D$7:D$39)+SUMIF(A$7:A$39,N8,G$7:G$39)</f>
        <v>0</v>
      </c>
      <c r="P8" s="21">
        <f>SUMIF(A$7:A$39,N8,E$7:E$39)+SUMIF(A$7:A$39,N8,J$7:J$39)</f>
        <v>0</v>
      </c>
      <c r="Q8" s="21">
        <f>SUMIF(A$7:A$39,N8,F$7:F$39)</f>
        <v>0</v>
      </c>
      <c r="R8" s="21">
        <f>SUMIF(A$7:A$52,N8,H$7:H$53)</f>
        <v>0</v>
      </c>
      <c r="S8" s="21">
        <f>SUMIF(A$7:A$52,N8,I$7:I$52)</f>
        <v>0</v>
      </c>
      <c r="T8" s="21">
        <f>SUMIF(A$7:A$39,N8,K$7:K$39)</f>
        <v>0</v>
      </c>
      <c r="U8" s="21">
        <f>SUMIF(A$7:A$53,N8,G$7:G$53)</f>
        <v>0</v>
      </c>
      <c r="V8" s="21">
        <f>SUMIF(A$7:A$53,N8,I$7:I$53)</f>
        <v>0</v>
      </c>
      <c r="X8" s="134">
        <f>O53+U53</f>
        <v>750</v>
      </c>
      <c r="Y8" s="134">
        <f t="shared" ref="Y8:Z8" si="0">P53</f>
        <v>1500</v>
      </c>
      <c r="Z8" s="134">
        <f t="shared" si="0"/>
        <v>2000</v>
      </c>
      <c r="AA8" s="134">
        <f>T53</f>
        <v>50</v>
      </c>
      <c r="AB8" s="135">
        <f>R53</f>
        <v>0</v>
      </c>
      <c r="AC8" s="21">
        <f>V53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SUMIF(A$7:A$39,N9,D$7:D$39)+SUMIF(A$7:A$39,N9,G$7:G$39)</f>
        <v>0</v>
      </c>
      <c r="P9" s="21">
        <f>SUMIF(A$7:A$39,N9,E$7:E$39)+SUMIF(A$7:A$39,N9,J$7:J$39)</f>
        <v>0</v>
      </c>
      <c r="Q9" s="21">
        <f>SUMIF(A$7:A$39,N9,F$7:F$39)</f>
        <v>0</v>
      </c>
      <c r="R9" s="21">
        <f>SUMIF(A$7:A$52,N9,H$7:H$53)</f>
        <v>0</v>
      </c>
      <c r="S9" s="21">
        <f>SUMIF(A$7:A$52,N9,I$7:I$52)</f>
        <v>0</v>
      </c>
      <c r="T9" s="21">
        <f>SUMIF(A$7:A$39,N9,K$7:K$39)</f>
        <v>0</v>
      </c>
      <c r="U9" s="21">
        <f>SUMIF(A$7:A$53,N9,G$7:G$53)</f>
        <v>0</v>
      </c>
      <c r="V9" s="21">
        <f>SUMIF(A$7:A$53,N9,I$7:I$53)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520" t="s">
        <v>432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SUMIF(A$7:A$39,N10,D$7:D$39)+SUMIF(A$7:A$39,N10,G$7:G$39)</f>
        <v>150</v>
      </c>
      <c r="P10" s="21">
        <f>SUMIF(A$7:A$39,N10,E$7:E$39)+SUMIF(A$7:A$39,N10,J$7:J$39)</f>
        <v>250</v>
      </c>
      <c r="Q10" s="21">
        <f>SUMIF(A$7:A$39,N10,F$7:F$39)</f>
        <v>0</v>
      </c>
      <c r="R10" s="21">
        <f>SUMIF(A$7:A$52,N10,H$7:H$53)</f>
        <v>0</v>
      </c>
      <c r="S10" s="21">
        <f>SUMIF(A$7:A$52,N10,I$7:I$52)</f>
        <v>0</v>
      </c>
      <c r="T10" s="21">
        <f>SUMIF(A$7:A$39,N10,K$7:K$39)</f>
        <v>0</v>
      </c>
      <c r="U10" s="21">
        <f>SUMIF(A$7:A$53,N10,G$7:G$53)</f>
        <v>0</v>
      </c>
      <c r="V10" s="21">
        <f>SUMIF(A$7:A$53,N10,I$7:I$53)</f>
        <v>0</v>
      </c>
      <c r="X10" s="603" t="s">
        <v>344</v>
      </c>
      <c r="Y10" s="603"/>
      <c r="Z10" s="603"/>
      <c r="AA10" s="603"/>
      <c r="AB10" s="603"/>
      <c r="AC10" s="227"/>
    </row>
    <row r="11" spans="1:42" x14ac:dyDescent="0.3">
      <c r="A11" s="22">
        <v>46266</v>
      </c>
      <c r="B11" s="19" t="s">
        <v>13</v>
      </c>
      <c r="C11" s="530" t="s">
        <v>455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SUMIF(A$7:A$39,N11,D$7:D$39)+SUMIF(A$7:A$39,N11,G$7:G$39)</f>
        <v>225</v>
      </c>
      <c r="P11" s="21">
        <f>SUMIF(A$7:A$39,N11,E$7:E$39)+SUMIF(A$7:A$39,N11,J$7:J$39)</f>
        <v>1250</v>
      </c>
      <c r="Q11" s="21">
        <f>SUMIF(A$7:A$39,N11,F$7:F$39)</f>
        <v>1000</v>
      </c>
      <c r="R11" s="21">
        <f>SUMIF(A$7:A$52,N11,H$7:H$53)</f>
        <v>0</v>
      </c>
      <c r="S11" s="21">
        <f>SUMIF(A$7:A$52,N11,I$7:I$52)</f>
        <v>0</v>
      </c>
      <c r="T11" s="21">
        <f>SUMIF(A$7:A$39,N11,K$7:K$39)</f>
        <v>25</v>
      </c>
      <c r="U11" s="21">
        <f>SUMIF(A$7:A$53,N11,G$7:G$53)</f>
        <v>0</v>
      </c>
      <c r="V11" s="21">
        <f>SUMIF(A$7:A$53,N11,I$7:I$53)</f>
        <v>0</v>
      </c>
      <c r="X11" s="137">
        <f>X8/'Au Cal Leaching Tank'!K61</f>
        <v>1.2659173280029774</v>
      </c>
      <c r="Y11" s="137">
        <f>P53/'Au Cal Leaching Tank'!K61</f>
        <v>2.5318346560059548</v>
      </c>
      <c r="Z11" s="137">
        <f>Z8/'Au Cal Leaching Tank'!K61</f>
        <v>3.3757795413412732</v>
      </c>
      <c r="AA11" s="137">
        <f>AA8/'Au Cal Leaching Tank'!K61</f>
        <v>8.4394488533531833E-2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30" t="s">
        <v>456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/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30" t="s">
        <v>455</v>
      </c>
      <c r="D13" s="16">
        <v>150</v>
      </c>
      <c r="E13" s="16"/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SUMIF(A$7:A$39,N13,E$7:E$39)+SUMIF(A$7:A$39,N13,J$7:J$39)</f>
        <v>0</v>
      </c>
      <c r="Q13" s="21">
        <f>SUMIF(A$7:A$39,N13,F$7:F$39)</f>
        <v>1000</v>
      </c>
      <c r="R13" s="21">
        <f>SUMIF(A$7:A$52,N13,H$7:H$53)</f>
        <v>0</v>
      </c>
      <c r="S13" s="21">
        <f>SUMIF(A$7:A$52,N13,I$7:I$52)</f>
        <v>0</v>
      </c>
      <c r="T13" s="21">
        <f>SUMIF(A$7:A$39,N13,K$7:K$39)</f>
        <v>25</v>
      </c>
      <c r="U13" s="21">
        <f>SUMIF(A$7:A$53,N13,G$7:G$53)</f>
        <v>0</v>
      </c>
      <c r="V13" s="21">
        <f>SUMIF(A$7:A$53,N13,I$7:I$53)</f>
        <v>0</v>
      </c>
      <c r="X13" s="253" t="s">
        <v>177</v>
      </c>
      <c r="Y13" s="253" t="s">
        <v>165</v>
      </c>
      <c r="Z13" s="253" t="s">
        <v>166</v>
      </c>
      <c r="AA13" s="253" t="s">
        <v>167</v>
      </c>
      <c r="AB13" s="253" t="s">
        <v>297</v>
      </c>
      <c r="AC13" s="253" t="s">
        <v>343</v>
      </c>
    </row>
    <row r="14" spans="1:42" x14ac:dyDescent="0.3">
      <c r="A14" s="22">
        <v>46267</v>
      </c>
      <c r="B14" s="19" t="s">
        <v>14</v>
      </c>
      <c r="C14" s="530" t="s">
        <v>456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/>
      <c r="U14" s="21"/>
      <c r="V14" s="21"/>
      <c r="X14" s="553"/>
      <c r="Y14" s="553"/>
      <c r="Z14" s="553"/>
      <c r="AA14" s="553"/>
      <c r="AB14" s="553"/>
      <c r="AC14" s="553"/>
    </row>
    <row r="15" spans="1:42" x14ac:dyDescent="0.3">
      <c r="A15" s="22">
        <v>46268</v>
      </c>
      <c r="B15" s="19" t="s">
        <v>13</v>
      </c>
      <c r="C15" s="530" t="s">
        <v>455</v>
      </c>
      <c r="D15" s="16">
        <v>100</v>
      </c>
      <c r="E15" s="16"/>
      <c r="F15" s="6"/>
      <c r="G15" s="6"/>
      <c r="H15" s="5"/>
      <c r="I15" s="6"/>
      <c r="J15" s="16"/>
      <c r="K15" s="6"/>
      <c r="L15" s="6"/>
      <c r="N15" s="20">
        <v>46268</v>
      </c>
      <c r="O15" s="21">
        <f t="shared" ref="O15:O35" si="1">SUMIF(A$7:A$39,N15,D$7:D$39)+SUMIF(A$7:A$39,N15,G$7:G$39)</f>
        <v>100</v>
      </c>
      <c r="P15" s="21">
        <f t="shared" ref="P15:P52" si="2">SUMIF(A$7:A$39,N15,E$7:E$39)+SUMIF(A$7:A$39,N15,J$7:J$39)</f>
        <v>0</v>
      </c>
      <c r="Q15" s="21">
        <f t="shared" ref="Q15:Q52" si="3">SUMIF(A$7:A$39,N15,F$7:F$39)</f>
        <v>0</v>
      </c>
      <c r="R15" s="21">
        <f t="shared" ref="R15:R52" si="4">SUMIF(A$7:A$52,N15,H$7:H$53)</f>
        <v>0</v>
      </c>
      <c r="S15" s="21">
        <f t="shared" ref="S15:S52" si="5">SUMIF(A$7:A$52,N15,I$7:I$52)</f>
        <v>0</v>
      </c>
      <c r="T15" s="21">
        <f t="shared" ref="T15:T33" si="6">SUMIF(A$7:A$39,N15,K$7:K$39)</f>
        <v>0</v>
      </c>
      <c r="U15" s="21">
        <f t="shared" ref="U15:U52" si="7">SUMIF(A$7:A$53,N15,G$7:G$53)</f>
        <v>0</v>
      </c>
      <c r="V15" s="21">
        <f t="shared" ref="V15:V52" si="8">SUMIF(A$7:A$53,N15,I$7:I$53)</f>
        <v>0</v>
      </c>
    </row>
    <row r="16" spans="1:42" x14ac:dyDescent="0.3">
      <c r="A16" s="22">
        <v>46269</v>
      </c>
      <c r="B16" s="19"/>
      <c r="C16" s="19"/>
      <c r="D16" s="16"/>
      <c r="E16" s="16"/>
      <c r="F16" s="6"/>
      <c r="G16" s="6"/>
      <c r="H16" s="5"/>
      <c r="I16" s="6"/>
      <c r="J16" s="16"/>
      <c r="K16" s="6"/>
      <c r="L16" s="6"/>
      <c r="N16" s="20">
        <v>46269</v>
      </c>
      <c r="O16" s="21">
        <f t="shared" si="1"/>
        <v>0</v>
      </c>
      <c r="P16" s="21">
        <f t="shared" si="2"/>
        <v>0</v>
      </c>
      <c r="Q16" s="21">
        <f t="shared" si="3"/>
        <v>0</v>
      </c>
      <c r="R16" s="21">
        <f t="shared" si="4"/>
        <v>0</v>
      </c>
      <c r="S16" s="21">
        <f t="shared" si="5"/>
        <v>0</v>
      </c>
      <c r="T16" s="21">
        <f t="shared" si="6"/>
        <v>0</v>
      </c>
      <c r="U16" s="21">
        <f t="shared" si="7"/>
        <v>0</v>
      </c>
      <c r="V16" s="21">
        <f t="shared" si="8"/>
        <v>0</v>
      </c>
    </row>
    <row r="17" spans="1:24" x14ac:dyDescent="0.3">
      <c r="A17" s="22">
        <v>46270</v>
      </c>
      <c r="B17" s="19"/>
      <c r="C17" s="173"/>
      <c r="D17" s="16"/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 t="shared" si="1"/>
        <v>0</v>
      </c>
      <c r="P17" s="21">
        <f t="shared" si="2"/>
        <v>0</v>
      </c>
      <c r="Q17" s="21">
        <f t="shared" si="3"/>
        <v>0</v>
      </c>
      <c r="R17" s="21">
        <f t="shared" si="4"/>
        <v>0</v>
      </c>
      <c r="S17" s="21">
        <f t="shared" si="5"/>
        <v>0</v>
      </c>
      <c r="T17" s="21">
        <f t="shared" si="6"/>
        <v>0</v>
      </c>
      <c r="U17" s="21">
        <f t="shared" si="7"/>
        <v>0</v>
      </c>
      <c r="V17" s="21">
        <f t="shared" si="8"/>
        <v>0</v>
      </c>
    </row>
    <row r="18" spans="1:24" x14ac:dyDescent="0.3">
      <c r="A18" s="22">
        <v>46271</v>
      </c>
      <c r="B18" s="19"/>
      <c r="C18" s="19"/>
      <c r="D18" s="16"/>
      <c r="E18" s="16"/>
      <c r="F18" s="6"/>
      <c r="G18" s="6"/>
      <c r="H18" s="5"/>
      <c r="I18" s="6"/>
      <c r="J18" s="6"/>
      <c r="K18" s="6"/>
      <c r="L18" s="6"/>
      <c r="N18" s="20">
        <v>46271</v>
      </c>
      <c r="O18" s="21">
        <f t="shared" si="1"/>
        <v>0</v>
      </c>
      <c r="P18" s="21">
        <f t="shared" si="2"/>
        <v>0</v>
      </c>
      <c r="Q18" s="21">
        <f t="shared" si="3"/>
        <v>0</v>
      </c>
      <c r="R18" s="21">
        <f t="shared" si="4"/>
        <v>0</v>
      </c>
      <c r="S18" s="21">
        <f t="shared" si="5"/>
        <v>0</v>
      </c>
      <c r="T18" s="21">
        <f t="shared" si="6"/>
        <v>0</v>
      </c>
      <c r="U18" s="21">
        <f t="shared" si="7"/>
        <v>0</v>
      </c>
      <c r="V18" s="21">
        <f t="shared" si="8"/>
        <v>0</v>
      </c>
    </row>
    <row r="19" spans="1:24" x14ac:dyDescent="0.3">
      <c r="A19" s="22">
        <v>46272</v>
      </c>
      <c r="B19" s="19"/>
      <c r="C19" s="19"/>
      <c r="D19" s="16"/>
      <c r="E19" s="16"/>
      <c r="F19" s="6"/>
      <c r="G19" s="6"/>
      <c r="H19" s="5"/>
      <c r="I19" s="6"/>
      <c r="J19" s="6"/>
      <c r="K19" s="6"/>
      <c r="L19" s="6"/>
      <c r="N19" s="20">
        <v>46272</v>
      </c>
      <c r="O19" s="21">
        <f t="shared" si="1"/>
        <v>0</v>
      </c>
      <c r="P19" s="21">
        <f t="shared" si="2"/>
        <v>0</v>
      </c>
      <c r="Q19" s="21">
        <f t="shared" si="3"/>
        <v>0</v>
      </c>
      <c r="R19" s="21">
        <f t="shared" si="4"/>
        <v>0</v>
      </c>
      <c r="S19" s="21">
        <f t="shared" si="5"/>
        <v>0</v>
      </c>
      <c r="T19" s="21">
        <f t="shared" si="6"/>
        <v>0</v>
      </c>
      <c r="U19" s="21">
        <f t="shared" si="7"/>
        <v>0</v>
      </c>
      <c r="V19" s="21">
        <f t="shared" si="8"/>
        <v>0</v>
      </c>
      <c r="X19" t="s">
        <v>328</v>
      </c>
    </row>
    <row r="20" spans="1:24" x14ac:dyDescent="0.3">
      <c r="A20" s="22">
        <v>46273</v>
      </c>
      <c r="B20" s="19"/>
      <c r="C20" s="19"/>
      <c r="D20" s="16"/>
      <c r="E20" s="16"/>
      <c r="F20" s="6"/>
      <c r="G20" s="6"/>
      <c r="H20" s="5"/>
      <c r="I20" s="6"/>
      <c r="J20" s="6"/>
      <c r="K20" s="6"/>
      <c r="L20" s="6"/>
      <c r="N20" s="20">
        <v>46273</v>
      </c>
      <c r="O20" s="21">
        <f t="shared" si="1"/>
        <v>0</v>
      </c>
      <c r="P20" s="21">
        <f t="shared" si="2"/>
        <v>0</v>
      </c>
      <c r="Q20" s="21">
        <f t="shared" si="3"/>
        <v>0</v>
      </c>
      <c r="R20" s="21">
        <f t="shared" si="4"/>
        <v>0</v>
      </c>
      <c r="S20" s="21">
        <f t="shared" si="5"/>
        <v>0</v>
      </c>
      <c r="T20" s="21">
        <f t="shared" si="6"/>
        <v>0</v>
      </c>
      <c r="U20" s="21">
        <f t="shared" si="7"/>
        <v>0</v>
      </c>
      <c r="V20" s="21">
        <f t="shared" si="8"/>
        <v>0</v>
      </c>
    </row>
    <row r="21" spans="1:24" x14ac:dyDescent="0.3">
      <c r="A21" s="22">
        <v>46274</v>
      </c>
      <c r="B21" s="19"/>
      <c r="C21" s="19"/>
      <c r="D21" s="16"/>
      <c r="E21" s="16"/>
      <c r="F21" s="6"/>
      <c r="G21" s="6"/>
      <c r="H21" s="5"/>
      <c r="I21" s="6"/>
      <c r="J21" s="6"/>
      <c r="K21" s="6"/>
      <c r="L21" s="6"/>
      <c r="N21" s="20">
        <v>46274</v>
      </c>
      <c r="O21" s="21">
        <f t="shared" si="1"/>
        <v>0</v>
      </c>
      <c r="P21" s="21">
        <f t="shared" si="2"/>
        <v>0</v>
      </c>
      <c r="Q21" s="21">
        <f t="shared" si="3"/>
        <v>0</v>
      </c>
      <c r="R21" s="21">
        <f t="shared" si="4"/>
        <v>0</v>
      </c>
      <c r="S21" s="21">
        <f t="shared" si="5"/>
        <v>0</v>
      </c>
      <c r="T21" s="21">
        <f t="shared" si="6"/>
        <v>0</v>
      </c>
      <c r="U21" s="21">
        <f t="shared" si="7"/>
        <v>0</v>
      </c>
      <c r="V21" s="21">
        <f t="shared" si="8"/>
        <v>0</v>
      </c>
    </row>
    <row r="22" spans="1:24" x14ac:dyDescent="0.3">
      <c r="A22" s="22">
        <v>46275</v>
      </c>
      <c r="B22" s="19"/>
      <c r="C22" s="19"/>
      <c r="D22" s="16"/>
      <c r="E22" s="16"/>
      <c r="F22" s="6"/>
      <c r="G22" s="6"/>
      <c r="H22" s="5"/>
      <c r="I22" s="6"/>
      <c r="J22" s="6"/>
      <c r="K22" s="6"/>
      <c r="L22" s="6"/>
      <c r="N22" s="20">
        <v>46275</v>
      </c>
      <c r="O22" s="21">
        <f t="shared" si="1"/>
        <v>0</v>
      </c>
      <c r="P22" s="21">
        <f t="shared" si="2"/>
        <v>0</v>
      </c>
      <c r="Q22" s="21">
        <f t="shared" si="3"/>
        <v>0</v>
      </c>
      <c r="R22" s="21">
        <f t="shared" si="4"/>
        <v>0</v>
      </c>
      <c r="S22" s="21">
        <f t="shared" si="5"/>
        <v>0</v>
      </c>
      <c r="T22" s="21">
        <f t="shared" si="6"/>
        <v>0</v>
      </c>
      <c r="U22" s="21">
        <f t="shared" si="7"/>
        <v>0</v>
      </c>
      <c r="V22" s="21">
        <f t="shared" si="8"/>
        <v>0</v>
      </c>
      <c r="X22" s="308"/>
    </row>
    <row r="23" spans="1:24" x14ac:dyDescent="0.3">
      <c r="A23" s="22">
        <v>46276</v>
      </c>
      <c r="B23" s="19"/>
      <c r="C23" s="19"/>
      <c r="D23" s="16"/>
      <c r="E23" s="16"/>
      <c r="F23" s="6"/>
      <c r="G23" s="6"/>
      <c r="H23" s="5"/>
      <c r="I23" s="6"/>
      <c r="J23" s="6"/>
      <c r="K23" s="6"/>
      <c r="L23" s="6"/>
      <c r="N23" s="20">
        <v>46276</v>
      </c>
      <c r="O23" s="21">
        <f t="shared" si="1"/>
        <v>0</v>
      </c>
      <c r="P23" s="21">
        <f t="shared" si="2"/>
        <v>0</v>
      </c>
      <c r="Q23" s="21">
        <f t="shared" si="3"/>
        <v>0</v>
      </c>
      <c r="R23" s="21">
        <f t="shared" si="4"/>
        <v>0</v>
      </c>
      <c r="S23" s="21">
        <f t="shared" si="5"/>
        <v>0</v>
      </c>
      <c r="T23" s="21">
        <f t="shared" si="6"/>
        <v>0</v>
      </c>
      <c r="U23" s="21">
        <f t="shared" si="7"/>
        <v>0</v>
      </c>
      <c r="V23" s="21">
        <f t="shared" si="8"/>
        <v>0</v>
      </c>
    </row>
    <row r="24" spans="1:24" x14ac:dyDescent="0.3">
      <c r="A24" s="22">
        <v>46277</v>
      </c>
      <c r="B24" s="19"/>
      <c r="C24" s="19"/>
      <c r="D24" s="16"/>
      <c r="E24" s="16"/>
      <c r="F24" s="6"/>
      <c r="G24" s="6"/>
      <c r="H24" s="5"/>
      <c r="I24" s="6"/>
      <c r="J24" s="6"/>
      <c r="K24" s="6"/>
      <c r="L24" s="6"/>
      <c r="N24" s="20">
        <v>46277</v>
      </c>
      <c r="O24" s="21">
        <f t="shared" si="1"/>
        <v>0</v>
      </c>
      <c r="P24" s="21">
        <f t="shared" si="2"/>
        <v>0</v>
      </c>
      <c r="Q24" s="21">
        <f t="shared" si="3"/>
        <v>0</v>
      </c>
      <c r="R24" s="21">
        <f t="shared" si="4"/>
        <v>0</v>
      </c>
      <c r="S24" s="21">
        <f t="shared" si="5"/>
        <v>0</v>
      </c>
      <c r="T24" s="21">
        <f t="shared" si="6"/>
        <v>0</v>
      </c>
      <c r="U24" s="21">
        <f t="shared" si="7"/>
        <v>0</v>
      </c>
      <c r="V24" s="21">
        <f t="shared" si="8"/>
        <v>0</v>
      </c>
    </row>
    <row r="25" spans="1:24" x14ac:dyDescent="0.3">
      <c r="A25" s="22">
        <v>46278</v>
      </c>
      <c r="B25" s="19"/>
      <c r="C25" s="19"/>
      <c r="D25" s="16"/>
      <c r="E25" s="16"/>
      <c r="F25" s="6"/>
      <c r="G25" s="6"/>
      <c r="H25" s="5"/>
      <c r="I25" s="6"/>
      <c r="J25" s="6"/>
      <c r="K25" s="6"/>
      <c r="L25" s="6"/>
      <c r="N25" s="20">
        <v>46278</v>
      </c>
      <c r="O25" s="21">
        <f t="shared" si="1"/>
        <v>0</v>
      </c>
      <c r="P25" s="21">
        <f t="shared" si="2"/>
        <v>0</v>
      </c>
      <c r="Q25" s="21">
        <f t="shared" si="3"/>
        <v>0</v>
      </c>
      <c r="R25" s="21">
        <f t="shared" si="4"/>
        <v>0</v>
      </c>
      <c r="S25" s="21">
        <f t="shared" si="5"/>
        <v>0</v>
      </c>
      <c r="T25" s="21">
        <f t="shared" si="6"/>
        <v>0</v>
      </c>
      <c r="U25" s="21">
        <f t="shared" si="7"/>
        <v>0</v>
      </c>
      <c r="V25" s="21">
        <f t="shared" si="8"/>
        <v>0</v>
      </c>
    </row>
    <row r="26" spans="1:24" x14ac:dyDescent="0.3">
      <c r="A26" s="22">
        <v>46279</v>
      </c>
      <c r="B26" s="19"/>
      <c r="C26" s="19"/>
      <c r="D26" s="16"/>
      <c r="E26" s="16"/>
      <c r="F26" s="16"/>
      <c r="G26" s="16"/>
      <c r="H26" s="48"/>
      <c r="I26" s="16"/>
      <c r="J26" s="16"/>
      <c r="K26" s="6"/>
      <c r="L26" s="6"/>
      <c r="N26" s="20">
        <v>46279</v>
      </c>
      <c r="O26" s="21">
        <f t="shared" si="1"/>
        <v>0</v>
      </c>
      <c r="P26" s="21">
        <f t="shared" si="2"/>
        <v>0</v>
      </c>
      <c r="Q26" s="21">
        <f t="shared" si="3"/>
        <v>0</v>
      </c>
      <c r="R26" s="21">
        <f t="shared" si="4"/>
        <v>0</v>
      </c>
      <c r="S26" s="21">
        <f t="shared" si="5"/>
        <v>0</v>
      </c>
      <c r="T26" s="21">
        <f t="shared" si="6"/>
        <v>0</v>
      </c>
      <c r="U26" s="21">
        <f t="shared" si="7"/>
        <v>0</v>
      </c>
      <c r="V26" s="21">
        <f t="shared" si="8"/>
        <v>0</v>
      </c>
    </row>
    <row r="27" spans="1:24" x14ac:dyDescent="0.3">
      <c r="A27" s="22">
        <v>46280</v>
      </c>
      <c r="B27" s="19"/>
      <c r="C27" s="19"/>
      <c r="D27" s="16"/>
      <c r="E27" s="16"/>
      <c r="F27" s="16"/>
      <c r="G27" s="16"/>
      <c r="H27" s="48"/>
      <c r="I27" s="16"/>
      <c r="J27" s="16"/>
      <c r="K27" s="6"/>
      <c r="L27" s="6"/>
      <c r="N27" s="20">
        <v>46280</v>
      </c>
      <c r="O27" s="21">
        <f t="shared" si="1"/>
        <v>0</v>
      </c>
      <c r="P27" s="21">
        <f t="shared" si="2"/>
        <v>0</v>
      </c>
      <c r="Q27" s="21">
        <f t="shared" si="3"/>
        <v>0</v>
      </c>
      <c r="R27" s="21">
        <f t="shared" si="4"/>
        <v>0</v>
      </c>
      <c r="S27" s="21">
        <f t="shared" si="5"/>
        <v>0</v>
      </c>
      <c r="T27" s="21">
        <f t="shared" si="6"/>
        <v>0</v>
      </c>
      <c r="U27" s="21">
        <f t="shared" si="7"/>
        <v>0</v>
      </c>
      <c r="V27" s="21">
        <f t="shared" si="8"/>
        <v>0</v>
      </c>
    </row>
    <row r="28" spans="1:24" x14ac:dyDescent="0.3">
      <c r="A28" s="22">
        <v>46281</v>
      </c>
      <c r="B28" s="19"/>
      <c r="C28" s="19"/>
      <c r="D28" s="16"/>
      <c r="E28" s="16"/>
      <c r="F28" s="16"/>
      <c r="G28" s="16"/>
      <c r="H28" s="48"/>
      <c r="I28" s="16"/>
      <c r="J28" s="16"/>
      <c r="K28" s="6"/>
      <c r="L28" s="6"/>
      <c r="N28" s="20">
        <v>46281</v>
      </c>
      <c r="O28" s="21">
        <f t="shared" si="1"/>
        <v>0</v>
      </c>
      <c r="P28" s="21">
        <f t="shared" si="2"/>
        <v>0</v>
      </c>
      <c r="Q28" s="21">
        <f t="shared" si="3"/>
        <v>0</v>
      </c>
      <c r="R28" s="21">
        <f t="shared" si="4"/>
        <v>0</v>
      </c>
      <c r="S28" s="21">
        <f t="shared" si="5"/>
        <v>0</v>
      </c>
      <c r="T28" s="21">
        <f t="shared" si="6"/>
        <v>0</v>
      </c>
      <c r="U28" s="21">
        <f t="shared" si="7"/>
        <v>0</v>
      </c>
      <c r="V28" s="21">
        <f t="shared" si="8"/>
        <v>0</v>
      </c>
    </row>
    <row r="29" spans="1:24" x14ac:dyDescent="0.3">
      <c r="A29" s="22">
        <v>46282</v>
      </c>
      <c r="B29" s="19"/>
      <c r="C29" s="19"/>
      <c r="D29" s="16"/>
      <c r="E29" s="16"/>
      <c r="F29" s="6"/>
      <c r="G29" s="6"/>
      <c r="H29" s="5"/>
      <c r="I29" s="6"/>
      <c r="J29" s="16"/>
      <c r="K29" s="6"/>
      <c r="L29" s="6"/>
      <c r="N29" s="20">
        <v>46282</v>
      </c>
      <c r="O29" s="21">
        <f t="shared" si="1"/>
        <v>0</v>
      </c>
      <c r="P29" s="21">
        <f t="shared" si="2"/>
        <v>0</v>
      </c>
      <c r="Q29" s="21">
        <f t="shared" si="3"/>
        <v>0</v>
      </c>
      <c r="R29" s="21">
        <f t="shared" si="4"/>
        <v>0</v>
      </c>
      <c r="S29" s="21">
        <f t="shared" si="5"/>
        <v>0</v>
      </c>
      <c r="T29" s="21">
        <f t="shared" si="6"/>
        <v>0</v>
      </c>
      <c r="U29" s="21">
        <f t="shared" si="7"/>
        <v>0</v>
      </c>
      <c r="V29" s="21">
        <f t="shared" si="8"/>
        <v>0</v>
      </c>
    </row>
    <row r="30" spans="1:24" x14ac:dyDescent="0.3">
      <c r="A30" s="22">
        <v>46283</v>
      </c>
      <c r="B30" s="19"/>
      <c r="C30" s="19"/>
      <c r="D30" s="16"/>
      <c r="E30" s="16"/>
      <c r="F30" s="6"/>
      <c r="G30" s="6"/>
      <c r="H30" s="5"/>
      <c r="I30" s="6"/>
      <c r="J30" s="16"/>
      <c r="K30" s="6"/>
      <c r="L30" s="6"/>
      <c r="N30" s="20">
        <v>46283</v>
      </c>
      <c r="O30" s="21">
        <f t="shared" si="1"/>
        <v>0</v>
      </c>
      <c r="P30" s="21">
        <f t="shared" si="2"/>
        <v>0</v>
      </c>
      <c r="Q30" s="21">
        <f t="shared" si="3"/>
        <v>0</v>
      </c>
      <c r="R30" s="21">
        <f t="shared" si="4"/>
        <v>0</v>
      </c>
      <c r="S30" s="21">
        <f t="shared" si="5"/>
        <v>0</v>
      </c>
      <c r="T30" s="21">
        <f t="shared" si="6"/>
        <v>0</v>
      </c>
      <c r="U30" s="21">
        <f t="shared" si="7"/>
        <v>0</v>
      </c>
      <c r="V30" s="21">
        <f t="shared" si="8"/>
        <v>0</v>
      </c>
    </row>
    <row r="31" spans="1:24" x14ac:dyDescent="0.3">
      <c r="A31" s="22">
        <v>46284</v>
      </c>
      <c r="B31" s="19"/>
      <c r="C31" s="19"/>
      <c r="D31" s="16"/>
      <c r="E31" s="16"/>
      <c r="F31" s="6"/>
      <c r="G31" s="6"/>
      <c r="H31" s="5"/>
      <c r="I31" s="6"/>
      <c r="J31" s="16"/>
      <c r="K31" s="6"/>
      <c r="L31" s="6"/>
      <c r="N31" s="20">
        <v>46284</v>
      </c>
      <c r="O31" s="21">
        <f t="shared" si="1"/>
        <v>0</v>
      </c>
      <c r="P31" s="21">
        <f t="shared" si="2"/>
        <v>0</v>
      </c>
      <c r="Q31" s="21">
        <f t="shared" si="3"/>
        <v>0</v>
      </c>
      <c r="R31" s="21">
        <f t="shared" si="4"/>
        <v>0</v>
      </c>
      <c r="S31" s="21">
        <f t="shared" si="5"/>
        <v>0</v>
      </c>
      <c r="T31" s="21">
        <f t="shared" si="6"/>
        <v>0</v>
      </c>
      <c r="U31" s="21">
        <f t="shared" si="7"/>
        <v>0</v>
      </c>
      <c r="V31" s="21">
        <f t="shared" si="8"/>
        <v>0</v>
      </c>
    </row>
    <row r="32" spans="1:24" x14ac:dyDescent="0.3">
      <c r="A32" s="22">
        <v>46285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46285</v>
      </c>
      <c r="O32" s="21">
        <f t="shared" si="1"/>
        <v>0</v>
      </c>
      <c r="P32" s="21">
        <f t="shared" si="2"/>
        <v>0</v>
      </c>
      <c r="Q32" s="21">
        <f t="shared" si="3"/>
        <v>0</v>
      </c>
      <c r="R32" s="21">
        <f t="shared" si="4"/>
        <v>0</v>
      </c>
      <c r="S32" s="21">
        <f t="shared" si="5"/>
        <v>0</v>
      </c>
      <c r="T32" s="21">
        <f t="shared" si="6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46286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46286</v>
      </c>
      <c r="O33" s="21">
        <f t="shared" si="1"/>
        <v>0</v>
      </c>
      <c r="P33" s="21">
        <f t="shared" si="2"/>
        <v>0</v>
      </c>
      <c r="Q33" s="21">
        <f t="shared" si="3"/>
        <v>0</v>
      </c>
      <c r="R33" s="21">
        <f t="shared" si="4"/>
        <v>0</v>
      </c>
      <c r="S33" s="21">
        <f t="shared" si="5"/>
        <v>0</v>
      </c>
      <c r="T33" s="21">
        <f t="shared" si="6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46287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46287</v>
      </c>
      <c r="O34" s="21">
        <f t="shared" si="1"/>
        <v>0</v>
      </c>
      <c r="P34" s="21">
        <f t="shared" si="2"/>
        <v>0</v>
      </c>
      <c r="Q34" s="21">
        <f t="shared" si="3"/>
        <v>0</v>
      </c>
      <c r="R34" s="21">
        <f t="shared" si="4"/>
        <v>0</v>
      </c>
      <c r="S34" s="21">
        <f t="shared" si="5"/>
        <v>0</v>
      </c>
      <c r="T34" s="21">
        <f t="shared" ref="T34:T52" si="9">SUMIF(A$7:A$52,N34,K$7:K$53)</f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46288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46288</v>
      </c>
      <c r="O35" s="21">
        <f t="shared" si="1"/>
        <v>0</v>
      </c>
      <c r="P35" s="21">
        <f t="shared" si="2"/>
        <v>0</v>
      </c>
      <c r="Q35" s="21">
        <f t="shared" si="3"/>
        <v>0</v>
      </c>
      <c r="R35" s="21">
        <f t="shared" si="4"/>
        <v>0</v>
      </c>
      <c r="S35" s="21">
        <f t="shared" si="5"/>
        <v>0</v>
      </c>
      <c r="T35" s="21">
        <f t="shared" si="9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46289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46289</v>
      </c>
      <c r="O36" s="21">
        <f t="shared" ref="O36:O52" si="10">SUMIF(A$7:A$53,N36,D$7:D$53)+SUMIF(A$7:A$39,N36,G$7:G$53)</f>
        <v>0</v>
      </c>
      <c r="P36" s="21">
        <f t="shared" si="2"/>
        <v>0</v>
      </c>
      <c r="Q36" s="21">
        <f t="shared" si="3"/>
        <v>0</v>
      </c>
      <c r="R36" s="21">
        <f t="shared" si="4"/>
        <v>0</v>
      </c>
      <c r="S36" s="21">
        <f t="shared" si="5"/>
        <v>0</v>
      </c>
      <c r="T36" s="21">
        <f t="shared" si="9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46290</v>
      </c>
      <c r="B37" s="19"/>
      <c r="C37" s="19"/>
      <c r="D37" s="16"/>
      <c r="E37" s="16"/>
      <c r="F37" s="6"/>
      <c r="G37" s="6"/>
      <c r="H37" s="5"/>
      <c r="I37" s="6"/>
      <c r="J37" s="6"/>
      <c r="K37" s="6"/>
      <c r="L37" s="77"/>
      <c r="N37" s="20">
        <v>46290</v>
      </c>
      <c r="O37" s="21">
        <f t="shared" si="10"/>
        <v>0</v>
      </c>
      <c r="P37" s="21">
        <f t="shared" si="2"/>
        <v>0</v>
      </c>
      <c r="Q37" s="21">
        <f t="shared" si="3"/>
        <v>0</v>
      </c>
      <c r="R37" s="21">
        <f t="shared" si="4"/>
        <v>0</v>
      </c>
      <c r="S37" s="21">
        <f t="shared" si="5"/>
        <v>0</v>
      </c>
      <c r="T37" s="21">
        <f t="shared" si="9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46291</v>
      </c>
      <c r="B38" s="19"/>
      <c r="C38" s="19"/>
      <c r="D38" s="16"/>
      <c r="E38" s="16"/>
      <c r="F38" s="6"/>
      <c r="G38" s="6"/>
      <c r="H38" s="5"/>
      <c r="I38" s="6"/>
      <c r="J38" s="6"/>
      <c r="K38" s="6"/>
      <c r="L38" s="6"/>
      <c r="N38" s="20">
        <v>46291</v>
      </c>
      <c r="O38" s="21">
        <f t="shared" si="10"/>
        <v>0</v>
      </c>
      <c r="P38" s="21">
        <f t="shared" si="2"/>
        <v>0</v>
      </c>
      <c r="Q38" s="21">
        <f t="shared" si="3"/>
        <v>0</v>
      </c>
      <c r="R38" s="21">
        <f t="shared" si="4"/>
        <v>0</v>
      </c>
      <c r="S38" s="21">
        <f t="shared" si="5"/>
        <v>0</v>
      </c>
      <c r="T38" s="21">
        <f t="shared" si="9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46292</v>
      </c>
      <c r="B39" s="19"/>
      <c r="C39" s="19"/>
      <c r="D39" s="16"/>
      <c r="E39" s="16"/>
      <c r="F39" s="6"/>
      <c r="G39" s="6"/>
      <c r="H39" s="5"/>
      <c r="I39" s="6"/>
      <c r="J39" s="6"/>
      <c r="K39" s="6"/>
      <c r="L39" s="6"/>
      <c r="N39" s="20">
        <v>46292</v>
      </c>
      <c r="O39" s="21">
        <f t="shared" si="10"/>
        <v>0</v>
      </c>
      <c r="P39" s="21">
        <f t="shared" si="2"/>
        <v>0</v>
      </c>
      <c r="Q39" s="21">
        <f t="shared" si="3"/>
        <v>0</v>
      </c>
      <c r="R39" s="21">
        <f t="shared" si="4"/>
        <v>0</v>
      </c>
      <c r="S39" s="21">
        <f t="shared" si="5"/>
        <v>0</v>
      </c>
      <c r="T39" s="21">
        <f t="shared" si="9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46293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6"/>
      <c r="N40" s="20">
        <v>46293</v>
      </c>
      <c r="O40" s="21">
        <f t="shared" si="10"/>
        <v>0</v>
      </c>
      <c r="P40" s="21">
        <f t="shared" si="2"/>
        <v>0</v>
      </c>
      <c r="Q40" s="21">
        <f t="shared" si="3"/>
        <v>0</v>
      </c>
      <c r="R40" s="21">
        <f t="shared" si="4"/>
        <v>0</v>
      </c>
      <c r="S40" s="21">
        <f t="shared" si="5"/>
        <v>0</v>
      </c>
      <c r="T40" s="21">
        <f t="shared" si="9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46294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46294</v>
      </c>
      <c r="O41" s="21">
        <f t="shared" si="10"/>
        <v>0</v>
      </c>
      <c r="P41" s="21">
        <f t="shared" si="2"/>
        <v>0</v>
      </c>
      <c r="Q41" s="21">
        <f t="shared" si="3"/>
        <v>0</v>
      </c>
      <c r="R41" s="21">
        <f t="shared" si="4"/>
        <v>0</v>
      </c>
      <c r="S41" s="21">
        <f t="shared" si="5"/>
        <v>0</v>
      </c>
      <c r="T41" s="21">
        <f t="shared" si="9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46295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46295</v>
      </c>
      <c r="O42" s="21">
        <f t="shared" si="10"/>
        <v>0</v>
      </c>
      <c r="P42" s="21">
        <f t="shared" si="2"/>
        <v>0</v>
      </c>
      <c r="Q42" s="21">
        <f t="shared" si="3"/>
        <v>0</v>
      </c>
      <c r="R42" s="21">
        <f t="shared" si="4"/>
        <v>0</v>
      </c>
      <c r="S42" s="21">
        <f t="shared" si="5"/>
        <v>0</v>
      </c>
      <c r="T42" s="21">
        <f t="shared" si="9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46296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46296</v>
      </c>
      <c r="O43" s="21">
        <f t="shared" si="10"/>
        <v>0</v>
      </c>
      <c r="P43" s="21">
        <f t="shared" si="2"/>
        <v>0</v>
      </c>
      <c r="Q43" s="21">
        <f t="shared" si="3"/>
        <v>0</v>
      </c>
      <c r="R43" s="21">
        <f t="shared" si="4"/>
        <v>0</v>
      </c>
      <c r="S43" s="21">
        <f t="shared" si="5"/>
        <v>0</v>
      </c>
      <c r="T43" s="21">
        <f t="shared" si="9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46297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46297</v>
      </c>
      <c r="O44" s="21">
        <f t="shared" si="10"/>
        <v>0</v>
      </c>
      <c r="P44" s="21">
        <f t="shared" si="2"/>
        <v>0</v>
      </c>
      <c r="Q44" s="21">
        <f t="shared" si="3"/>
        <v>0</v>
      </c>
      <c r="R44" s="21">
        <f t="shared" si="4"/>
        <v>0</v>
      </c>
      <c r="S44" s="21">
        <f t="shared" si="5"/>
        <v>0</v>
      </c>
      <c r="T44" s="21">
        <f t="shared" si="9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46298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46298</v>
      </c>
      <c r="O45" s="21">
        <f t="shared" si="10"/>
        <v>0</v>
      </c>
      <c r="P45" s="21">
        <f t="shared" si="2"/>
        <v>0</v>
      </c>
      <c r="Q45" s="21">
        <f t="shared" si="3"/>
        <v>0</v>
      </c>
      <c r="R45" s="21">
        <f t="shared" si="4"/>
        <v>0</v>
      </c>
      <c r="S45" s="21">
        <f t="shared" si="5"/>
        <v>0</v>
      </c>
      <c r="T45" s="21">
        <f t="shared" si="9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46299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46299</v>
      </c>
      <c r="O46" s="21">
        <f t="shared" si="10"/>
        <v>0</v>
      </c>
      <c r="P46" s="21">
        <f t="shared" si="2"/>
        <v>0</v>
      </c>
      <c r="Q46" s="21">
        <f t="shared" si="3"/>
        <v>0</v>
      </c>
      <c r="R46" s="21">
        <f t="shared" si="4"/>
        <v>0</v>
      </c>
      <c r="S46" s="21">
        <f t="shared" si="5"/>
        <v>0</v>
      </c>
      <c r="T46" s="21">
        <f t="shared" si="9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46300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46300</v>
      </c>
      <c r="O47" s="21">
        <f t="shared" si="10"/>
        <v>0</v>
      </c>
      <c r="P47" s="21">
        <f t="shared" si="2"/>
        <v>0</v>
      </c>
      <c r="Q47" s="21">
        <f t="shared" si="3"/>
        <v>0</v>
      </c>
      <c r="R47" s="21">
        <f t="shared" si="4"/>
        <v>0</v>
      </c>
      <c r="S47" s="21">
        <f t="shared" si="5"/>
        <v>0</v>
      </c>
      <c r="T47" s="21">
        <f t="shared" si="9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46301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46301</v>
      </c>
      <c r="O48" s="21">
        <f t="shared" si="10"/>
        <v>0</v>
      </c>
      <c r="P48" s="21">
        <f t="shared" si="2"/>
        <v>0</v>
      </c>
      <c r="Q48" s="21">
        <f t="shared" si="3"/>
        <v>0</v>
      </c>
      <c r="R48" s="21">
        <f t="shared" si="4"/>
        <v>0</v>
      </c>
      <c r="S48" s="21">
        <f t="shared" si="5"/>
        <v>0</v>
      </c>
      <c r="T48" s="21">
        <f t="shared" si="9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46302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46302</v>
      </c>
      <c r="O49" s="21">
        <f t="shared" si="10"/>
        <v>0</v>
      </c>
      <c r="P49" s="21">
        <f t="shared" si="2"/>
        <v>0</v>
      </c>
      <c r="Q49" s="21">
        <f t="shared" si="3"/>
        <v>0</v>
      </c>
      <c r="R49" s="21">
        <f t="shared" si="4"/>
        <v>0</v>
      </c>
      <c r="S49" s="21">
        <f t="shared" si="5"/>
        <v>0</v>
      </c>
      <c r="T49" s="21">
        <f t="shared" si="9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46303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46303</v>
      </c>
      <c r="O50" s="21">
        <f t="shared" si="10"/>
        <v>0</v>
      </c>
      <c r="P50" s="21">
        <f t="shared" si="2"/>
        <v>0</v>
      </c>
      <c r="Q50" s="21">
        <f t="shared" si="3"/>
        <v>0</v>
      </c>
      <c r="R50" s="21">
        <f t="shared" si="4"/>
        <v>0</v>
      </c>
      <c r="S50" s="21">
        <f t="shared" si="5"/>
        <v>0</v>
      </c>
      <c r="T50" s="21">
        <f t="shared" si="9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46304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46304</v>
      </c>
      <c r="O51" s="21">
        <f t="shared" si="10"/>
        <v>0</v>
      </c>
      <c r="P51" s="21">
        <f t="shared" si="2"/>
        <v>0</v>
      </c>
      <c r="Q51" s="21">
        <f t="shared" si="3"/>
        <v>0</v>
      </c>
      <c r="R51" s="21">
        <f t="shared" si="4"/>
        <v>0</v>
      </c>
      <c r="S51" s="21">
        <f t="shared" si="5"/>
        <v>0</v>
      </c>
      <c r="T51" s="21">
        <f t="shared" si="9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46305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46305</v>
      </c>
      <c r="O52" s="21">
        <f t="shared" si="10"/>
        <v>0</v>
      </c>
      <c r="P52" s="21">
        <f t="shared" si="2"/>
        <v>0</v>
      </c>
      <c r="Q52" s="21">
        <f t="shared" si="3"/>
        <v>0</v>
      </c>
      <c r="R52" s="21">
        <f t="shared" si="4"/>
        <v>0</v>
      </c>
      <c r="S52" s="21">
        <f t="shared" si="5"/>
        <v>0</v>
      </c>
      <c r="T52" s="21">
        <f t="shared" si="9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/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3" t="s">
        <v>18</v>
      </c>
      <c r="O53" s="24">
        <f>SUM(O7:O52)</f>
        <v>750</v>
      </c>
      <c r="P53" s="24">
        <f t="shared" ref="P53:V53" si="11">SUM(P7:P52)</f>
        <v>1500</v>
      </c>
      <c r="Q53" s="24">
        <f t="shared" si="11"/>
        <v>2000</v>
      </c>
      <c r="R53" s="24">
        <f t="shared" si="11"/>
        <v>0</v>
      </c>
      <c r="S53" s="24">
        <f t="shared" si="11"/>
        <v>0</v>
      </c>
      <c r="T53" s="24">
        <f t="shared" si="11"/>
        <v>50</v>
      </c>
      <c r="U53" s="24">
        <f t="shared" si="11"/>
        <v>0</v>
      </c>
      <c r="V53" s="24">
        <f t="shared" si="11"/>
        <v>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3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4" activePane="bottomLeft" state="frozen"/>
      <selection pane="bottomLeft" activeCell="M22" sqref="M22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33" bestFit="1" customWidth="1"/>
    <col min="7" max="7" width="13.77734375" style="1" bestFit="1" customWidth="1"/>
    <col min="8" max="8" width="14.5546875" style="336" customWidth="1"/>
    <col min="9" max="9" width="10.44140625" style="338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40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633" t="s">
        <v>0</v>
      </c>
      <c r="C4" s="634"/>
      <c r="D4" s="634"/>
      <c r="E4" s="634"/>
      <c r="F4" s="634"/>
      <c r="G4" s="634"/>
      <c r="H4" s="634"/>
      <c r="I4" s="634"/>
      <c r="J4" s="634"/>
      <c r="K4" s="634"/>
      <c r="L4" s="634"/>
      <c r="M4" s="634"/>
      <c r="N4" s="634"/>
      <c r="O4" s="635"/>
    </row>
    <row r="5" spans="2:27" ht="57.6" customHeight="1" thickBot="1" x14ac:dyDescent="0.35">
      <c r="B5" s="630" t="s">
        <v>1</v>
      </c>
      <c r="C5" s="631"/>
      <c r="D5" s="340" t="s">
        <v>295</v>
      </c>
      <c r="E5" s="407" t="s">
        <v>2</v>
      </c>
      <c r="F5" s="341" t="s">
        <v>3</v>
      </c>
      <c r="G5" s="342" t="s">
        <v>4</v>
      </c>
      <c r="H5" s="343" t="s">
        <v>5</v>
      </c>
      <c r="I5" s="344" t="s">
        <v>6</v>
      </c>
      <c r="J5" s="406" t="s">
        <v>7</v>
      </c>
      <c r="K5" s="406" t="s">
        <v>8</v>
      </c>
      <c r="L5" s="408" t="s">
        <v>9</v>
      </c>
      <c r="M5" s="406" t="s">
        <v>10</v>
      </c>
      <c r="N5" s="406" t="s">
        <v>11</v>
      </c>
      <c r="O5" s="409" t="s">
        <v>178</v>
      </c>
      <c r="S5" s="604" t="s">
        <v>12</v>
      </c>
      <c r="T5" s="605"/>
      <c r="W5" s="601" t="s">
        <v>19</v>
      </c>
      <c r="X5" s="601"/>
      <c r="Y5" s="601"/>
      <c r="Z5" s="601"/>
      <c r="AA5" s="601"/>
    </row>
    <row r="6" spans="2:27" ht="13.95" customHeight="1" thickBot="1" x14ac:dyDescent="0.4">
      <c r="B6" s="610">
        <v>46174</v>
      </c>
      <c r="C6" s="611"/>
      <c r="D6" s="345" t="s">
        <v>13</v>
      </c>
      <c r="E6" s="346"/>
      <c r="F6" s="347"/>
      <c r="G6" s="348"/>
      <c r="H6" s="349"/>
      <c r="I6" s="350" t="str">
        <f>IFERROR((VLOOKUP(G6,S$6:T$8,2,FALSE)),"")</f>
        <v/>
      </c>
      <c r="J6" s="351"/>
      <c r="K6" s="352" t="str">
        <f>IFERROR((F6*I6*J6),"")</f>
        <v/>
      </c>
      <c r="L6" s="353" t="str">
        <f>IFERROR(((F6*I6)*J6)*(1-H6),"")</f>
        <v/>
      </c>
      <c r="M6" s="353" t="str">
        <f>IFERROR((K6/12),"")</f>
        <v/>
      </c>
      <c r="N6" s="616">
        <f>SUM(L6:L7)</f>
        <v>0</v>
      </c>
      <c r="O6" s="354"/>
      <c r="P6" s="4"/>
      <c r="S6" s="324" t="s">
        <v>443</v>
      </c>
      <c r="T6" s="6">
        <v>0.5</v>
      </c>
      <c r="U6" s="1">
        <v>0.6</v>
      </c>
      <c r="W6" s="17" t="s">
        <v>173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612"/>
      <c r="C7" s="613"/>
      <c r="D7" s="355" t="s">
        <v>14</v>
      </c>
      <c r="E7" s="356"/>
      <c r="F7" s="357"/>
      <c r="G7" s="358"/>
      <c r="H7" s="359"/>
      <c r="I7" s="350" t="str">
        <f t="shared" ref="I7" si="0">IFERROR((VLOOKUP(G7,S$6:T$8,2,FALSE)),"")</f>
        <v/>
      </c>
      <c r="J7" s="351"/>
      <c r="K7" s="352" t="str">
        <f>IFERROR((F7*I7*J7),"")</f>
        <v/>
      </c>
      <c r="L7" s="353" t="str">
        <f t="shared" ref="L7:L9" si="1">IFERROR(((F7*I7)*J7)*(1-H7),"")</f>
        <v/>
      </c>
      <c r="M7" s="353" t="str">
        <f t="shared" ref="M7:M9" si="2">IFERROR((K7/12),"")</f>
        <v/>
      </c>
      <c r="N7" s="617"/>
      <c r="O7" s="354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624">
        <v>46175</v>
      </c>
      <c r="C8" s="625"/>
      <c r="D8" s="410" t="s">
        <v>13</v>
      </c>
      <c r="E8" s="411" t="s">
        <v>171</v>
      </c>
      <c r="F8" s="412">
        <v>141</v>
      </c>
      <c r="G8" s="413" t="s">
        <v>443</v>
      </c>
      <c r="H8" s="414">
        <v>0.18</v>
      </c>
      <c r="I8" s="415">
        <f>IFERROR((VLOOKUP(G8,S$6:T$8,2,FALSE)),"")</f>
        <v>0.5</v>
      </c>
      <c r="J8" s="351">
        <v>1.35</v>
      </c>
      <c r="K8" s="416">
        <f t="shared" ref="K8:K61" si="3">IFERROR((F8*I8*J8),"")</f>
        <v>95.175000000000011</v>
      </c>
      <c r="L8" s="417">
        <f t="shared" si="1"/>
        <v>78.043500000000009</v>
      </c>
      <c r="M8" s="417">
        <f>IFERROR((K8/6),"")</f>
        <v>15.862500000000002</v>
      </c>
      <c r="N8" s="628">
        <f>SUM(L8:L9)</f>
        <v>78.043500000000009</v>
      </c>
      <c r="O8" s="418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626"/>
      <c r="C9" s="627"/>
      <c r="D9" s="419" t="s">
        <v>14</v>
      </c>
      <c r="E9" s="420"/>
      <c r="F9" s="421"/>
      <c r="G9" s="460"/>
      <c r="H9" s="422"/>
      <c r="I9" s="423" t="str">
        <f t="shared" ref="I9:I86" si="4">IFERROR((VLOOKUP(G9,S$6:T$8,2,FALSE)),"")</f>
        <v/>
      </c>
      <c r="J9" s="351"/>
      <c r="K9" s="416" t="str">
        <f t="shared" si="3"/>
        <v/>
      </c>
      <c r="L9" s="417" t="str">
        <f t="shared" si="1"/>
        <v/>
      </c>
      <c r="M9" s="417" t="str">
        <f t="shared" si="2"/>
        <v/>
      </c>
      <c r="N9" s="629"/>
      <c r="O9" s="425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610">
        <v>46176</v>
      </c>
      <c r="C10" s="611"/>
      <c r="D10" s="345" t="s">
        <v>13</v>
      </c>
      <c r="E10" s="346" t="s">
        <v>171</v>
      </c>
      <c r="F10" s="347">
        <v>32</v>
      </c>
      <c r="G10" s="464" t="s">
        <v>443</v>
      </c>
      <c r="H10" s="349">
        <v>0.18</v>
      </c>
      <c r="I10" s="350">
        <f t="shared" si="4"/>
        <v>0.5</v>
      </c>
      <c r="J10" s="351">
        <v>1.35</v>
      </c>
      <c r="K10" s="352">
        <f t="shared" si="3"/>
        <v>21.6</v>
      </c>
      <c r="L10" s="353">
        <f t="shared" ref="L10:L61" si="5">IFERROR(((F10*I10)*J10)*(1-H10),"")</f>
        <v>17.712000000000003</v>
      </c>
      <c r="M10" s="353">
        <f t="shared" ref="M10:M61" si="6">IFERROR((K10/12),"")</f>
        <v>1.8</v>
      </c>
      <c r="N10" s="622">
        <f>SUM(L10:L11)</f>
        <v>17.712000000000003</v>
      </c>
      <c r="O10" s="363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612"/>
      <c r="C11" s="613"/>
      <c r="D11" s="355" t="s">
        <v>14</v>
      </c>
      <c r="E11" s="356"/>
      <c r="F11" s="360"/>
      <c r="G11" s="463"/>
      <c r="H11" s="359"/>
      <c r="I11" s="361" t="str">
        <f t="shared" si="4"/>
        <v/>
      </c>
      <c r="J11" s="351"/>
      <c r="K11" s="352" t="str">
        <f t="shared" si="3"/>
        <v/>
      </c>
      <c r="L11" s="364" t="str">
        <f t="shared" si="5"/>
        <v/>
      </c>
      <c r="M11" s="365" t="str">
        <f t="shared" si="6"/>
        <v/>
      </c>
      <c r="N11" s="623"/>
      <c r="O11" s="366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624">
        <v>46177</v>
      </c>
      <c r="C12" s="625"/>
      <c r="D12" s="410" t="s">
        <v>13</v>
      </c>
      <c r="E12" s="411" t="s">
        <v>174</v>
      </c>
      <c r="F12" s="412">
        <v>282</v>
      </c>
      <c r="G12" s="413" t="s">
        <v>443</v>
      </c>
      <c r="H12" s="414">
        <v>0.17</v>
      </c>
      <c r="I12" s="415">
        <f t="shared" si="4"/>
        <v>0.5</v>
      </c>
      <c r="J12" s="351">
        <v>1.35</v>
      </c>
      <c r="K12" s="416">
        <f t="shared" si="3"/>
        <v>190.35000000000002</v>
      </c>
      <c r="L12" s="417">
        <f t="shared" si="5"/>
        <v>157.9905</v>
      </c>
      <c r="M12" s="417">
        <f t="shared" si="6"/>
        <v>15.862500000000002</v>
      </c>
      <c r="N12" s="628">
        <f t="shared" ref="N12" si="8">SUM(L12:L13)</f>
        <v>157.9905</v>
      </c>
      <c r="O12" s="418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626"/>
      <c r="C13" s="627"/>
      <c r="D13" s="419" t="s">
        <v>14</v>
      </c>
      <c r="E13" s="420"/>
      <c r="F13" s="421"/>
      <c r="G13" s="462"/>
      <c r="H13" s="422"/>
      <c r="I13" s="423" t="str">
        <f t="shared" si="4"/>
        <v/>
      </c>
      <c r="J13" s="351"/>
      <c r="K13" s="416" t="str">
        <f t="shared" si="3"/>
        <v/>
      </c>
      <c r="L13" s="424" t="str">
        <f t="shared" si="5"/>
        <v/>
      </c>
      <c r="M13" s="426" t="str">
        <f t="shared" si="6"/>
        <v/>
      </c>
      <c r="N13" s="629"/>
      <c r="O13" s="41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610">
        <v>46252</v>
      </c>
      <c r="C14" s="611"/>
      <c r="D14" s="345" t="s">
        <v>13</v>
      </c>
      <c r="E14" s="346" t="s">
        <v>201</v>
      </c>
      <c r="F14" s="347">
        <v>62</v>
      </c>
      <c r="G14" s="464" t="s">
        <v>443</v>
      </c>
      <c r="H14" s="349">
        <v>0.12</v>
      </c>
      <c r="I14" s="350">
        <f t="shared" si="4"/>
        <v>0.5</v>
      </c>
      <c r="J14" s="351">
        <v>1.39</v>
      </c>
      <c r="K14" s="352">
        <f>IFERROR((F14*I14*J14),"")</f>
        <v>43.089999999999996</v>
      </c>
      <c r="L14" s="353">
        <f t="shared" si="5"/>
        <v>37.919199999999996</v>
      </c>
      <c r="M14" s="353">
        <f>IFERROR((K14/12),"")</f>
        <v>3.5908333333333329</v>
      </c>
      <c r="N14" s="622">
        <f t="shared" ref="N14" si="9">SUM(L14:L15)</f>
        <v>37.919199999999996</v>
      </c>
      <c r="O14" s="354" t="s">
        <v>421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612"/>
      <c r="C15" s="613"/>
      <c r="D15" s="355" t="s">
        <v>14</v>
      </c>
      <c r="E15" s="367"/>
      <c r="F15" s="360"/>
      <c r="G15" s="463"/>
      <c r="H15" s="359"/>
      <c r="I15" s="361" t="str">
        <f t="shared" si="4"/>
        <v/>
      </c>
      <c r="J15" s="351"/>
      <c r="K15" s="368" t="str">
        <f t="shared" si="3"/>
        <v/>
      </c>
      <c r="L15" s="364" t="str">
        <f t="shared" si="5"/>
        <v/>
      </c>
      <c r="M15" s="365" t="str">
        <f t="shared" si="6"/>
        <v/>
      </c>
      <c r="N15" s="623"/>
      <c r="O15" s="354"/>
    </row>
    <row r="16" spans="2:27" ht="18.600000000000001" thickBot="1" x14ac:dyDescent="0.4">
      <c r="B16" s="624">
        <v>46253</v>
      </c>
      <c r="C16" s="625"/>
      <c r="D16" s="410" t="s">
        <v>13</v>
      </c>
      <c r="E16" s="411" t="s">
        <v>201</v>
      </c>
      <c r="F16" s="412">
        <v>463</v>
      </c>
      <c r="G16" s="413" t="s">
        <v>443</v>
      </c>
      <c r="H16" s="414">
        <v>0.12</v>
      </c>
      <c r="I16" s="415">
        <f t="shared" si="4"/>
        <v>0.5</v>
      </c>
      <c r="J16" s="351">
        <v>1.39</v>
      </c>
      <c r="K16" s="416">
        <f t="shared" si="3"/>
        <v>321.78499999999997</v>
      </c>
      <c r="L16" s="417">
        <f>IFERROR(((F16*I16)*J16)*(1-H16),"")</f>
        <v>283.17079999999999</v>
      </c>
      <c r="M16" s="417">
        <f t="shared" si="6"/>
        <v>26.815416666666664</v>
      </c>
      <c r="N16" s="628">
        <f>SUM(L16:L17)</f>
        <v>283.17079999999999</v>
      </c>
      <c r="O16" s="418" t="s">
        <v>419</v>
      </c>
      <c r="S16" s="1">
        <f>S14/1.4</f>
        <v>45.714285714285715</v>
      </c>
    </row>
    <row r="17" spans="2:23" ht="18.600000000000001" thickBot="1" x14ac:dyDescent="0.4">
      <c r="B17" s="626"/>
      <c r="C17" s="627"/>
      <c r="D17" s="419" t="s">
        <v>14</v>
      </c>
      <c r="E17" s="427"/>
      <c r="F17" s="421"/>
      <c r="G17" s="462"/>
      <c r="H17" s="422"/>
      <c r="I17" s="423" t="str">
        <f t="shared" si="4"/>
        <v/>
      </c>
      <c r="J17" s="351"/>
      <c r="K17" s="428" t="str">
        <f t="shared" si="3"/>
        <v/>
      </c>
      <c r="L17" s="424" t="str">
        <f t="shared" si="5"/>
        <v/>
      </c>
      <c r="M17" s="426" t="str">
        <f t="shared" si="6"/>
        <v/>
      </c>
      <c r="N17" s="629"/>
      <c r="O17" s="418" t="s">
        <v>398</v>
      </c>
    </row>
    <row r="18" spans="2:23" ht="18.600000000000001" thickBot="1" x14ac:dyDescent="0.4">
      <c r="B18" s="610">
        <v>46254</v>
      </c>
      <c r="C18" s="611"/>
      <c r="D18" s="345" t="s">
        <v>13</v>
      </c>
      <c r="E18" s="346" t="s">
        <v>201</v>
      </c>
      <c r="F18" s="347">
        <v>539</v>
      </c>
      <c r="G18" s="464" t="s">
        <v>443</v>
      </c>
      <c r="H18" s="349">
        <v>0.1</v>
      </c>
      <c r="I18" s="350">
        <f>IFERROR((VLOOKUP(G18,S$6:T$8,2,FALSE)),"")</f>
        <v>0.5</v>
      </c>
      <c r="J18" s="351">
        <v>1.39</v>
      </c>
      <c r="K18" s="352">
        <f t="shared" si="3"/>
        <v>374.60499999999996</v>
      </c>
      <c r="L18" s="353">
        <f>IFERROR(((F18*I18)*J18)*(1-H18),"")</f>
        <v>337.14449999999999</v>
      </c>
      <c r="M18" s="353">
        <f>IFERROR((K18/12),"")</f>
        <v>31.217083333333331</v>
      </c>
      <c r="N18" s="622">
        <f>SUM(L18:L19)-V20</f>
        <v>337.14449999999999</v>
      </c>
      <c r="O18" s="354" t="s">
        <v>419</v>
      </c>
      <c r="T18" s="3"/>
      <c r="V18" s="1">
        <f>(T8*3)*(1-12%)</f>
        <v>6.6</v>
      </c>
      <c r="W18" s="1" t="s">
        <v>202</v>
      </c>
    </row>
    <row r="19" spans="2:23" ht="18.600000000000001" thickBot="1" x14ac:dyDescent="0.4">
      <c r="B19" s="612"/>
      <c r="C19" s="613"/>
      <c r="D19" s="369" t="s">
        <v>14</v>
      </c>
      <c r="E19" s="370"/>
      <c r="F19" s="371"/>
      <c r="G19" s="461"/>
      <c r="H19" s="373"/>
      <c r="I19" s="374" t="str">
        <f t="shared" si="4"/>
        <v/>
      </c>
      <c r="J19" s="351"/>
      <c r="K19" s="375" t="str">
        <f t="shared" si="3"/>
        <v/>
      </c>
      <c r="L19" s="376" t="str">
        <f t="shared" si="5"/>
        <v/>
      </c>
      <c r="M19" s="377" t="str">
        <f t="shared" si="6"/>
        <v/>
      </c>
      <c r="N19" s="632"/>
      <c r="O19" s="354" t="s">
        <v>420</v>
      </c>
      <c r="T19" s="123"/>
    </row>
    <row r="20" spans="2:23" ht="18.600000000000001" thickBot="1" x14ac:dyDescent="0.4">
      <c r="B20" s="610">
        <v>46255</v>
      </c>
      <c r="C20" s="611"/>
      <c r="D20" s="345" t="s">
        <v>13</v>
      </c>
      <c r="E20" s="346" t="s">
        <v>201</v>
      </c>
      <c r="F20" s="347">
        <v>409</v>
      </c>
      <c r="G20" s="464" t="s">
        <v>443</v>
      </c>
      <c r="H20" s="349">
        <v>0.1</v>
      </c>
      <c r="I20" s="350">
        <f>IFERROR((VLOOKUP(G20,S$6:T$8,2,FALSE)),"")</f>
        <v>0.5</v>
      </c>
      <c r="J20" s="351">
        <v>1.39</v>
      </c>
      <c r="K20" s="352">
        <f t="shared" ref="K20:K21" si="10">IFERROR((F20*I20*J20),"")</f>
        <v>284.255</v>
      </c>
      <c r="L20" s="353">
        <f>IFERROR(((F20*I20)*J20)*(1-H20),"")</f>
        <v>255.8295</v>
      </c>
      <c r="M20" s="353">
        <f>IFERROR(((K20+K21)/12),"")</f>
        <v>26.583749999999998</v>
      </c>
      <c r="N20" s="622">
        <f>SUM(L20:L21)</f>
        <v>287.10449999999997</v>
      </c>
      <c r="O20" s="354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612"/>
      <c r="C21" s="613"/>
      <c r="D21" s="369" t="s">
        <v>14</v>
      </c>
      <c r="E21" s="370"/>
      <c r="F21" s="371">
        <v>10</v>
      </c>
      <c r="G21" s="372" t="s">
        <v>16</v>
      </c>
      <c r="H21" s="373">
        <v>0.1</v>
      </c>
      <c r="I21" s="374">
        <f t="shared" ref="I21" si="11">IFERROR((VLOOKUP(G21,S$6:T$8,2,FALSE)),"")</f>
        <v>2.5</v>
      </c>
      <c r="J21" s="351">
        <v>1.39</v>
      </c>
      <c r="K21" s="375">
        <f t="shared" si="10"/>
        <v>34.75</v>
      </c>
      <c r="L21" s="376">
        <f t="shared" ref="L21" si="12">IFERROR(((F21*I21)*J21)*(1-H21),"")</f>
        <v>31.275000000000002</v>
      </c>
      <c r="M21" s="377"/>
      <c r="N21" s="632"/>
      <c r="O21" s="354"/>
      <c r="S21" s="2"/>
      <c r="T21" s="124"/>
    </row>
    <row r="22" spans="2:23" ht="18.600000000000001" thickBot="1" x14ac:dyDescent="0.4">
      <c r="B22" s="610">
        <v>46256</v>
      </c>
      <c r="C22" s="611"/>
      <c r="D22" s="345" t="s">
        <v>13</v>
      </c>
      <c r="E22" s="346" t="s">
        <v>201</v>
      </c>
      <c r="F22" s="347">
        <v>315</v>
      </c>
      <c r="G22" s="348" t="s">
        <v>443</v>
      </c>
      <c r="H22" s="349">
        <v>0.1</v>
      </c>
      <c r="I22" s="350">
        <f>IFERROR((VLOOKUP(G22,S$6:T$8,2,FALSE)),"")</f>
        <v>0.5</v>
      </c>
      <c r="J22" s="351">
        <v>1.39</v>
      </c>
      <c r="K22" s="352">
        <f t="shared" si="3"/>
        <v>218.92499999999998</v>
      </c>
      <c r="L22" s="353">
        <f t="shared" si="5"/>
        <v>197.0325</v>
      </c>
      <c r="M22" s="378">
        <f t="shared" si="6"/>
        <v>18.243749999999999</v>
      </c>
      <c r="N22" s="622">
        <f>SUM(L22:L23)-V24</f>
        <v>197.0325</v>
      </c>
      <c r="O22" s="362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612"/>
      <c r="C23" s="613"/>
      <c r="D23" s="355" t="s">
        <v>14</v>
      </c>
      <c r="E23" s="367"/>
      <c r="F23" s="360"/>
      <c r="G23" s="358"/>
      <c r="H23" s="359"/>
      <c r="I23" s="361" t="str">
        <f t="shared" si="4"/>
        <v/>
      </c>
      <c r="J23" s="351"/>
      <c r="K23" s="368" t="str">
        <f t="shared" si="3"/>
        <v/>
      </c>
      <c r="L23" s="364" t="str">
        <f t="shared" si="5"/>
        <v/>
      </c>
      <c r="M23" s="379" t="str">
        <f t="shared" si="6"/>
        <v/>
      </c>
      <c r="N23" s="623"/>
      <c r="O23" s="354"/>
      <c r="P23" s="11"/>
      <c r="T23" s="123"/>
    </row>
    <row r="24" spans="2:23" ht="18.600000000000001" thickBot="1" x14ac:dyDescent="0.4">
      <c r="B24" s="610">
        <v>46257</v>
      </c>
      <c r="C24" s="611"/>
      <c r="D24" s="345" t="s">
        <v>13</v>
      </c>
      <c r="E24" s="346"/>
      <c r="F24" s="347"/>
      <c r="G24" s="348"/>
      <c r="H24" s="349"/>
      <c r="I24" s="350" t="str">
        <f t="shared" si="4"/>
        <v/>
      </c>
      <c r="J24" s="351"/>
      <c r="K24" s="352" t="str">
        <f t="shared" si="3"/>
        <v/>
      </c>
      <c r="L24" s="353" t="str">
        <f t="shared" si="5"/>
        <v/>
      </c>
      <c r="M24" s="353" t="str">
        <f t="shared" si="6"/>
        <v/>
      </c>
      <c r="N24" s="622">
        <f>SUM(L24:L25)-V26</f>
        <v>0</v>
      </c>
      <c r="O24" s="354"/>
    </row>
    <row r="25" spans="2:23" ht="18.600000000000001" thickBot="1" x14ac:dyDescent="0.4">
      <c r="B25" s="612"/>
      <c r="C25" s="613"/>
      <c r="D25" s="355" t="s">
        <v>14</v>
      </c>
      <c r="E25" s="367"/>
      <c r="F25" s="360"/>
      <c r="G25" s="358"/>
      <c r="H25" s="349"/>
      <c r="I25" s="361" t="str">
        <f t="shared" si="4"/>
        <v/>
      </c>
      <c r="J25" s="351"/>
      <c r="K25" s="368" t="str">
        <f t="shared" si="3"/>
        <v/>
      </c>
      <c r="L25" s="364" t="str">
        <f t="shared" si="5"/>
        <v/>
      </c>
      <c r="M25" s="365" t="str">
        <f t="shared" si="6"/>
        <v/>
      </c>
      <c r="N25" s="623"/>
      <c r="O25" s="354"/>
      <c r="T25" s="3"/>
    </row>
    <row r="26" spans="2:23" ht="18.600000000000001" thickBot="1" x14ac:dyDescent="0.4">
      <c r="B26" s="610">
        <v>46258</v>
      </c>
      <c r="C26" s="611"/>
      <c r="D26" s="345" t="s">
        <v>13</v>
      </c>
      <c r="E26" s="346" t="s">
        <v>201</v>
      </c>
      <c r="F26" s="347">
        <v>234</v>
      </c>
      <c r="G26" s="348" t="s">
        <v>443</v>
      </c>
      <c r="H26" s="349">
        <v>0.1</v>
      </c>
      <c r="I26" s="350">
        <f t="shared" si="4"/>
        <v>0.5</v>
      </c>
      <c r="J26" s="351">
        <v>1.39</v>
      </c>
      <c r="K26" s="352">
        <f t="shared" si="3"/>
        <v>162.63</v>
      </c>
      <c r="L26" s="353">
        <f t="shared" si="5"/>
        <v>146.36699999999999</v>
      </c>
      <c r="M26" s="353">
        <f t="shared" si="6"/>
        <v>13.5525</v>
      </c>
      <c r="N26" s="622">
        <f>SUM(L26:L27)-V28</f>
        <v>162.00449999999998</v>
      </c>
      <c r="O26" s="354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612"/>
      <c r="C27" s="613"/>
      <c r="D27" s="355" t="s">
        <v>14</v>
      </c>
      <c r="E27" s="367" t="s">
        <v>171</v>
      </c>
      <c r="F27" s="360">
        <v>5</v>
      </c>
      <c r="G27" s="358" t="s">
        <v>16</v>
      </c>
      <c r="H27" s="359">
        <v>0.1</v>
      </c>
      <c r="I27" s="361">
        <f t="shared" si="4"/>
        <v>2.5</v>
      </c>
      <c r="J27" s="351">
        <v>1.39</v>
      </c>
      <c r="K27" s="380">
        <f t="shared" si="3"/>
        <v>17.375</v>
      </c>
      <c r="L27" s="364">
        <f t="shared" si="5"/>
        <v>15.637500000000001</v>
      </c>
      <c r="M27" s="365">
        <f t="shared" si="6"/>
        <v>1.4479166666666667</v>
      </c>
      <c r="N27" s="623"/>
      <c r="O27" s="354"/>
    </row>
    <row r="28" spans="2:23" ht="18.600000000000001" thickBot="1" x14ac:dyDescent="0.4">
      <c r="B28" s="610">
        <v>46259</v>
      </c>
      <c r="C28" s="611"/>
      <c r="D28" s="345" t="s">
        <v>13</v>
      </c>
      <c r="E28" s="346"/>
      <c r="F28" s="347"/>
      <c r="G28" s="348"/>
      <c r="H28" s="349"/>
      <c r="I28" s="350" t="str">
        <f t="shared" si="4"/>
        <v/>
      </c>
      <c r="J28" s="351"/>
      <c r="K28" s="352" t="str">
        <f t="shared" si="3"/>
        <v/>
      </c>
      <c r="L28" s="353" t="str">
        <f>IFERROR(((F28*I28)*J28)*(1-H28),"")</f>
        <v/>
      </c>
      <c r="M28" s="353" t="str">
        <f t="shared" si="6"/>
        <v/>
      </c>
      <c r="N28" s="616">
        <f>SUM(L28:L29)</f>
        <v>0</v>
      </c>
      <c r="O28" s="354"/>
    </row>
    <row r="29" spans="2:23" ht="18.600000000000001" thickBot="1" x14ac:dyDescent="0.4">
      <c r="B29" s="612"/>
      <c r="C29" s="613"/>
      <c r="D29" s="355" t="s">
        <v>14</v>
      </c>
      <c r="E29" s="367"/>
      <c r="F29" s="360"/>
      <c r="G29" s="358"/>
      <c r="H29" s="359"/>
      <c r="I29" s="350" t="str">
        <f t="shared" si="4"/>
        <v/>
      </c>
      <c r="J29" s="351"/>
      <c r="K29" s="352" t="str">
        <f t="shared" si="3"/>
        <v/>
      </c>
      <c r="L29" s="364" t="str">
        <f t="shared" si="5"/>
        <v/>
      </c>
      <c r="M29" s="365" t="str">
        <f t="shared" si="6"/>
        <v/>
      </c>
      <c r="N29" s="617"/>
      <c r="O29" s="354"/>
      <c r="P29" s="11"/>
    </row>
    <row r="30" spans="2:23" ht="18.600000000000001" thickBot="1" x14ac:dyDescent="0.4">
      <c r="B30" s="610">
        <v>46260</v>
      </c>
      <c r="C30" s="611"/>
      <c r="D30" s="345" t="s">
        <v>13</v>
      </c>
      <c r="E30" s="346"/>
      <c r="F30" s="347"/>
      <c r="G30" s="348"/>
      <c r="H30" s="349"/>
      <c r="I30" s="350" t="str">
        <f t="shared" si="4"/>
        <v/>
      </c>
      <c r="J30" s="351"/>
      <c r="K30" s="352" t="str">
        <f t="shared" si="3"/>
        <v/>
      </c>
      <c r="L30" s="353" t="str">
        <f t="shared" si="5"/>
        <v/>
      </c>
      <c r="M30" s="353" t="str">
        <f t="shared" si="6"/>
        <v/>
      </c>
      <c r="N30" s="616">
        <f t="shared" ref="N30" si="13">SUM(L30:L31)</f>
        <v>0</v>
      </c>
      <c r="O30" s="354"/>
    </row>
    <row r="31" spans="2:23" ht="18.600000000000001" thickBot="1" x14ac:dyDescent="0.4">
      <c r="B31" s="612"/>
      <c r="C31" s="613"/>
      <c r="D31" s="355" t="s">
        <v>14</v>
      </c>
      <c r="E31" s="367"/>
      <c r="F31" s="360"/>
      <c r="G31" s="358"/>
      <c r="H31" s="359"/>
      <c r="I31" s="350" t="str">
        <f t="shared" si="4"/>
        <v/>
      </c>
      <c r="J31" s="351"/>
      <c r="K31" s="352" t="str">
        <f t="shared" si="3"/>
        <v/>
      </c>
      <c r="L31" s="364" t="str">
        <f t="shared" si="5"/>
        <v/>
      </c>
      <c r="M31" s="365" t="str">
        <f t="shared" si="6"/>
        <v/>
      </c>
      <c r="N31" s="617"/>
      <c r="O31" s="354"/>
    </row>
    <row r="32" spans="2:23" ht="54.6" thickBot="1" x14ac:dyDescent="0.4">
      <c r="B32" s="610">
        <v>46261</v>
      </c>
      <c r="C32" s="611"/>
      <c r="D32" s="345" t="s">
        <v>13</v>
      </c>
      <c r="E32" s="346" t="s">
        <v>431</v>
      </c>
      <c r="F32" s="347">
        <v>202</v>
      </c>
      <c r="G32" s="348" t="s">
        <v>443</v>
      </c>
      <c r="H32" s="349">
        <v>0.11</v>
      </c>
      <c r="I32" s="350">
        <f t="shared" si="4"/>
        <v>0.5</v>
      </c>
      <c r="J32" s="351">
        <v>1.39</v>
      </c>
      <c r="K32" s="352">
        <f t="shared" si="3"/>
        <v>140.38999999999999</v>
      </c>
      <c r="L32" s="353">
        <f t="shared" si="5"/>
        <v>124.94709999999999</v>
      </c>
      <c r="M32" s="353">
        <f t="shared" si="6"/>
        <v>11.699166666666665</v>
      </c>
      <c r="N32" s="616">
        <f>SUM(L32:L33)</f>
        <v>124.94709999999999</v>
      </c>
      <c r="O32" s="456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612"/>
      <c r="C33" s="613"/>
      <c r="D33" s="355" t="s">
        <v>14</v>
      </c>
      <c r="E33" s="367"/>
      <c r="F33" s="360"/>
      <c r="G33" s="358"/>
      <c r="H33" s="359"/>
      <c r="I33" s="350" t="str">
        <f t="shared" si="4"/>
        <v/>
      </c>
      <c r="J33" s="351"/>
      <c r="K33" s="352" t="str">
        <f t="shared" si="3"/>
        <v/>
      </c>
      <c r="L33" s="364" t="str">
        <f t="shared" si="5"/>
        <v/>
      </c>
      <c r="M33" s="365" t="str">
        <f t="shared" si="6"/>
        <v/>
      </c>
      <c r="N33" s="617"/>
      <c r="O33" s="354"/>
    </row>
    <row r="34" spans="2:24" ht="18.600000000000001" thickBot="1" x14ac:dyDescent="0.4">
      <c r="B34" s="610">
        <v>46262</v>
      </c>
      <c r="C34" s="611"/>
      <c r="D34" s="345" t="s">
        <v>13</v>
      </c>
      <c r="E34" s="346" t="s">
        <v>171</v>
      </c>
      <c r="F34" s="347">
        <v>290</v>
      </c>
      <c r="G34" s="348" t="s">
        <v>443</v>
      </c>
      <c r="H34" s="349">
        <v>0.11</v>
      </c>
      <c r="I34" s="350">
        <f t="shared" si="4"/>
        <v>0.5</v>
      </c>
      <c r="J34" s="351">
        <v>1.3</v>
      </c>
      <c r="K34" s="352">
        <f t="shared" si="3"/>
        <v>188.5</v>
      </c>
      <c r="L34" s="353">
        <f t="shared" si="5"/>
        <v>167.76500000000001</v>
      </c>
      <c r="M34" s="353">
        <f t="shared" si="6"/>
        <v>15.708333333333334</v>
      </c>
      <c r="N34" s="616">
        <f>SUM(L34:L35)</f>
        <v>167.76500000000001</v>
      </c>
      <c r="O34" s="354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612"/>
      <c r="C35" s="613"/>
      <c r="D35" s="355" t="s">
        <v>14</v>
      </c>
      <c r="E35" s="367"/>
      <c r="F35" s="360"/>
      <c r="G35" s="358"/>
      <c r="H35" s="359"/>
      <c r="I35" s="350" t="str">
        <f t="shared" si="4"/>
        <v/>
      </c>
      <c r="J35" s="351"/>
      <c r="K35" s="352" t="str">
        <f t="shared" si="3"/>
        <v/>
      </c>
      <c r="L35" s="364" t="str">
        <f>IFERROR(((F35*I35)*J35)*(1-H35),"")</f>
        <v/>
      </c>
      <c r="M35" s="365" t="str">
        <f t="shared" si="6"/>
        <v/>
      </c>
      <c r="N35" s="617"/>
      <c r="O35" s="354"/>
    </row>
    <row r="36" spans="2:24" ht="18.600000000000001" thickBot="1" x14ac:dyDescent="0.35">
      <c r="B36" s="610">
        <v>46263</v>
      </c>
      <c r="C36" s="611"/>
      <c r="D36" s="345" t="s">
        <v>13</v>
      </c>
      <c r="E36" s="346" t="s">
        <v>171</v>
      </c>
      <c r="F36" s="347">
        <v>411</v>
      </c>
      <c r="G36" s="348" t="s">
        <v>443</v>
      </c>
      <c r="H36" s="349">
        <v>0.1</v>
      </c>
      <c r="I36" s="350">
        <f t="shared" si="4"/>
        <v>0.5</v>
      </c>
      <c r="J36" s="351">
        <v>1.3</v>
      </c>
      <c r="K36" s="352">
        <f t="shared" si="3"/>
        <v>267.15000000000003</v>
      </c>
      <c r="L36" s="353">
        <f t="shared" si="5"/>
        <v>240.43500000000003</v>
      </c>
      <c r="M36" s="353">
        <f t="shared" ref="M36:M37" si="14">IFERROR((K36/12),"")</f>
        <v>22.262500000000003</v>
      </c>
      <c r="N36" s="616">
        <f>SUM(L36:L37)</f>
        <v>240.43500000000003</v>
      </c>
      <c r="O36" s="608" t="str">
        <f>'Crushing Down Time Hours'!G17</f>
        <v>istirahat jam 12-13, 14:00-15:00 ada loading material dari mining</v>
      </c>
    </row>
    <row r="37" spans="2:24" ht="18.600000000000001" thickBot="1" x14ac:dyDescent="0.35">
      <c r="B37" s="612"/>
      <c r="C37" s="613"/>
      <c r="D37" s="355" t="s">
        <v>14</v>
      </c>
      <c r="E37" s="367"/>
      <c r="F37" s="360"/>
      <c r="G37" s="358"/>
      <c r="H37" s="359"/>
      <c r="I37" s="350" t="str">
        <f t="shared" si="4"/>
        <v/>
      </c>
      <c r="J37" s="351"/>
      <c r="K37" s="352" t="str">
        <f t="shared" si="3"/>
        <v/>
      </c>
      <c r="L37" s="364" t="str">
        <f t="shared" si="5"/>
        <v/>
      </c>
      <c r="M37" s="365" t="str">
        <f t="shared" si="14"/>
        <v/>
      </c>
      <c r="N37" s="617"/>
      <c r="O37" s="609"/>
    </row>
    <row r="38" spans="2:24" ht="18.600000000000001" thickBot="1" x14ac:dyDescent="0.4">
      <c r="B38" s="610">
        <v>46264</v>
      </c>
      <c r="C38" s="611"/>
      <c r="D38" s="345" t="s">
        <v>13</v>
      </c>
      <c r="E38" s="346" t="s">
        <v>171</v>
      </c>
      <c r="F38" s="347">
        <v>92</v>
      </c>
      <c r="G38" s="348" t="s">
        <v>443</v>
      </c>
      <c r="H38" s="349">
        <v>0.1</v>
      </c>
      <c r="I38" s="350">
        <f t="shared" si="4"/>
        <v>0.5</v>
      </c>
      <c r="J38" s="351">
        <v>1.3</v>
      </c>
      <c r="K38" s="352">
        <f t="shared" si="3"/>
        <v>59.800000000000004</v>
      </c>
      <c r="L38" s="353">
        <f t="shared" si="5"/>
        <v>53.820000000000007</v>
      </c>
      <c r="M38" s="353">
        <f t="shared" si="6"/>
        <v>4.9833333333333334</v>
      </c>
      <c r="N38" s="616">
        <f t="shared" ref="N38" si="15">SUM(L38:L39)</f>
        <v>53.820000000000007</v>
      </c>
      <c r="O38" s="354"/>
      <c r="Q38" s="4"/>
    </row>
    <row r="39" spans="2:24" ht="18.600000000000001" thickBot="1" x14ac:dyDescent="0.4">
      <c r="B39" s="612"/>
      <c r="C39" s="613"/>
      <c r="D39" s="355" t="s">
        <v>14</v>
      </c>
      <c r="E39" s="367"/>
      <c r="F39" s="360"/>
      <c r="G39" s="358"/>
      <c r="H39" s="359"/>
      <c r="I39" s="350" t="str">
        <f t="shared" si="4"/>
        <v/>
      </c>
      <c r="J39" s="351"/>
      <c r="K39" s="352" t="str">
        <f t="shared" si="3"/>
        <v/>
      </c>
      <c r="L39" s="364" t="str">
        <f t="shared" si="5"/>
        <v/>
      </c>
      <c r="M39" s="365" t="str">
        <f t="shared" si="6"/>
        <v/>
      </c>
      <c r="N39" s="617"/>
      <c r="O39" s="354"/>
    </row>
    <row r="40" spans="2:24" ht="18.600000000000001" thickBot="1" x14ac:dyDescent="0.4">
      <c r="B40" s="610">
        <v>46265</v>
      </c>
      <c r="C40" s="611"/>
      <c r="D40" s="345" t="s">
        <v>13</v>
      </c>
      <c r="E40" s="346"/>
      <c r="F40" s="347"/>
      <c r="G40" s="348"/>
      <c r="H40" s="349"/>
      <c r="I40" s="350" t="str">
        <f t="shared" si="4"/>
        <v/>
      </c>
      <c r="J40" s="351"/>
      <c r="K40" s="352" t="str">
        <f t="shared" si="3"/>
        <v/>
      </c>
      <c r="L40" s="353" t="str">
        <f>IFERROR(((F40*I40)*J40)*(1-H40),"")</f>
        <v/>
      </c>
      <c r="M40" s="353" t="str">
        <f t="shared" si="6"/>
        <v/>
      </c>
      <c r="N40" s="616">
        <f>SUM(L40:L41)</f>
        <v>0</v>
      </c>
      <c r="O40" s="354"/>
    </row>
    <row r="41" spans="2:24" ht="18.600000000000001" thickBot="1" x14ac:dyDescent="0.4">
      <c r="B41" s="612"/>
      <c r="C41" s="613"/>
      <c r="D41" s="355" t="s">
        <v>14</v>
      </c>
      <c r="E41" s="367"/>
      <c r="F41" s="360"/>
      <c r="G41" s="358"/>
      <c r="H41" s="359"/>
      <c r="I41" s="350" t="str">
        <f t="shared" si="4"/>
        <v/>
      </c>
      <c r="J41" s="351"/>
      <c r="K41" s="352" t="str">
        <f t="shared" si="3"/>
        <v/>
      </c>
      <c r="L41" s="364" t="str">
        <f t="shared" si="5"/>
        <v/>
      </c>
      <c r="M41" s="365" t="str">
        <f t="shared" si="6"/>
        <v/>
      </c>
      <c r="N41" s="617"/>
      <c r="O41" s="354"/>
    </row>
    <row r="42" spans="2:24" ht="18.600000000000001" thickBot="1" x14ac:dyDescent="0.4">
      <c r="B42" s="610">
        <v>46266</v>
      </c>
      <c r="C42" s="611"/>
      <c r="D42" s="345" t="s">
        <v>13</v>
      </c>
      <c r="E42" s="381"/>
      <c r="F42" s="382"/>
      <c r="G42" s="383"/>
      <c r="H42" s="384"/>
      <c r="I42" s="350" t="str">
        <f t="shared" si="4"/>
        <v/>
      </c>
      <c r="J42" s="351"/>
      <c r="K42" s="352" t="str">
        <f t="shared" si="3"/>
        <v/>
      </c>
      <c r="L42" s="353" t="str">
        <f t="shared" si="5"/>
        <v/>
      </c>
      <c r="M42" s="353" t="str">
        <f t="shared" si="6"/>
        <v/>
      </c>
      <c r="N42" s="616">
        <f t="shared" ref="N42" si="16">SUM(L42:L43)</f>
        <v>0</v>
      </c>
      <c r="O42" s="354"/>
    </row>
    <row r="43" spans="2:24" ht="18.600000000000001" thickBot="1" x14ac:dyDescent="0.4">
      <c r="B43" s="612"/>
      <c r="C43" s="613"/>
      <c r="D43" s="355" t="s">
        <v>14</v>
      </c>
      <c r="E43" s="367"/>
      <c r="F43" s="360"/>
      <c r="G43" s="358"/>
      <c r="H43" s="359"/>
      <c r="I43" s="350" t="str">
        <f t="shared" si="4"/>
        <v/>
      </c>
      <c r="J43" s="351"/>
      <c r="K43" s="352" t="str">
        <f t="shared" si="3"/>
        <v/>
      </c>
      <c r="L43" s="364" t="str">
        <f t="shared" si="5"/>
        <v/>
      </c>
      <c r="M43" s="365" t="str">
        <f t="shared" si="6"/>
        <v/>
      </c>
      <c r="N43" s="617"/>
      <c r="O43" s="354"/>
    </row>
    <row r="44" spans="2:24" ht="18.600000000000001" thickBot="1" x14ac:dyDescent="0.4">
      <c r="B44" s="610">
        <v>46267</v>
      </c>
      <c r="C44" s="611"/>
      <c r="D44" s="345" t="s">
        <v>13</v>
      </c>
      <c r="E44" s="381"/>
      <c r="F44" s="382"/>
      <c r="G44" s="383"/>
      <c r="H44" s="384"/>
      <c r="I44" s="350" t="str">
        <f t="shared" si="4"/>
        <v/>
      </c>
      <c r="J44" s="351"/>
      <c r="K44" s="352" t="str">
        <f t="shared" si="3"/>
        <v/>
      </c>
      <c r="L44" s="353" t="str">
        <f t="shared" si="5"/>
        <v/>
      </c>
      <c r="M44" s="353" t="str">
        <f t="shared" si="6"/>
        <v/>
      </c>
      <c r="N44" s="616">
        <f t="shared" ref="N44" si="17">SUM(L44:L45)</f>
        <v>0</v>
      </c>
      <c r="O44" s="354"/>
    </row>
    <row r="45" spans="2:24" ht="18.600000000000001" thickBot="1" x14ac:dyDescent="0.4">
      <c r="B45" s="612"/>
      <c r="C45" s="613"/>
      <c r="D45" s="355" t="s">
        <v>14</v>
      </c>
      <c r="E45" s="367"/>
      <c r="F45" s="360"/>
      <c r="G45" s="358"/>
      <c r="H45" s="359"/>
      <c r="I45" s="350" t="str">
        <f t="shared" si="4"/>
        <v/>
      </c>
      <c r="J45" s="351"/>
      <c r="K45" s="352" t="str">
        <f t="shared" si="3"/>
        <v/>
      </c>
      <c r="L45" s="385" t="str">
        <f t="shared" si="5"/>
        <v/>
      </c>
      <c r="M45" s="386" t="str">
        <f>IFERROR((K45/12),"")</f>
        <v/>
      </c>
      <c r="N45" s="617"/>
      <c r="O45" s="354"/>
    </row>
    <row r="46" spans="2:24" ht="18.600000000000001" thickBot="1" x14ac:dyDescent="0.4">
      <c r="B46" s="610">
        <v>46268</v>
      </c>
      <c r="C46" s="611"/>
      <c r="D46" s="345" t="s">
        <v>13</v>
      </c>
      <c r="E46" s="381"/>
      <c r="F46" s="382"/>
      <c r="G46" s="383"/>
      <c r="H46" s="384"/>
      <c r="I46" s="350" t="str">
        <f t="shared" si="4"/>
        <v/>
      </c>
      <c r="J46" s="351"/>
      <c r="K46" s="352" t="str">
        <f t="shared" si="3"/>
        <v/>
      </c>
      <c r="L46" s="353" t="str">
        <f t="shared" si="5"/>
        <v/>
      </c>
      <c r="M46" s="353" t="str">
        <f t="shared" si="6"/>
        <v/>
      </c>
      <c r="N46" s="616">
        <f t="shared" ref="N46:N58" si="18">SUM(L46:L47)</f>
        <v>0</v>
      </c>
      <c r="O46" s="354"/>
    </row>
    <row r="47" spans="2:24" ht="18.600000000000001" thickBot="1" x14ac:dyDescent="0.4">
      <c r="B47" s="612"/>
      <c r="C47" s="613"/>
      <c r="D47" s="355" t="s">
        <v>14</v>
      </c>
      <c r="E47" s="367"/>
      <c r="F47" s="360"/>
      <c r="G47" s="358"/>
      <c r="H47" s="359"/>
      <c r="I47" s="350" t="str">
        <f t="shared" si="4"/>
        <v/>
      </c>
      <c r="J47" s="351"/>
      <c r="K47" s="352" t="str">
        <f t="shared" si="3"/>
        <v/>
      </c>
      <c r="L47" s="364" t="str">
        <f t="shared" si="5"/>
        <v/>
      </c>
      <c r="M47" s="365" t="str">
        <f t="shared" si="6"/>
        <v/>
      </c>
      <c r="N47" s="617"/>
      <c r="O47" s="354"/>
    </row>
    <row r="48" spans="2:24" ht="18.600000000000001" thickBot="1" x14ac:dyDescent="0.4">
      <c r="B48" s="610">
        <v>46269</v>
      </c>
      <c r="C48" s="611"/>
      <c r="D48" s="345" t="s">
        <v>13</v>
      </c>
      <c r="E48" s="381"/>
      <c r="F48" s="382"/>
      <c r="G48" s="383"/>
      <c r="H48" s="384"/>
      <c r="I48" s="350" t="str">
        <f t="shared" si="4"/>
        <v/>
      </c>
      <c r="J48" s="351"/>
      <c r="K48" s="352" t="str">
        <f t="shared" si="3"/>
        <v/>
      </c>
      <c r="L48" s="353" t="str">
        <f t="shared" si="5"/>
        <v/>
      </c>
      <c r="M48" s="353" t="str">
        <f>IFERROR((K48/12),"")</f>
        <v/>
      </c>
      <c r="N48" s="616">
        <f t="shared" si="18"/>
        <v>0</v>
      </c>
      <c r="O48" s="354"/>
    </row>
    <row r="49" spans="2:22" ht="18.600000000000001" thickBot="1" x14ac:dyDescent="0.4">
      <c r="B49" s="612"/>
      <c r="C49" s="613"/>
      <c r="D49" s="355" t="s">
        <v>14</v>
      </c>
      <c r="E49" s="367"/>
      <c r="F49" s="360"/>
      <c r="G49" s="358"/>
      <c r="H49" s="359"/>
      <c r="I49" s="350" t="str">
        <f t="shared" si="4"/>
        <v/>
      </c>
      <c r="J49" s="351"/>
      <c r="K49" s="352" t="str">
        <f t="shared" si="3"/>
        <v/>
      </c>
      <c r="L49" s="364" t="str">
        <f t="shared" si="5"/>
        <v/>
      </c>
      <c r="M49" s="365" t="str">
        <f>IFERROR((K49/12),"")</f>
        <v/>
      </c>
      <c r="N49" s="617"/>
      <c r="O49" s="354"/>
    </row>
    <row r="50" spans="2:22" ht="18.600000000000001" thickBot="1" x14ac:dyDescent="0.4">
      <c r="B50" s="610">
        <v>46270</v>
      </c>
      <c r="C50" s="611"/>
      <c r="D50" s="345" t="s">
        <v>13</v>
      </c>
      <c r="E50" s="381"/>
      <c r="F50" s="382"/>
      <c r="G50" s="383"/>
      <c r="H50" s="387"/>
      <c r="I50" s="350" t="str">
        <f t="shared" si="4"/>
        <v/>
      </c>
      <c r="J50" s="351"/>
      <c r="K50" s="352" t="str">
        <f t="shared" si="3"/>
        <v/>
      </c>
      <c r="L50" s="353" t="str">
        <f t="shared" si="5"/>
        <v/>
      </c>
      <c r="M50" s="353" t="str">
        <f t="shared" si="6"/>
        <v/>
      </c>
      <c r="N50" s="616">
        <f t="shared" si="18"/>
        <v>0</v>
      </c>
      <c r="O50" s="354"/>
      <c r="R50" s="1">
        <f>180/12</f>
        <v>15</v>
      </c>
    </row>
    <row r="51" spans="2:22" ht="18.600000000000001" thickBot="1" x14ac:dyDescent="0.4">
      <c r="B51" s="612"/>
      <c r="C51" s="613"/>
      <c r="D51" s="355" t="s">
        <v>14</v>
      </c>
      <c r="E51" s="367"/>
      <c r="F51" s="360"/>
      <c r="G51" s="358"/>
      <c r="H51" s="359"/>
      <c r="I51" s="350" t="str">
        <f t="shared" si="4"/>
        <v/>
      </c>
      <c r="J51" s="351"/>
      <c r="K51" s="352" t="str">
        <f t="shared" si="3"/>
        <v/>
      </c>
      <c r="L51" s="364" t="str">
        <f t="shared" si="5"/>
        <v/>
      </c>
      <c r="M51" s="365" t="str">
        <f t="shared" si="6"/>
        <v/>
      </c>
      <c r="N51" s="617"/>
      <c r="O51" s="354"/>
      <c r="P51" s="4"/>
    </row>
    <row r="52" spans="2:22" ht="18.600000000000001" thickBot="1" x14ac:dyDescent="0.4">
      <c r="B52" s="610">
        <v>46271</v>
      </c>
      <c r="C52" s="611"/>
      <c r="D52" s="345" t="s">
        <v>13</v>
      </c>
      <c r="E52" s="381"/>
      <c r="F52" s="382"/>
      <c r="G52" s="383"/>
      <c r="H52" s="384"/>
      <c r="I52" s="350" t="str">
        <f t="shared" si="4"/>
        <v/>
      </c>
      <c r="J52" s="351"/>
      <c r="K52" s="352" t="str">
        <f t="shared" si="3"/>
        <v/>
      </c>
      <c r="L52" s="353" t="str">
        <f t="shared" si="5"/>
        <v/>
      </c>
      <c r="M52" s="353" t="str">
        <f t="shared" si="6"/>
        <v/>
      </c>
      <c r="N52" s="616">
        <f t="shared" si="18"/>
        <v>0</v>
      </c>
      <c r="O52" s="354"/>
    </row>
    <row r="53" spans="2:22" ht="18.600000000000001" thickBot="1" x14ac:dyDescent="0.4">
      <c r="B53" s="612"/>
      <c r="C53" s="613"/>
      <c r="D53" s="355" t="s">
        <v>14</v>
      </c>
      <c r="E53" s="367"/>
      <c r="F53" s="360"/>
      <c r="G53" s="358"/>
      <c r="H53" s="359"/>
      <c r="I53" s="350" t="str">
        <f>IFERROR((VLOOKUP(G53,S$6:T$8,2,FALSE)),"")</f>
        <v/>
      </c>
      <c r="J53" s="351"/>
      <c r="K53" s="352" t="str">
        <f>IFERROR((F53*I53*J53),"")</f>
        <v/>
      </c>
      <c r="L53" s="364" t="str">
        <f t="shared" si="5"/>
        <v/>
      </c>
      <c r="M53" s="365" t="str">
        <f t="shared" si="6"/>
        <v/>
      </c>
      <c r="N53" s="617"/>
      <c r="O53" s="354"/>
      <c r="R53" s="1">
        <f>R50*4</f>
        <v>60</v>
      </c>
    </row>
    <row r="54" spans="2:22" ht="18.600000000000001" thickBot="1" x14ac:dyDescent="0.4">
      <c r="B54" s="610">
        <v>46272</v>
      </c>
      <c r="C54" s="611"/>
      <c r="D54" s="345" t="s">
        <v>13</v>
      </c>
      <c r="E54" s="367"/>
      <c r="F54" s="360"/>
      <c r="G54" s="383"/>
      <c r="H54" s="384"/>
      <c r="I54" s="350" t="str">
        <f t="shared" si="4"/>
        <v/>
      </c>
      <c r="J54" s="351"/>
      <c r="K54" s="352" t="str">
        <f t="shared" si="3"/>
        <v/>
      </c>
      <c r="L54" s="353" t="str">
        <f t="shared" si="5"/>
        <v/>
      </c>
      <c r="M54" s="353" t="str">
        <f t="shared" si="6"/>
        <v/>
      </c>
      <c r="N54" s="616">
        <f t="shared" si="18"/>
        <v>0</v>
      </c>
      <c r="O54" s="354"/>
    </row>
    <row r="55" spans="2:22" ht="18.600000000000001" thickBot="1" x14ac:dyDescent="0.4">
      <c r="B55" s="612"/>
      <c r="C55" s="613"/>
      <c r="D55" s="355" t="s">
        <v>14</v>
      </c>
      <c r="E55" s="367"/>
      <c r="F55" s="360"/>
      <c r="G55" s="358"/>
      <c r="H55" s="359"/>
      <c r="I55" s="350" t="str">
        <f t="shared" si="4"/>
        <v/>
      </c>
      <c r="J55" s="351"/>
      <c r="K55" s="352" t="str">
        <f t="shared" si="3"/>
        <v/>
      </c>
      <c r="L55" s="364" t="str">
        <f t="shared" si="5"/>
        <v/>
      </c>
      <c r="M55" s="365" t="str">
        <f t="shared" si="6"/>
        <v/>
      </c>
      <c r="N55" s="617"/>
      <c r="O55" s="354"/>
      <c r="R55" s="1">
        <f>R53*1.7</f>
        <v>102</v>
      </c>
      <c r="S55" s="1">
        <v>9570</v>
      </c>
    </row>
    <row r="56" spans="2:22" ht="18.600000000000001" thickBot="1" x14ac:dyDescent="0.4">
      <c r="B56" s="610">
        <v>46273</v>
      </c>
      <c r="C56" s="611"/>
      <c r="D56" s="345" t="s">
        <v>13</v>
      </c>
      <c r="E56" s="381"/>
      <c r="F56" s="382"/>
      <c r="G56" s="383"/>
      <c r="H56" s="384"/>
      <c r="I56" s="350" t="str">
        <f t="shared" si="4"/>
        <v/>
      </c>
      <c r="J56" s="351"/>
      <c r="K56" s="352" t="str">
        <f t="shared" si="3"/>
        <v/>
      </c>
      <c r="L56" s="353" t="str">
        <f t="shared" si="5"/>
        <v/>
      </c>
      <c r="M56" s="353" t="str">
        <f t="shared" si="6"/>
        <v/>
      </c>
      <c r="N56" s="616">
        <f t="shared" si="18"/>
        <v>0</v>
      </c>
      <c r="O56" s="354"/>
      <c r="R56" s="4"/>
      <c r="S56" s="1">
        <v>9795</v>
      </c>
      <c r="U56" s="2"/>
      <c r="V56" s="2"/>
    </row>
    <row r="57" spans="2:22" ht="18.600000000000001" thickBot="1" x14ac:dyDescent="0.4">
      <c r="B57" s="612"/>
      <c r="C57" s="613"/>
      <c r="D57" s="355" t="s">
        <v>14</v>
      </c>
      <c r="E57" s="367"/>
      <c r="F57" s="360"/>
      <c r="G57" s="358"/>
      <c r="H57" s="359"/>
      <c r="I57" s="350" t="str">
        <f t="shared" si="4"/>
        <v/>
      </c>
      <c r="J57" s="351"/>
      <c r="K57" s="352" t="str">
        <f t="shared" si="3"/>
        <v/>
      </c>
      <c r="L57" s="364" t="str">
        <f t="shared" si="5"/>
        <v/>
      </c>
      <c r="M57" s="365" t="str">
        <f t="shared" si="6"/>
        <v/>
      </c>
      <c r="N57" s="617"/>
      <c r="O57" s="354"/>
      <c r="Q57" s="4"/>
      <c r="R57" s="4"/>
      <c r="S57" s="1">
        <v>1190</v>
      </c>
    </row>
    <row r="58" spans="2:22" ht="18.600000000000001" thickBot="1" x14ac:dyDescent="0.4">
      <c r="B58" s="610">
        <v>46274</v>
      </c>
      <c r="C58" s="611"/>
      <c r="D58" s="345" t="s">
        <v>13</v>
      </c>
      <c r="E58" s="381"/>
      <c r="F58" s="382"/>
      <c r="G58" s="383"/>
      <c r="H58" s="384"/>
      <c r="I58" s="350" t="str">
        <f t="shared" si="4"/>
        <v/>
      </c>
      <c r="J58" s="351"/>
      <c r="K58" s="352" t="str">
        <f t="shared" si="3"/>
        <v/>
      </c>
      <c r="L58" s="353" t="str">
        <f t="shared" si="5"/>
        <v/>
      </c>
      <c r="M58" s="353" t="str">
        <f t="shared" si="6"/>
        <v/>
      </c>
      <c r="N58" s="616">
        <f t="shared" si="18"/>
        <v>0</v>
      </c>
      <c r="O58" s="354"/>
      <c r="P58" s="11"/>
      <c r="S58" s="1">
        <f>S56-S57</f>
        <v>8605</v>
      </c>
    </row>
    <row r="59" spans="2:22" ht="18.600000000000001" thickBot="1" x14ac:dyDescent="0.4">
      <c r="B59" s="612"/>
      <c r="C59" s="613"/>
      <c r="D59" s="355" t="s">
        <v>14</v>
      </c>
      <c r="E59" s="367"/>
      <c r="F59" s="360"/>
      <c r="G59" s="358"/>
      <c r="H59" s="384"/>
      <c r="I59" s="350" t="str">
        <f t="shared" si="4"/>
        <v/>
      </c>
      <c r="J59" s="351"/>
      <c r="K59" s="368" t="str">
        <f t="shared" si="3"/>
        <v/>
      </c>
      <c r="L59" s="364" t="str">
        <f t="shared" si="5"/>
        <v/>
      </c>
      <c r="M59" s="365" t="str">
        <f t="shared" si="6"/>
        <v/>
      </c>
      <c r="N59" s="617"/>
      <c r="O59" s="354"/>
      <c r="P59" s="4"/>
      <c r="S59" s="2">
        <f>(S55-S58)/S55</f>
        <v>0.10083594566353186</v>
      </c>
    </row>
    <row r="60" spans="2:22" ht="18.600000000000001" thickBot="1" x14ac:dyDescent="0.4">
      <c r="B60" s="610">
        <v>46275</v>
      </c>
      <c r="C60" s="611"/>
      <c r="D60" s="345" t="s">
        <v>13</v>
      </c>
      <c r="E60" s="381"/>
      <c r="F60" s="382"/>
      <c r="G60" s="383"/>
      <c r="H60" s="384"/>
      <c r="I60" s="350" t="str">
        <f t="shared" si="4"/>
        <v/>
      </c>
      <c r="J60" s="351"/>
      <c r="K60" s="352" t="str">
        <f t="shared" si="3"/>
        <v/>
      </c>
      <c r="L60" s="353" t="str">
        <f t="shared" si="5"/>
        <v/>
      </c>
      <c r="M60" s="378" t="str">
        <f>IFERROR((K60/12),"")</f>
        <v/>
      </c>
      <c r="N60" s="614">
        <f>SUM(L60:L61)</f>
        <v>0</v>
      </c>
      <c r="O60" s="354"/>
      <c r="P60" s="11"/>
    </row>
    <row r="61" spans="2:22" ht="18.600000000000001" thickBot="1" x14ac:dyDescent="0.4">
      <c r="B61" s="612"/>
      <c r="C61" s="613"/>
      <c r="D61" s="355" t="s">
        <v>14</v>
      </c>
      <c r="E61" s="367"/>
      <c r="F61" s="360"/>
      <c r="G61" s="358"/>
      <c r="H61" s="359"/>
      <c r="I61" s="350" t="str">
        <f t="shared" si="4"/>
        <v/>
      </c>
      <c r="J61" s="351"/>
      <c r="K61" s="380" t="str">
        <f t="shared" si="3"/>
        <v/>
      </c>
      <c r="L61" s="364" t="str">
        <f t="shared" si="5"/>
        <v/>
      </c>
      <c r="M61" s="379" t="str">
        <f t="shared" si="6"/>
        <v/>
      </c>
      <c r="N61" s="615"/>
      <c r="O61" s="354"/>
      <c r="P61" s="11"/>
    </row>
    <row r="62" spans="2:22" ht="18.600000000000001" thickBot="1" x14ac:dyDescent="0.4">
      <c r="B62" s="610">
        <v>46276</v>
      </c>
      <c r="C62" s="611"/>
      <c r="D62" s="345" t="s">
        <v>13</v>
      </c>
      <c r="E62" s="381"/>
      <c r="F62" s="382"/>
      <c r="G62" s="383"/>
      <c r="H62" s="384"/>
      <c r="I62" s="350" t="str">
        <f t="shared" si="4"/>
        <v/>
      </c>
      <c r="J62" s="351"/>
      <c r="K62" s="352" t="str">
        <f t="shared" ref="K62:K63" si="19">IFERROR((F62*I62*J62),"")</f>
        <v/>
      </c>
      <c r="L62" s="353" t="str">
        <f t="shared" ref="L62:L63" si="20">IFERROR(((F62*I62)*J62)*(1-H62),"")</f>
        <v/>
      </c>
      <c r="M62" s="378" t="str">
        <f t="shared" ref="M62:M63" si="21">IFERROR((K62/12),"")</f>
        <v/>
      </c>
      <c r="N62" s="614">
        <f>SUM(L62:L63)</f>
        <v>0</v>
      </c>
      <c r="O62" s="354"/>
      <c r="P62" s="11"/>
    </row>
    <row r="63" spans="2:22" ht="18.600000000000001" thickBot="1" x14ac:dyDescent="0.4">
      <c r="B63" s="612"/>
      <c r="C63" s="613"/>
      <c r="D63" s="355" t="s">
        <v>14</v>
      </c>
      <c r="E63" s="367"/>
      <c r="F63" s="360"/>
      <c r="G63" s="358"/>
      <c r="H63" s="359"/>
      <c r="I63" s="350" t="str">
        <f t="shared" si="4"/>
        <v/>
      </c>
      <c r="J63" s="351"/>
      <c r="K63" s="380" t="str">
        <f t="shared" si="19"/>
        <v/>
      </c>
      <c r="L63" s="364" t="str">
        <f t="shared" si="20"/>
        <v/>
      </c>
      <c r="M63" s="379" t="str">
        <f t="shared" si="21"/>
        <v/>
      </c>
      <c r="N63" s="615"/>
      <c r="O63" s="354"/>
      <c r="P63" s="11"/>
    </row>
    <row r="64" spans="2:22" ht="18.600000000000001" thickBot="1" x14ac:dyDescent="0.4">
      <c r="B64" s="610">
        <v>46277</v>
      </c>
      <c r="C64" s="611"/>
      <c r="D64" s="345" t="s">
        <v>13</v>
      </c>
      <c r="E64" s="381"/>
      <c r="F64" s="382"/>
      <c r="G64" s="383"/>
      <c r="H64" s="384"/>
      <c r="I64" s="350" t="str">
        <f t="shared" si="4"/>
        <v/>
      </c>
      <c r="J64" s="351"/>
      <c r="K64" s="352" t="str">
        <f t="shared" ref="K64:K65" si="22">IFERROR((F64*I64*J64),"")</f>
        <v/>
      </c>
      <c r="L64" s="353" t="str">
        <f t="shared" ref="L64:L65" si="23">IFERROR(((F64*I64)*J64)*(1-H64),"")</f>
        <v/>
      </c>
      <c r="M64" s="378" t="str">
        <f t="shared" ref="M64:M65" si="24">IFERROR((K64/12),"")</f>
        <v/>
      </c>
      <c r="N64" s="614">
        <f>SUM(L64:L65)</f>
        <v>0</v>
      </c>
      <c r="O64" s="354"/>
      <c r="P64" s="11"/>
    </row>
    <row r="65" spans="2:16" ht="18.600000000000001" thickBot="1" x14ac:dyDescent="0.4">
      <c r="B65" s="612"/>
      <c r="C65" s="613"/>
      <c r="D65" s="355" t="s">
        <v>14</v>
      </c>
      <c r="E65" s="367"/>
      <c r="F65" s="360"/>
      <c r="G65" s="358"/>
      <c r="H65" s="359"/>
      <c r="I65" s="350" t="str">
        <f t="shared" si="4"/>
        <v/>
      </c>
      <c r="J65" s="351"/>
      <c r="K65" s="380" t="str">
        <f t="shared" si="22"/>
        <v/>
      </c>
      <c r="L65" s="364" t="str">
        <f t="shared" si="23"/>
        <v/>
      </c>
      <c r="M65" s="379" t="str">
        <f t="shared" si="24"/>
        <v/>
      </c>
      <c r="N65" s="615"/>
      <c r="O65" s="354"/>
      <c r="P65" s="11"/>
    </row>
    <row r="66" spans="2:16" ht="18.600000000000001" thickBot="1" x14ac:dyDescent="0.4">
      <c r="B66" s="610">
        <v>46278</v>
      </c>
      <c r="C66" s="611"/>
      <c r="D66" s="345" t="s">
        <v>13</v>
      </c>
      <c r="E66" s="381"/>
      <c r="F66" s="382"/>
      <c r="G66" s="383"/>
      <c r="H66" s="384"/>
      <c r="I66" s="350" t="str">
        <f t="shared" si="4"/>
        <v/>
      </c>
      <c r="J66" s="351"/>
      <c r="K66" s="352" t="str">
        <f t="shared" ref="K66:K67" si="25">IFERROR((F66*I66*J66),"")</f>
        <v/>
      </c>
      <c r="L66" s="353" t="str">
        <f t="shared" ref="L66:L67" si="26">IFERROR(((F66*I66)*J66)*(1-H66),"")</f>
        <v/>
      </c>
      <c r="M66" s="378" t="str">
        <f t="shared" ref="M66:M67" si="27">IFERROR((K66/12),"")</f>
        <v/>
      </c>
      <c r="N66" s="614">
        <f>SUM(L66:L67)</f>
        <v>0</v>
      </c>
      <c r="O66" s="354"/>
      <c r="P66" s="11"/>
    </row>
    <row r="67" spans="2:16" ht="18.600000000000001" thickBot="1" x14ac:dyDescent="0.4">
      <c r="B67" s="612"/>
      <c r="C67" s="613"/>
      <c r="D67" s="355" t="s">
        <v>14</v>
      </c>
      <c r="E67" s="367"/>
      <c r="F67" s="360"/>
      <c r="G67" s="358"/>
      <c r="H67" s="359"/>
      <c r="I67" s="350" t="str">
        <f t="shared" si="4"/>
        <v/>
      </c>
      <c r="J67" s="351"/>
      <c r="K67" s="380" t="str">
        <f t="shared" si="25"/>
        <v/>
      </c>
      <c r="L67" s="364" t="str">
        <f t="shared" si="26"/>
        <v/>
      </c>
      <c r="M67" s="379" t="str">
        <f t="shared" si="27"/>
        <v/>
      </c>
      <c r="N67" s="615"/>
      <c r="O67" s="354"/>
      <c r="P67" s="11"/>
    </row>
    <row r="68" spans="2:16" ht="18.600000000000001" thickBot="1" x14ac:dyDescent="0.4">
      <c r="B68" s="610">
        <v>46279</v>
      </c>
      <c r="C68" s="611"/>
      <c r="D68" s="345" t="s">
        <v>13</v>
      </c>
      <c r="E68" s="381"/>
      <c r="F68" s="382"/>
      <c r="G68" s="383"/>
      <c r="H68" s="384"/>
      <c r="I68" s="350" t="str">
        <f t="shared" si="4"/>
        <v/>
      </c>
      <c r="J68" s="351"/>
      <c r="K68" s="352" t="str">
        <f t="shared" ref="K68:K75" si="28">IFERROR((F68*I68*J68),"")</f>
        <v/>
      </c>
      <c r="L68" s="353" t="str">
        <f t="shared" ref="L68:L75" si="29">IFERROR(((F68*I68)*J68)*(1-H68),"")</f>
        <v/>
      </c>
      <c r="M68" s="378" t="str">
        <f t="shared" ref="M68:M75" si="30">IFERROR((K68/12),"")</f>
        <v/>
      </c>
      <c r="N68" s="614">
        <f t="shared" ref="N68" si="31">SUM(L68:L69)</f>
        <v>0</v>
      </c>
      <c r="O68" s="354"/>
      <c r="P68" s="11"/>
    </row>
    <row r="69" spans="2:16" ht="18.600000000000001" thickBot="1" x14ac:dyDescent="0.4">
      <c r="B69" s="612"/>
      <c r="C69" s="613"/>
      <c r="D69" s="355" t="s">
        <v>14</v>
      </c>
      <c r="E69" s="367"/>
      <c r="F69" s="360"/>
      <c r="G69" s="358"/>
      <c r="H69" s="359"/>
      <c r="I69" s="350" t="str">
        <f t="shared" si="4"/>
        <v/>
      </c>
      <c r="J69" s="351"/>
      <c r="K69" s="380" t="str">
        <f t="shared" si="28"/>
        <v/>
      </c>
      <c r="L69" s="364" t="str">
        <f t="shared" si="29"/>
        <v/>
      </c>
      <c r="M69" s="379" t="str">
        <f t="shared" si="30"/>
        <v/>
      </c>
      <c r="N69" s="615"/>
      <c r="O69" s="354"/>
      <c r="P69" s="11"/>
    </row>
    <row r="70" spans="2:16" ht="18.600000000000001" thickBot="1" x14ac:dyDescent="0.4">
      <c r="B70" s="610">
        <v>46280</v>
      </c>
      <c r="C70" s="611"/>
      <c r="D70" s="345" t="s">
        <v>13</v>
      </c>
      <c r="E70" s="381"/>
      <c r="F70" s="382"/>
      <c r="G70" s="383"/>
      <c r="H70" s="384"/>
      <c r="I70" s="350" t="str">
        <f t="shared" si="4"/>
        <v/>
      </c>
      <c r="J70" s="351"/>
      <c r="K70" s="352" t="str">
        <f t="shared" si="28"/>
        <v/>
      </c>
      <c r="L70" s="353" t="str">
        <f t="shared" si="29"/>
        <v/>
      </c>
      <c r="M70" s="378" t="str">
        <f t="shared" si="30"/>
        <v/>
      </c>
      <c r="N70" s="614">
        <f t="shared" ref="N70" si="32">SUM(L70:L71)</f>
        <v>0</v>
      </c>
      <c r="O70" s="354"/>
      <c r="P70" s="11"/>
    </row>
    <row r="71" spans="2:16" ht="18.600000000000001" thickBot="1" x14ac:dyDescent="0.4">
      <c r="B71" s="612"/>
      <c r="C71" s="613"/>
      <c r="D71" s="355" t="s">
        <v>14</v>
      </c>
      <c r="E71" s="367"/>
      <c r="F71" s="360"/>
      <c r="G71" s="358"/>
      <c r="H71" s="359"/>
      <c r="I71" s="350" t="str">
        <f t="shared" si="4"/>
        <v/>
      </c>
      <c r="J71" s="351"/>
      <c r="K71" s="380" t="str">
        <f t="shared" si="28"/>
        <v/>
      </c>
      <c r="L71" s="364" t="str">
        <f t="shared" si="29"/>
        <v/>
      </c>
      <c r="M71" s="379" t="str">
        <f t="shared" si="30"/>
        <v/>
      </c>
      <c r="N71" s="615"/>
      <c r="O71" s="354"/>
      <c r="P71" s="11"/>
    </row>
    <row r="72" spans="2:16" ht="18.600000000000001" thickBot="1" x14ac:dyDescent="0.4">
      <c r="B72" s="610">
        <v>46281</v>
      </c>
      <c r="C72" s="611"/>
      <c r="D72" s="345" t="s">
        <v>13</v>
      </c>
      <c r="E72" s="381"/>
      <c r="F72" s="382"/>
      <c r="G72" s="383"/>
      <c r="H72" s="384"/>
      <c r="I72" s="350" t="str">
        <f t="shared" si="4"/>
        <v/>
      </c>
      <c r="J72" s="351"/>
      <c r="K72" s="352" t="str">
        <f t="shared" si="28"/>
        <v/>
      </c>
      <c r="L72" s="353" t="str">
        <f t="shared" si="29"/>
        <v/>
      </c>
      <c r="M72" s="378" t="str">
        <f t="shared" si="30"/>
        <v/>
      </c>
      <c r="N72" s="614">
        <f t="shared" ref="N72" si="33">SUM(L72:L73)</f>
        <v>0</v>
      </c>
      <c r="O72" s="354"/>
      <c r="P72" s="11"/>
    </row>
    <row r="73" spans="2:16" ht="18.600000000000001" thickBot="1" x14ac:dyDescent="0.4">
      <c r="B73" s="612"/>
      <c r="C73" s="613"/>
      <c r="D73" s="355" t="s">
        <v>14</v>
      </c>
      <c r="E73" s="367"/>
      <c r="F73" s="360"/>
      <c r="G73" s="358"/>
      <c r="H73" s="359"/>
      <c r="I73" s="350" t="str">
        <f t="shared" si="4"/>
        <v/>
      </c>
      <c r="J73" s="351"/>
      <c r="K73" s="380" t="str">
        <f t="shared" si="28"/>
        <v/>
      </c>
      <c r="L73" s="364" t="str">
        <f t="shared" si="29"/>
        <v/>
      </c>
      <c r="M73" s="379" t="str">
        <f t="shared" si="30"/>
        <v/>
      </c>
      <c r="N73" s="615"/>
      <c r="O73" s="354"/>
      <c r="P73" s="11"/>
    </row>
    <row r="74" spans="2:16" ht="18.600000000000001" thickBot="1" x14ac:dyDescent="0.4">
      <c r="B74" s="610">
        <v>46282</v>
      </c>
      <c r="C74" s="611"/>
      <c r="D74" s="345" t="s">
        <v>13</v>
      </c>
      <c r="E74" s="381"/>
      <c r="F74" s="382"/>
      <c r="G74" s="383"/>
      <c r="H74" s="384"/>
      <c r="I74" s="350" t="str">
        <f t="shared" si="4"/>
        <v/>
      </c>
      <c r="J74" s="351"/>
      <c r="K74" s="352" t="str">
        <f t="shared" si="28"/>
        <v/>
      </c>
      <c r="L74" s="353" t="str">
        <f t="shared" si="29"/>
        <v/>
      </c>
      <c r="M74" s="378" t="str">
        <f t="shared" si="30"/>
        <v/>
      </c>
      <c r="N74" s="614">
        <f t="shared" ref="N74" si="34">SUM(L74:L75)</f>
        <v>0</v>
      </c>
      <c r="O74" s="354"/>
      <c r="P74" s="11"/>
    </row>
    <row r="75" spans="2:16" ht="18.600000000000001" thickBot="1" x14ac:dyDescent="0.4">
      <c r="B75" s="612"/>
      <c r="C75" s="613"/>
      <c r="D75" s="355" t="s">
        <v>14</v>
      </c>
      <c r="E75" s="367"/>
      <c r="F75" s="360"/>
      <c r="G75" s="358"/>
      <c r="H75" s="359"/>
      <c r="I75" s="350" t="str">
        <f t="shared" si="4"/>
        <v/>
      </c>
      <c r="J75" s="351"/>
      <c r="K75" s="380" t="str">
        <f t="shared" si="28"/>
        <v/>
      </c>
      <c r="L75" s="364" t="str">
        <f t="shared" si="29"/>
        <v/>
      </c>
      <c r="M75" s="379" t="str">
        <f t="shared" si="30"/>
        <v/>
      </c>
      <c r="N75" s="615"/>
      <c r="O75" s="354"/>
      <c r="P75" s="11"/>
    </row>
    <row r="76" spans="2:16" ht="18.600000000000001" thickBot="1" x14ac:dyDescent="0.4">
      <c r="B76" s="610">
        <v>46283</v>
      </c>
      <c r="C76" s="611"/>
      <c r="D76" s="345" t="s">
        <v>13</v>
      </c>
      <c r="E76" s="381"/>
      <c r="F76" s="382"/>
      <c r="G76" s="383"/>
      <c r="H76" s="384"/>
      <c r="I76" s="350" t="str">
        <f t="shared" si="4"/>
        <v/>
      </c>
      <c r="J76" s="351"/>
      <c r="K76" s="352" t="str">
        <f t="shared" ref="K76:K79" si="35">IFERROR((F76*I76*J76),"")</f>
        <v/>
      </c>
      <c r="L76" s="353" t="str">
        <f>IFERROR(((F76*I76)*J76)*(1-H76),"")</f>
        <v/>
      </c>
      <c r="M76" s="378" t="str">
        <f t="shared" ref="M76:M79" si="36">IFERROR((K76/12),"")</f>
        <v/>
      </c>
      <c r="N76" s="614">
        <f>SUM(L76:L77)</f>
        <v>0</v>
      </c>
      <c r="O76" s="354"/>
      <c r="P76" s="11"/>
    </row>
    <row r="77" spans="2:16" ht="18.600000000000001" thickBot="1" x14ac:dyDescent="0.4">
      <c r="B77" s="612"/>
      <c r="C77" s="613"/>
      <c r="D77" s="355" t="s">
        <v>14</v>
      </c>
      <c r="E77" s="367"/>
      <c r="F77" s="360"/>
      <c r="G77" s="358"/>
      <c r="H77" s="359"/>
      <c r="I77" s="350" t="str">
        <f t="shared" si="4"/>
        <v/>
      </c>
      <c r="J77" s="351"/>
      <c r="K77" s="380" t="str">
        <f t="shared" si="35"/>
        <v/>
      </c>
      <c r="L77" s="364" t="str">
        <f t="shared" ref="L77:L79" si="37">IFERROR(((F77*I77)*J77)*(1-H77),"")</f>
        <v/>
      </c>
      <c r="M77" s="379" t="str">
        <f t="shared" si="36"/>
        <v/>
      </c>
      <c r="N77" s="615"/>
      <c r="O77" s="354"/>
      <c r="P77" s="11"/>
    </row>
    <row r="78" spans="2:16" ht="18.600000000000001" thickBot="1" x14ac:dyDescent="0.4">
      <c r="B78" s="610">
        <v>46284</v>
      </c>
      <c r="C78" s="611"/>
      <c r="D78" s="345" t="s">
        <v>13</v>
      </c>
      <c r="E78" s="381"/>
      <c r="F78" s="382"/>
      <c r="G78" s="383"/>
      <c r="H78" s="384"/>
      <c r="I78" s="350" t="str">
        <f t="shared" si="4"/>
        <v/>
      </c>
      <c r="J78" s="351"/>
      <c r="K78" s="352" t="str">
        <f t="shared" si="35"/>
        <v/>
      </c>
      <c r="L78" s="353" t="str">
        <f t="shared" si="37"/>
        <v/>
      </c>
      <c r="M78" s="378" t="str">
        <f t="shared" si="36"/>
        <v/>
      </c>
      <c r="N78" s="614">
        <f t="shared" ref="N78" si="38">SUM(L78:L79)</f>
        <v>0</v>
      </c>
      <c r="O78" s="354"/>
      <c r="P78" s="11"/>
    </row>
    <row r="79" spans="2:16" ht="18.600000000000001" thickBot="1" x14ac:dyDescent="0.4">
      <c r="B79" s="612"/>
      <c r="C79" s="613"/>
      <c r="D79" s="355" t="s">
        <v>14</v>
      </c>
      <c r="E79" s="367"/>
      <c r="F79" s="360"/>
      <c r="G79" s="358"/>
      <c r="H79" s="359"/>
      <c r="I79" s="350" t="str">
        <f t="shared" si="4"/>
        <v/>
      </c>
      <c r="J79" s="351"/>
      <c r="K79" s="380" t="str">
        <f t="shared" si="35"/>
        <v/>
      </c>
      <c r="L79" s="364" t="str">
        <f t="shared" si="37"/>
        <v/>
      </c>
      <c r="M79" s="379" t="str">
        <f t="shared" si="36"/>
        <v/>
      </c>
      <c r="N79" s="615"/>
      <c r="O79" s="354"/>
      <c r="P79" s="11"/>
    </row>
    <row r="80" spans="2:16" ht="18.600000000000001" thickBot="1" x14ac:dyDescent="0.4">
      <c r="B80" s="610">
        <v>46285</v>
      </c>
      <c r="C80" s="611"/>
      <c r="D80" s="345" t="s">
        <v>13</v>
      </c>
      <c r="E80" s="381"/>
      <c r="F80" s="382"/>
      <c r="G80" s="383"/>
      <c r="H80" s="384"/>
      <c r="I80" s="350" t="str">
        <f t="shared" si="4"/>
        <v/>
      </c>
      <c r="J80" s="351"/>
      <c r="K80" s="352" t="str">
        <f t="shared" ref="K80:K83" si="39">IFERROR((F80*I80*J80),"")</f>
        <v/>
      </c>
      <c r="L80" s="353" t="str">
        <f t="shared" ref="L80:L83" si="40">IFERROR(((F80*I80)*J80)*(1-H80),"")</f>
        <v/>
      </c>
      <c r="M80" s="378" t="str">
        <f t="shared" ref="M80:M83" si="41">IFERROR((K80/12),"")</f>
        <v/>
      </c>
      <c r="N80" s="614">
        <f t="shared" ref="N80" si="42">SUM(L80:L81)</f>
        <v>0</v>
      </c>
      <c r="O80" s="354"/>
      <c r="P80" s="11"/>
    </row>
    <row r="81" spans="2:19" ht="18.600000000000001" thickBot="1" x14ac:dyDescent="0.4">
      <c r="B81" s="612"/>
      <c r="C81" s="613"/>
      <c r="D81" s="355" t="s">
        <v>14</v>
      </c>
      <c r="E81" s="367"/>
      <c r="F81" s="360"/>
      <c r="G81" s="358"/>
      <c r="H81" s="359"/>
      <c r="I81" s="350" t="str">
        <f t="shared" si="4"/>
        <v/>
      </c>
      <c r="J81" s="351"/>
      <c r="K81" s="380" t="str">
        <f t="shared" si="39"/>
        <v/>
      </c>
      <c r="L81" s="364" t="str">
        <f t="shared" si="40"/>
        <v/>
      </c>
      <c r="M81" s="379" t="str">
        <f t="shared" si="41"/>
        <v/>
      </c>
      <c r="N81" s="615"/>
      <c r="O81" s="354"/>
      <c r="P81" s="11"/>
    </row>
    <row r="82" spans="2:19" ht="18.600000000000001" thickBot="1" x14ac:dyDescent="0.4">
      <c r="B82" s="610">
        <v>46286</v>
      </c>
      <c r="C82" s="611"/>
      <c r="D82" s="345" t="s">
        <v>13</v>
      </c>
      <c r="E82" s="381"/>
      <c r="F82" s="382"/>
      <c r="G82" s="383"/>
      <c r="H82" s="384"/>
      <c r="I82" s="350" t="str">
        <f t="shared" si="4"/>
        <v/>
      </c>
      <c r="J82" s="351"/>
      <c r="K82" s="352" t="str">
        <f t="shared" si="39"/>
        <v/>
      </c>
      <c r="L82" s="353" t="str">
        <f t="shared" si="40"/>
        <v/>
      </c>
      <c r="M82" s="378" t="str">
        <f t="shared" si="41"/>
        <v/>
      </c>
      <c r="N82" s="614">
        <f t="shared" ref="N82" si="43">SUM(L82:L83)</f>
        <v>0</v>
      </c>
      <c r="O82" s="354"/>
      <c r="P82" s="11"/>
    </row>
    <row r="83" spans="2:19" ht="18.600000000000001" thickBot="1" x14ac:dyDescent="0.4">
      <c r="B83" s="612"/>
      <c r="C83" s="613"/>
      <c r="D83" s="355" t="s">
        <v>14</v>
      </c>
      <c r="E83" s="367"/>
      <c r="F83" s="360"/>
      <c r="G83" s="358"/>
      <c r="H83" s="359"/>
      <c r="I83" s="350" t="str">
        <f t="shared" si="4"/>
        <v/>
      </c>
      <c r="J83" s="351"/>
      <c r="K83" s="380" t="str">
        <f t="shared" si="39"/>
        <v/>
      </c>
      <c r="L83" s="364" t="str">
        <f t="shared" si="40"/>
        <v/>
      </c>
      <c r="M83" s="379" t="str">
        <f t="shared" si="41"/>
        <v/>
      </c>
      <c r="N83" s="615"/>
      <c r="O83" s="354"/>
      <c r="P83" s="11"/>
    </row>
    <row r="84" spans="2:19" ht="18.600000000000001" thickBot="1" x14ac:dyDescent="0.4">
      <c r="B84" s="610">
        <v>46287</v>
      </c>
      <c r="C84" s="611"/>
      <c r="D84" s="345" t="s">
        <v>13</v>
      </c>
      <c r="E84" s="381"/>
      <c r="F84" s="382"/>
      <c r="G84" s="383"/>
      <c r="H84" s="384"/>
      <c r="I84" s="350" t="str">
        <f t="shared" si="4"/>
        <v/>
      </c>
      <c r="J84" s="351"/>
      <c r="K84" s="352" t="str">
        <f t="shared" ref="K84:K85" si="44">IFERROR((F84*I84*J84),"")</f>
        <v/>
      </c>
      <c r="L84" s="353" t="str">
        <f t="shared" ref="L84:L85" si="45">IFERROR(((F84*I84)*J84)*(1-H84),"")</f>
        <v/>
      </c>
      <c r="M84" s="378" t="str">
        <f t="shared" ref="M84:M85" si="46">IFERROR((K84/12),"")</f>
        <v/>
      </c>
      <c r="N84" s="614">
        <f t="shared" ref="N84" si="47">SUM(L84:L85)</f>
        <v>0</v>
      </c>
      <c r="O84" s="354"/>
      <c r="P84" s="11"/>
    </row>
    <row r="85" spans="2:19" ht="18.600000000000001" thickBot="1" x14ac:dyDescent="0.4">
      <c r="B85" s="612"/>
      <c r="C85" s="613"/>
      <c r="D85" s="355" t="s">
        <v>14</v>
      </c>
      <c r="E85" s="367"/>
      <c r="F85" s="360"/>
      <c r="G85" s="358"/>
      <c r="H85" s="359"/>
      <c r="I85" s="350" t="str">
        <f t="shared" si="4"/>
        <v/>
      </c>
      <c r="J85" s="351"/>
      <c r="K85" s="380" t="str">
        <f t="shared" si="44"/>
        <v/>
      </c>
      <c r="L85" s="364" t="str">
        <f t="shared" si="45"/>
        <v/>
      </c>
      <c r="M85" s="379" t="str">
        <f t="shared" si="46"/>
        <v/>
      </c>
      <c r="N85" s="615"/>
      <c r="O85" s="354"/>
      <c r="P85" s="11"/>
    </row>
    <row r="86" spans="2:19" ht="18" x14ac:dyDescent="0.35">
      <c r="B86" s="618" t="s">
        <v>17</v>
      </c>
      <c r="C86" s="619"/>
      <c r="D86" s="388"/>
      <c r="E86" s="389"/>
      <c r="F86" s="390">
        <f>AVERAGE(F6:F85)</f>
        <v>232.46666666666667</v>
      </c>
      <c r="G86" s="391"/>
      <c r="H86" s="392">
        <f>AVERAGE(H6:H83)</f>
        <v>0.11933333333333337</v>
      </c>
      <c r="I86" s="393" t="str">
        <f t="shared" si="4"/>
        <v/>
      </c>
      <c r="J86" s="394"/>
      <c r="K86" s="395">
        <f>AVERAGE(K6:K67)</f>
        <v>161.35866666666666</v>
      </c>
      <c r="L86" s="396">
        <f>AVERAGE(L6:L79)</f>
        <v>143.00594000000004</v>
      </c>
      <c r="M86" s="397">
        <f>AVERAGE(M6:M16)</f>
        <v>12.786250000000001</v>
      </c>
      <c r="N86" s="404">
        <f>AVERAGE(N6:N83)</f>
        <v>55.002284615384632</v>
      </c>
      <c r="O86" s="354"/>
      <c r="S86" s="4"/>
    </row>
    <row r="87" spans="2:19" ht="18.600000000000001" thickBot="1" x14ac:dyDescent="0.4">
      <c r="B87" s="620" t="s">
        <v>18</v>
      </c>
      <c r="C87" s="621"/>
      <c r="D87" s="398"/>
      <c r="E87" s="398"/>
      <c r="F87" s="399">
        <f>SUM(F6:F83)</f>
        <v>3487</v>
      </c>
      <c r="G87" s="398"/>
      <c r="H87" s="400"/>
      <c r="I87" s="400"/>
      <c r="J87" s="398"/>
      <c r="K87" s="401"/>
      <c r="L87" s="402"/>
      <c r="M87" s="398"/>
      <c r="N87" s="405">
        <f>SUM(N6:N85)</f>
        <v>2145.0891000000006</v>
      </c>
      <c r="O87" s="354"/>
      <c r="Q87" s="4"/>
      <c r="R87" s="4"/>
      <c r="S87" s="2"/>
    </row>
    <row r="88" spans="2:19" ht="15" thickBot="1" x14ac:dyDescent="0.35">
      <c r="D88" s="7"/>
      <c r="F88" s="334"/>
      <c r="H88" s="337"/>
      <c r="I88" s="339"/>
    </row>
    <row r="89" spans="2:19" x14ac:dyDescent="0.3">
      <c r="K89" s="13"/>
    </row>
    <row r="90" spans="2:19" x14ac:dyDescent="0.3">
      <c r="F90" s="335"/>
      <c r="I90" s="335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46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R8" zoomScale="85" zoomScaleNormal="55" workbookViewId="0">
      <selection activeCell="AA11" sqref="AA1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30" customWidth="1"/>
    <col min="9" max="9" width="9.5546875" style="430" customWidth="1"/>
    <col min="10" max="10" width="11.21875" style="430" customWidth="1"/>
    <col min="11" max="11" width="12" style="430" customWidth="1"/>
    <col min="12" max="12" width="11.77734375" style="430" customWidth="1"/>
    <col min="13" max="13" width="14.44140625" style="43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636" t="s">
        <v>422</v>
      </c>
      <c r="C2" s="637"/>
      <c r="D2" s="637"/>
      <c r="E2" s="637"/>
      <c r="F2" s="637"/>
      <c r="G2" s="637"/>
      <c r="H2" s="637"/>
      <c r="I2" s="637"/>
      <c r="J2" s="637"/>
      <c r="K2" s="637"/>
      <c r="L2" s="637"/>
      <c r="M2" s="638"/>
      <c r="AD2" s="16">
        <v>2</v>
      </c>
      <c r="AE2" s="16">
        <v>9.9000000000000005E-2</v>
      </c>
    </row>
    <row r="3" spans="2:31" ht="15" thickBot="1" x14ac:dyDescent="0.35">
      <c r="B3" s="636" t="s">
        <v>199</v>
      </c>
      <c r="C3" s="637"/>
      <c r="D3" s="637"/>
      <c r="E3" s="637"/>
      <c r="F3" s="637"/>
      <c r="G3" s="637"/>
      <c r="H3" s="637"/>
      <c r="I3" s="637"/>
      <c r="J3" s="637"/>
      <c r="K3" s="637"/>
      <c r="L3" s="637"/>
      <c r="M3" s="638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31"/>
      <c r="I4" s="431"/>
      <c r="J4" s="431"/>
      <c r="K4" s="431"/>
      <c r="L4" s="431"/>
      <c r="M4" s="431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31"/>
      <c r="I5" s="431"/>
      <c r="J5" s="431"/>
      <c r="K5" s="431"/>
      <c r="L5" s="431"/>
      <c r="M5" s="431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29" t="s">
        <v>180</v>
      </c>
      <c r="E7" s="429" t="s">
        <v>181</v>
      </c>
      <c r="F7" s="429" t="s">
        <v>182</v>
      </c>
      <c r="G7" s="429" t="s">
        <v>183</v>
      </c>
      <c r="H7" s="429" t="s">
        <v>184</v>
      </c>
      <c r="I7" s="429" t="s">
        <v>185</v>
      </c>
      <c r="J7" s="429" t="s">
        <v>382</v>
      </c>
      <c r="K7" s="429" t="s">
        <v>383</v>
      </c>
      <c r="L7" s="429" t="s">
        <v>187</v>
      </c>
      <c r="M7" s="429" t="s">
        <v>197</v>
      </c>
      <c r="Q7" s="601" t="s">
        <v>348</v>
      </c>
      <c r="R7" s="601"/>
      <c r="S7" s="601"/>
      <c r="T7" s="601"/>
      <c r="U7" s="601"/>
      <c r="V7" s="601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189</v>
      </c>
      <c r="E8" s="16" t="s">
        <v>193</v>
      </c>
      <c r="F8" s="16" t="s">
        <v>345</v>
      </c>
      <c r="G8" s="16"/>
      <c r="H8" s="432">
        <v>41</v>
      </c>
      <c r="I8" s="432">
        <v>1.35</v>
      </c>
      <c r="J8" s="437">
        <f>H8*I8</f>
        <v>55.35</v>
      </c>
      <c r="K8" s="437">
        <f>I8*G8</f>
        <v>0</v>
      </c>
      <c r="L8" s="432">
        <v>1.0269999999999999</v>
      </c>
      <c r="M8" s="437">
        <f>L8*J8</f>
        <v>56.844449999999995</v>
      </c>
      <c r="N8" s="1" t="s">
        <v>207</v>
      </c>
      <c r="O8" s="1">
        <f>MEDIAN(L8:L39)</f>
        <v>1.1160000000000001</v>
      </c>
      <c r="Q8" s="321" t="s">
        <v>71</v>
      </c>
      <c r="R8" s="321" t="s">
        <v>349</v>
      </c>
      <c r="S8" s="321" t="s">
        <v>1</v>
      </c>
      <c r="T8" s="321" t="s">
        <v>350</v>
      </c>
      <c r="U8" s="321" t="s">
        <v>351</v>
      </c>
      <c r="V8" s="321" t="s">
        <v>352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188</v>
      </c>
      <c r="E9" s="16" t="s">
        <v>198</v>
      </c>
      <c r="F9" s="16" t="s">
        <v>346</v>
      </c>
      <c r="G9" s="16"/>
      <c r="H9" s="432">
        <v>16</v>
      </c>
      <c r="I9" s="432">
        <v>1.35</v>
      </c>
      <c r="J9" s="437">
        <f t="shared" ref="J9:J12" si="0">H9*I9</f>
        <v>21.6</v>
      </c>
      <c r="K9" s="437">
        <f t="shared" ref="K9:K12" si="1">I9*G9</f>
        <v>0</v>
      </c>
      <c r="L9" s="432">
        <v>1.228</v>
      </c>
      <c r="M9" s="437">
        <f t="shared" ref="M9:M39" si="2">L9*J9</f>
        <v>26.524800000000003</v>
      </c>
      <c r="N9" s="38" t="s">
        <v>423</v>
      </c>
      <c r="O9" s="131">
        <f>AVERAGE(L8:L39)</f>
        <v>1.7894999999999999</v>
      </c>
      <c r="Q9" s="16">
        <v>1</v>
      </c>
      <c r="R9" s="6" t="s">
        <v>353</v>
      </c>
      <c r="S9" s="73">
        <v>46197</v>
      </c>
      <c r="T9" s="6">
        <v>0.54600000000000004</v>
      </c>
      <c r="U9" s="6"/>
      <c r="V9" s="6"/>
      <c r="Y9" s="322" t="s">
        <v>270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190</v>
      </c>
      <c r="E10" s="16" t="s">
        <v>195</v>
      </c>
      <c r="F10" s="16" t="s">
        <v>347</v>
      </c>
      <c r="G10" s="16"/>
      <c r="H10" s="432">
        <v>93</v>
      </c>
      <c r="I10" s="432">
        <v>1.35</v>
      </c>
      <c r="J10" s="437">
        <f t="shared" si="0"/>
        <v>125.55000000000001</v>
      </c>
      <c r="K10" s="437">
        <f t="shared" si="1"/>
        <v>0</v>
      </c>
      <c r="L10" s="440">
        <v>0.6</v>
      </c>
      <c r="M10" s="437">
        <f t="shared" si="2"/>
        <v>75.33</v>
      </c>
      <c r="Q10" s="16">
        <v>2</v>
      </c>
      <c r="R10" s="6" t="s">
        <v>354</v>
      </c>
      <c r="S10" s="73">
        <v>46197</v>
      </c>
      <c r="T10" s="6">
        <v>0.57599999999999996</v>
      </c>
      <c r="U10" s="6"/>
      <c r="V10" s="6"/>
      <c r="Y10" s="322" t="s">
        <v>207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191</v>
      </c>
      <c r="E11" s="16" t="s">
        <v>196</v>
      </c>
      <c r="F11" s="16" t="s">
        <v>345</v>
      </c>
      <c r="G11" s="16"/>
      <c r="H11" s="432">
        <v>40</v>
      </c>
      <c r="I11" s="432">
        <v>1.35</v>
      </c>
      <c r="J11" s="437">
        <f t="shared" si="0"/>
        <v>54</v>
      </c>
      <c r="K11" s="437">
        <f t="shared" si="1"/>
        <v>0</v>
      </c>
      <c r="L11" s="432">
        <v>1.0269999999999999</v>
      </c>
      <c r="M11" s="437">
        <f t="shared" si="2"/>
        <v>55.457999999999998</v>
      </c>
      <c r="O11" s="38"/>
      <c r="Q11" s="16">
        <v>3</v>
      </c>
      <c r="R11" s="6" t="s">
        <v>355</v>
      </c>
      <c r="S11" s="73">
        <v>46197</v>
      </c>
      <c r="T11" s="6">
        <v>0.83899999999999997</v>
      </c>
      <c r="U11" s="6"/>
      <c r="V11" s="6"/>
      <c r="Y11" s="322" t="s">
        <v>205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192</v>
      </c>
      <c r="E12" s="16" t="s">
        <v>194</v>
      </c>
      <c r="F12" s="16" t="s">
        <v>346</v>
      </c>
      <c r="G12" s="16"/>
      <c r="H12" s="432">
        <v>13</v>
      </c>
      <c r="I12" s="432">
        <v>1.35</v>
      </c>
      <c r="J12" s="437">
        <f t="shared" si="0"/>
        <v>17.55</v>
      </c>
      <c r="K12" s="437">
        <f t="shared" si="1"/>
        <v>0</v>
      </c>
      <c r="L12" s="432">
        <v>1.228</v>
      </c>
      <c r="M12" s="437">
        <f t="shared" si="2"/>
        <v>21.551400000000001</v>
      </c>
      <c r="Q12" s="16">
        <v>4</v>
      </c>
      <c r="R12" s="6" t="s">
        <v>356</v>
      </c>
      <c r="S12" s="73">
        <v>46197</v>
      </c>
      <c r="T12" s="6">
        <v>2.0110000000000001</v>
      </c>
      <c r="U12" s="6"/>
      <c r="V12" s="6"/>
      <c r="Y12" s="322" t="s">
        <v>204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384</v>
      </c>
      <c r="F13" s="16" t="s">
        <v>384</v>
      </c>
      <c r="G13" s="16">
        <v>200</v>
      </c>
      <c r="H13" s="432">
        <v>310</v>
      </c>
      <c r="I13" s="432">
        <v>1.39</v>
      </c>
      <c r="J13" s="437">
        <f>H13*I13</f>
        <v>430.9</v>
      </c>
      <c r="K13" s="437">
        <f t="shared" ref="K13:K22" si="3">I13*G13</f>
        <v>278</v>
      </c>
      <c r="L13" s="432">
        <v>1.1220000000000001</v>
      </c>
      <c r="M13" s="437">
        <f t="shared" si="2"/>
        <v>483.46980000000002</v>
      </c>
      <c r="Q13" s="16">
        <v>5</v>
      </c>
      <c r="R13" s="6" t="s">
        <v>357</v>
      </c>
      <c r="S13" s="73">
        <v>46197</v>
      </c>
      <c r="T13" s="6">
        <v>0.94399999999999995</v>
      </c>
      <c r="U13" s="6"/>
      <c r="V13" s="6"/>
      <c r="Y13" s="323" t="s">
        <v>378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385</v>
      </c>
      <c r="F14" s="16" t="s">
        <v>385</v>
      </c>
      <c r="G14" s="16">
        <v>220</v>
      </c>
      <c r="H14" s="432">
        <v>190</v>
      </c>
      <c r="I14" s="432">
        <v>1.39</v>
      </c>
      <c r="J14" s="437">
        <f>H14*I14</f>
        <v>264.09999999999997</v>
      </c>
      <c r="K14" s="437">
        <f t="shared" si="3"/>
        <v>305.79999999999995</v>
      </c>
      <c r="L14" s="432">
        <v>1.1220000000000001</v>
      </c>
      <c r="M14" s="437">
        <f t="shared" si="2"/>
        <v>296.3202</v>
      </c>
      <c r="O14" s="1">
        <f>MEDIAN(L8:L22)</f>
        <v>1.1100000000000001</v>
      </c>
      <c r="Q14" s="16">
        <v>6</v>
      </c>
      <c r="R14" s="6" t="s">
        <v>358</v>
      </c>
      <c r="S14" s="73">
        <v>46197</v>
      </c>
      <c r="T14" s="6">
        <v>0.70199999999999996</v>
      </c>
      <c r="U14" s="6"/>
      <c r="V14" s="6"/>
      <c r="Y14" s="323" t="s">
        <v>271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345</v>
      </c>
      <c r="G15" s="16">
        <v>210</v>
      </c>
      <c r="H15" s="432">
        <v>34</v>
      </c>
      <c r="I15" s="432">
        <v>1.39</v>
      </c>
      <c r="J15" s="437">
        <f>H15*I15</f>
        <v>47.26</v>
      </c>
      <c r="K15" s="437">
        <f t="shared" si="3"/>
        <v>291.89999999999998</v>
      </c>
      <c r="L15" s="432">
        <v>1.02</v>
      </c>
      <c r="M15" s="437">
        <f t="shared" si="2"/>
        <v>48.205199999999998</v>
      </c>
      <c r="N15" s="131"/>
      <c r="Q15" s="16">
        <v>7</v>
      </c>
      <c r="R15" s="6" t="s">
        <v>359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32"/>
      <c r="E16" s="16"/>
      <c r="F16" s="16" t="s">
        <v>345</v>
      </c>
      <c r="G16" s="16">
        <v>30</v>
      </c>
      <c r="H16" s="432">
        <v>64</v>
      </c>
      <c r="I16" s="432">
        <v>1.39</v>
      </c>
      <c r="J16" s="437">
        <f>H16*I16</f>
        <v>88.96</v>
      </c>
      <c r="K16" s="437">
        <f t="shared" si="3"/>
        <v>41.699999999999996</v>
      </c>
      <c r="L16" s="471">
        <v>1.02</v>
      </c>
      <c r="M16" s="437">
        <f t="shared" si="2"/>
        <v>90.739199999999997</v>
      </c>
      <c r="Q16" s="16">
        <v>8</v>
      </c>
      <c r="R16" s="6" t="s">
        <v>360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345</v>
      </c>
      <c r="G17" s="16">
        <v>60</v>
      </c>
      <c r="H17" s="432">
        <v>62</v>
      </c>
      <c r="I17" s="432">
        <v>1.39</v>
      </c>
      <c r="J17" s="437">
        <f t="shared" ref="J17:J39" si="4">H17*I17</f>
        <v>86.179999999999993</v>
      </c>
      <c r="K17" s="437">
        <f t="shared" si="3"/>
        <v>83.399999999999991</v>
      </c>
      <c r="L17" s="432">
        <v>0.93500000000000005</v>
      </c>
      <c r="M17" s="437">
        <f t="shared" si="2"/>
        <v>80.578299999999999</v>
      </c>
      <c r="Q17" s="16">
        <v>9</v>
      </c>
      <c r="R17" s="6" t="s">
        <v>361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345</v>
      </c>
      <c r="G18" s="16">
        <v>60</v>
      </c>
      <c r="H18" s="432">
        <v>108</v>
      </c>
      <c r="I18" s="432">
        <v>1.39</v>
      </c>
      <c r="J18" s="437">
        <f t="shared" si="4"/>
        <v>150.11999999999998</v>
      </c>
      <c r="K18" s="437">
        <f t="shared" si="3"/>
        <v>83.399999999999991</v>
      </c>
      <c r="L18" s="432">
        <v>1.1100000000000001</v>
      </c>
      <c r="M18" s="437">
        <f t="shared" si="2"/>
        <v>166.63319999999999</v>
      </c>
      <c r="N18" s="1">
        <v>1358</v>
      </c>
      <c r="Q18" s="16">
        <v>10</v>
      </c>
      <c r="R18" s="6" t="s">
        <v>362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345</v>
      </c>
      <c r="G19" s="16">
        <v>150</v>
      </c>
      <c r="H19" s="432">
        <v>130</v>
      </c>
      <c r="I19" s="432">
        <v>1.39</v>
      </c>
      <c r="J19" s="437">
        <f>H19*I19</f>
        <v>180.7</v>
      </c>
      <c r="K19" s="437">
        <f t="shared" si="3"/>
        <v>208.49999999999997</v>
      </c>
      <c r="L19" s="432">
        <v>12.308999999999999</v>
      </c>
      <c r="M19" s="437">
        <f t="shared" si="2"/>
        <v>2224.2362999999996</v>
      </c>
      <c r="Q19" s="16">
        <v>11</v>
      </c>
      <c r="R19" s="6" t="s">
        <v>363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345</v>
      </c>
      <c r="G20" s="16">
        <v>110</v>
      </c>
      <c r="H20" s="432">
        <v>94</v>
      </c>
      <c r="I20" s="432">
        <v>1.39</v>
      </c>
      <c r="J20" s="437">
        <f t="shared" si="4"/>
        <v>130.66</v>
      </c>
      <c r="K20" s="437">
        <f t="shared" si="3"/>
        <v>152.89999999999998</v>
      </c>
      <c r="L20" s="432">
        <v>0.86</v>
      </c>
      <c r="M20" s="437">
        <f t="shared" si="2"/>
        <v>112.3676</v>
      </c>
      <c r="O20" s="1">
        <f>N18*1.39</f>
        <v>1887.62</v>
      </c>
      <c r="Q20" s="16">
        <v>12</v>
      </c>
      <c r="R20" s="6" t="s">
        <v>364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345</v>
      </c>
      <c r="G21" s="16">
        <v>100</v>
      </c>
      <c r="H21" s="432">
        <v>310</v>
      </c>
      <c r="I21" s="458">
        <v>1.3</v>
      </c>
      <c r="J21" s="437">
        <f t="shared" si="4"/>
        <v>403</v>
      </c>
      <c r="K21" s="437">
        <f t="shared" si="3"/>
        <v>130</v>
      </c>
      <c r="L21" s="432">
        <v>1.2969999999999999</v>
      </c>
      <c r="M21" s="437">
        <f t="shared" si="2"/>
        <v>522.69099999999992</v>
      </c>
      <c r="Q21" s="16">
        <v>13</v>
      </c>
      <c r="R21" s="6" t="s">
        <v>365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345</v>
      </c>
      <c r="G22" s="16">
        <v>280</v>
      </c>
      <c r="H22" s="432">
        <v>56</v>
      </c>
      <c r="I22" s="458">
        <v>1.3</v>
      </c>
      <c r="J22" s="437">
        <f t="shared" si="4"/>
        <v>72.8</v>
      </c>
      <c r="K22" s="437">
        <f t="shared" si="3"/>
        <v>364</v>
      </c>
      <c r="L22" s="432">
        <v>1.4970000000000001</v>
      </c>
      <c r="M22" s="437">
        <f t="shared" si="2"/>
        <v>108.9816</v>
      </c>
      <c r="O22" s="1">
        <f>366*1.39</f>
        <v>508.73999999999995</v>
      </c>
      <c r="Q22" s="16">
        <v>14</v>
      </c>
      <c r="R22" s="6" t="s">
        <v>366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74">
        <v>46263</v>
      </c>
      <c r="D23" s="473"/>
      <c r="E23" s="473"/>
      <c r="F23" s="473"/>
      <c r="G23" s="315"/>
      <c r="H23" s="315"/>
      <c r="I23" s="315"/>
      <c r="J23" s="315"/>
      <c r="K23" s="315"/>
      <c r="L23" s="433"/>
      <c r="M23" s="437">
        <f t="shared" si="2"/>
        <v>0</v>
      </c>
      <c r="Q23" s="16">
        <v>15</v>
      </c>
      <c r="R23" s="6" t="s">
        <v>367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74">
        <v>46264</v>
      </c>
      <c r="D24" s="6"/>
      <c r="E24" s="6"/>
      <c r="F24" s="6"/>
      <c r="G24" s="6"/>
      <c r="H24" s="433"/>
      <c r="I24" s="432">
        <v>1.35</v>
      </c>
      <c r="J24" s="437">
        <f t="shared" si="4"/>
        <v>0</v>
      </c>
      <c r="K24" s="437"/>
      <c r="L24" s="433"/>
      <c r="M24" s="437">
        <f t="shared" si="2"/>
        <v>0</v>
      </c>
      <c r="Q24" s="16">
        <v>16</v>
      </c>
      <c r="R24" s="6" t="s">
        <v>368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74">
        <v>46265</v>
      </c>
      <c r="D25" s="6"/>
      <c r="E25" s="6"/>
      <c r="F25" s="6" t="s">
        <v>345</v>
      </c>
      <c r="G25" s="6"/>
      <c r="H25" s="433">
        <v>23</v>
      </c>
      <c r="I25" s="432">
        <v>1.3</v>
      </c>
      <c r="J25" s="437">
        <f t="shared" si="4"/>
        <v>29.900000000000002</v>
      </c>
      <c r="K25" s="437"/>
      <c r="L25" s="433">
        <v>1.23</v>
      </c>
      <c r="M25" s="437">
        <f t="shared" si="2"/>
        <v>36.777000000000001</v>
      </c>
      <c r="Q25" s="16">
        <v>17</v>
      </c>
      <c r="R25" s="6" t="s">
        <v>369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33"/>
      <c r="I26" s="432">
        <v>1.35</v>
      </c>
      <c r="J26" s="437">
        <f t="shared" si="4"/>
        <v>0</v>
      </c>
      <c r="K26" s="437"/>
      <c r="L26" s="433"/>
      <c r="M26" s="437">
        <f t="shared" si="2"/>
        <v>0</v>
      </c>
      <c r="Q26" s="16">
        <v>18</v>
      </c>
      <c r="R26" s="6" t="s">
        <v>370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33"/>
      <c r="I27" s="432">
        <v>1.35</v>
      </c>
      <c r="J27" s="437">
        <f t="shared" si="4"/>
        <v>0</v>
      </c>
      <c r="K27" s="437"/>
      <c r="L27" s="433"/>
      <c r="M27" s="437">
        <f t="shared" si="2"/>
        <v>0</v>
      </c>
      <c r="O27" s="1">
        <f>4/7</f>
        <v>0.5714285714285714</v>
      </c>
      <c r="Q27" s="16">
        <v>19</v>
      </c>
      <c r="R27" s="6" t="s">
        <v>371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33"/>
      <c r="I28" s="432">
        <v>1.35</v>
      </c>
      <c r="J28" s="437">
        <f t="shared" si="4"/>
        <v>0</v>
      </c>
      <c r="K28" s="437"/>
      <c r="L28" s="433"/>
      <c r="M28" s="437">
        <f t="shared" si="2"/>
        <v>0</v>
      </c>
      <c r="O28" s="1">
        <f>3/7</f>
        <v>0.42857142857142855</v>
      </c>
      <c r="Q28" s="16">
        <v>20</v>
      </c>
      <c r="R28" s="6" t="s">
        <v>372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33"/>
      <c r="I29" s="432">
        <v>1.35</v>
      </c>
      <c r="J29" s="437">
        <f t="shared" si="4"/>
        <v>0</v>
      </c>
      <c r="K29" s="437"/>
      <c r="L29" s="433"/>
      <c r="M29" s="437">
        <f t="shared" si="2"/>
        <v>0</v>
      </c>
      <c r="Q29" s="16">
        <v>21</v>
      </c>
      <c r="R29" s="6" t="s">
        <v>373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33"/>
      <c r="I30" s="432">
        <v>1.35</v>
      </c>
      <c r="J30" s="437">
        <f t="shared" si="4"/>
        <v>0</v>
      </c>
      <c r="K30" s="437"/>
      <c r="L30" s="433"/>
      <c r="M30" s="437">
        <f t="shared" si="2"/>
        <v>0</v>
      </c>
      <c r="Q30" s="16">
        <v>22</v>
      </c>
      <c r="R30" s="6" t="s">
        <v>374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33"/>
      <c r="I31" s="432">
        <v>1.35</v>
      </c>
      <c r="J31" s="437">
        <f t="shared" si="4"/>
        <v>0</v>
      </c>
      <c r="K31" s="437"/>
      <c r="L31" s="433"/>
      <c r="M31" s="437">
        <f t="shared" si="2"/>
        <v>0</v>
      </c>
      <c r="Q31" s="16">
        <v>23</v>
      </c>
      <c r="R31" s="6" t="s">
        <v>368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33"/>
      <c r="I32" s="432">
        <v>1.35</v>
      </c>
      <c r="J32" s="437">
        <f t="shared" si="4"/>
        <v>0</v>
      </c>
      <c r="K32" s="437"/>
      <c r="L32" s="433"/>
      <c r="M32" s="437">
        <f t="shared" si="2"/>
        <v>0</v>
      </c>
      <c r="Q32" s="16">
        <v>24</v>
      </c>
      <c r="R32" s="6" t="s">
        <v>369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33"/>
      <c r="I33" s="432">
        <v>1.35</v>
      </c>
      <c r="J33" s="437">
        <f t="shared" si="4"/>
        <v>0</v>
      </c>
      <c r="K33" s="437"/>
      <c r="L33" s="433"/>
      <c r="M33" s="437">
        <f t="shared" si="2"/>
        <v>0</v>
      </c>
      <c r="Q33" s="16">
        <v>25</v>
      </c>
      <c r="R33" s="6" t="s">
        <v>370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33"/>
      <c r="I34" s="432">
        <v>1.35</v>
      </c>
      <c r="J34" s="437">
        <f t="shared" si="4"/>
        <v>0</v>
      </c>
      <c r="K34" s="437"/>
      <c r="L34" s="433"/>
      <c r="M34" s="437">
        <f t="shared" si="2"/>
        <v>0</v>
      </c>
      <c r="Q34" s="16">
        <v>26</v>
      </c>
      <c r="R34" s="6" t="s">
        <v>371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33"/>
      <c r="I35" s="432">
        <v>1.35</v>
      </c>
      <c r="J35" s="437">
        <f t="shared" si="4"/>
        <v>0</v>
      </c>
      <c r="K35" s="437"/>
      <c r="L35" s="433"/>
      <c r="M35" s="437">
        <f t="shared" si="2"/>
        <v>0</v>
      </c>
      <c r="Q35" s="16">
        <v>27</v>
      </c>
      <c r="R35" s="6" t="s">
        <v>372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33"/>
      <c r="I36" s="432">
        <v>1.35</v>
      </c>
      <c r="J36" s="437">
        <f t="shared" si="4"/>
        <v>0</v>
      </c>
      <c r="K36" s="437"/>
      <c r="L36" s="433"/>
      <c r="M36" s="437">
        <f t="shared" si="2"/>
        <v>0</v>
      </c>
      <c r="Q36" s="16">
        <v>28</v>
      </c>
      <c r="R36" s="6" t="s">
        <v>373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33"/>
      <c r="I37" s="432">
        <v>1.35</v>
      </c>
      <c r="J37" s="437">
        <f t="shared" si="4"/>
        <v>0</v>
      </c>
      <c r="K37" s="437"/>
      <c r="L37" s="433"/>
      <c r="M37" s="437">
        <f t="shared" si="2"/>
        <v>0</v>
      </c>
      <c r="Q37" s="16">
        <v>29</v>
      </c>
      <c r="R37" s="6" t="s">
        <v>374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33"/>
      <c r="I38" s="432">
        <v>1.35</v>
      </c>
      <c r="J38" s="437">
        <f t="shared" si="4"/>
        <v>0</v>
      </c>
      <c r="K38" s="437"/>
      <c r="L38" s="433"/>
      <c r="M38" s="437">
        <f t="shared" si="2"/>
        <v>0</v>
      </c>
      <c r="Q38" s="16">
        <v>30</v>
      </c>
      <c r="R38" s="6" t="s">
        <v>375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33"/>
      <c r="I39" s="432">
        <v>1.35</v>
      </c>
      <c r="J39" s="437">
        <f t="shared" si="4"/>
        <v>0</v>
      </c>
      <c r="K39" s="437"/>
      <c r="L39" s="433"/>
      <c r="M39" s="437">
        <f t="shared" si="2"/>
        <v>0</v>
      </c>
      <c r="Q39" s="16">
        <v>31</v>
      </c>
      <c r="R39" s="6" t="s">
        <v>376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639" t="s">
        <v>425</v>
      </c>
      <c r="AH39" s="640"/>
      <c r="AI39" s="640"/>
      <c r="AJ39" s="640"/>
      <c r="AK39" s="640"/>
      <c r="AL39" s="641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34"/>
      <c r="I40" s="434"/>
      <c r="J40" s="434"/>
      <c r="K40" s="434"/>
      <c r="L40" s="472">
        <f>AVERAGE(L8:L22)</f>
        <v>1.8267999999999998</v>
      </c>
      <c r="M40" s="442">
        <f>SUM(M8:M39)</f>
        <v>4406.7080500000002</v>
      </c>
      <c r="N40" s="15"/>
      <c r="O40" s="153"/>
      <c r="Q40" s="16">
        <v>32</v>
      </c>
      <c r="R40" s="6" t="s">
        <v>377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642"/>
      <c r="AH40" s="643"/>
      <c r="AI40" s="643"/>
      <c r="AJ40" s="643"/>
      <c r="AK40" s="643"/>
      <c r="AL40" s="644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35">
        <f>SUM(H8:H39)</f>
        <v>1584</v>
      </c>
      <c r="I41" s="435"/>
      <c r="J41" s="438">
        <f>SUM(J8:J39)</f>
        <v>2158.6300000000006</v>
      </c>
      <c r="K41" s="438">
        <f>SUM(K8:K39)</f>
        <v>1939.6</v>
      </c>
      <c r="L41" s="472">
        <f>MEDIAN(L8:L22)</f>
        <v>1.1100000000000001</v>
      </c>
      <c r="M41" s="438">
        <f>L41*J41</f>
        <v>2396.0793000000008</v>
      </c>
      <c r="N41" s="12"/>
      <c r="Q41" s="230">
        <v>33</v>
      </c>
      <c r="R41" s="230" t="s">
        <v>386</v>
      </c>
      <c r="S41" s="84">
        <v>46251</v>
      </c>
      <c r="T41" s="16">
        <v>1.0349999999999999</v>
      </c>
      <c r="U41" s="230"/>
      <c r="V41" s="230"/>
      <c r="AD41" s="16">
        <v>41</v>
      </c>
      <c r="AE41" s="6">
        <v>0.48799999999999999</v>
      </c>
      <c r="AG41" s="443">
        <v>1</v>
      </c>
      <c r="AH41" s="38">
        <v>0.81</v>
      </c>
      <c r="AJ41" s="1">
        <v>1</v>
      </c>
      <c r="AK41" s="194">
        <v>1.6</v>
      </c>
      <c r="AL41" s="444"/>
    </row>
    <row r="42" spans="2:38" x14ac:dyDescent="0.3">
      <c r="L42" s="441"/>
      <c r="Q42" s="230">
        <v>34</v>
      </c>
      <c r="R42" s="230" t="s">
        <v>387</v>
      </c>
      <c r="S42" s="84">
        <v>46251</v>
      </c>
      <c r="T42" s="16">
        <v>0.52600000000000002</v>
      </c>
      <c r="U42" s="230"/>
      <c r="V42" s="230"/>
      <c r="Y42" s="2"/>
      <c r="AD42" s="16">
        <v>42</v>
      </c>
      <c r="AE42" s="16">
        <v>0.48899999999999999</v>
      </c>
      <c r="AG42" s="443">
        <v>2</v>
      </c>
      <c r="AH42" s="38">
        <v>0.81</v>
      </c>
      <c r="AJ42" s="1">
        <v>2</v>
      </c>
      <c r="AK42" s="194">
        <v>1.6</v>
      </c>
      <c r="AL42" s="444"/>
    </row>
    <row r="43" spans="2:38" ht="43.2" x14ac:dyDescent="0.3">
      <c r="L43" s="459" t="s">
        <v>442</v>
      </c>
      <c r="M43" s="458">
        <f>M40/J41</f>
        <v>2.0414374163242424</v>
      </c>
      <c r="Q43" s="230">
        <v>35</v>
      </c>
      <c r="R43" s="230" t="s">
        <v>388</v>
      </c>
      <c r="S43" s="84">
        <v>46251</v>
      </c>
      <c r="T43" s="16">
        <v>0.81599999999999995</v>
      </c>
      <c r="U43" s="230"/>
      <c r="V43" s="230"/>
      <c r="AD43" s="16">
        <v>43</v>
      </c>
      <c r="AE43" s="16">
        <v>0.501</v>
      </c>
      <c r="AG43" s="443">
        <v>3</v>
      </c>
      <c r="AH43" s="38">
        <v>0.81</v>
      </c>
      <c r="AJ43" s="1">
        <v>3</v>
      </c>
      <c r="AK43" s="194">
        <v>1.6</v>
      </c>
      <c r="AL43" s="444"/>
    </row>
    <row r="44" spans="2:38" x14ac:dyDescent="0.3">
      <c r="I44" s="436"/>
      <c r="J44" s="436"/>
      <c r="K44" s="436"/>
      <c r="L44" s="441"/>
      <c r="Q44" s="230">
        <v>36</v>
      </c>
      <c r="R44" s="230" t="s">
        <v>389</v>
      </c>
      <c r="S44" s="84">
        <v>46251</v>
      </c>
      <c r="T44" s="16">
        <v>0.34399999999999997</v>
      </c>
      <c r="U44" s="230"/>
      <c r="V44" s="230"/>
      <c r="AD44" s="16">
        <v>44</v>
      </c>
      <c r="AE44" s="16">
        <v>0.502</v>
      </c>
      <c r="AG44" s="443">
        <v>4</v>
      </c>
      <c r="AH44" s="38">
        <v>0.81</v>
      </c>
      <c r="AJ44" s="1">
        <v>4</v>
      </c>
      <c r="AK44" s="194">
        <v>1.6</v>
      </c>
      <c r="AL44" s="444"/>
    </row>
    <row r="45" spans="2:38" x14ac:dyDescent="0.3">
      <c r="I45" s="436"/>
      <c r="Q45" s="230">
        <v>37</v>
      </c>
      <c r="R45" s="230" t="s">
        <v>390</v>
      </c>
      <c r="S45" s="84">
        <v>46251</v>
      </c>
      <c r="T45" s="16">
        <v>0.30399999999999999</v>
      </c>
      <c r="U45" s="230"/>
      <c r="V45" s="230"/>
      <c r="AD45" s="16">
        <v>45</v>
      </c>
      <c r="AE45" s="16">
        <v>0.50600000000000001</v>
      </c>
      <c r="AG45" s="443">
        <v>5</v>
      </c>
      <c r="AH45" s="38">
        <v>0.81</v>
      </c>
      <c r="AJ45" s="1">
        <v>5</v>
      </c>
      <c r="AK45" s="194">
        <v>1.6</v>
      </c>
      <c r="AL45" s="444"/>
    </row>
    <row r="46" spans="2:38" x14ac:dyDescent="0.3">
      <c r="J46" s="436"/>
      <c r="Q46" s="230">
        <v>38</v>
      </c>
      <c r="R46" s="230" t="s">
        <v>391</v>
      </c>
      <c r="S46" s="84">
        <v>46251</v>
      </c>
      <c r="T46" s="16">
        <v>0.74399999999999999</v>
      </c>
      <c r="U46" s="230"/>
      <c r="V46" s="230"/>
      <c r="AD46" s="16">
        <v>46</v>
      </c>
      <c r="AE46" s="16">
        <v>0.52600000000000002</v>
      </c>
      <c r="AG46" s="443">
        <v>6</v>
      </c>
      <c r="AH46" s="38">
        <v>0.81</v>
      </c>
      <c r="AJ46" s="1">
        <v>6</v>
      </c>
      <c r="AK46" s="194">
        <v>1.6</v>
      </c>
      <c r="AL46" s="444"/>
    </row>
    <row r="47" spans="2:38" x14ac:dyDescent="0.3">
      <c r="B47" s="1" t="s">
        <v>381</v>
      </c>
      <c r="C47" s="84">
        <v>46245</v>
      </c>
      <c r="D47" s="16" t="s">
        <v>379</v>
      </c>
      <c r="E47" s="16" t="s">
        <v>380</v>
      </c>
      <c r="F47" s="16"/>
      <c r="G47" s="16"/>
      <c r="H47" s="432">
        <v>271</v>
      </c>
      <c r="I47" s="432">
        <v>1.35</v>
      </c>
      <c r="J47" s="437">
        <f>H47*I47</f>
        <v>365.85</v>
      </c>
      <c r="K47" s="439"/>
      <c r="M47" s="436"/>
      <c r="Q47" s="230">
        <v>39</v>
      </c>
      <c r="R47" s="230" t="s">
        <v>392</v>
      </c>
      <c r="S47" s="84">
        <v>46251</v>
      </c>
      <c r="T47" s="16">
        <v>0.56299999999999994</v>
      </c>
      <c r="U47" s="230"/>
      <c r="V47" s="230"/>
      <c r="AD47" s="16">
        <v>47</v>
      </c>
      <c r="AE47" s="6">
        <v>0.53800000000000003</v>
      </c>
      <c r="AG47" s="443">
        <v>7</v>
      </c>
      <c r="AH47" s="38">
        <v>0.81</v>
      </c>
      <c r="AJ47" s="1">
        <v>7</v>
      </c>
      <c r="AK47" s="194">
        <v>1.6</v>
      </c>
      <c r="AL47" s="444"/>
    </row>
    <row r="48" spans="2:38" x14ac:dyDescent="0.3">
      <c r="J48" s="436"/>
      <c r="Q48" s="230">
        <v>40</v>
      </c>
      <c r="R48" s="230" t="s">
        <v>393</v>
      </c>
      <c r="S48" s="84">
        <v>46251</v>
      </c>
      <c r="T48" s="16">
        <v>0.438</v>
      </c>
      <c r="U48" s="230"/>
      <c r="V48" s="230"/>
      <c r="AD48" s="16">
        <v>48</v>
      </c>
      <c r="AE48" s="16">
        <v>0.54600000000000004</v>
      </c>
      <c r="AG48" s="443">
        <v>8</v>
      </c>
      <c r="AH48" s="38">
        <v>0.81</v>
      </c>
      <c r="AJ48" s="1">
        <v>8</v>
      </c>
      <c r="AK48" s="194">
        <v>1.6</v>
      </c>
      <c r="AL48" s="444"/>
    </row>
    <row r="49" spans="7:38" x14ac:dyDescent="0.3">
      <c r="Q49" s="230">
        <v>41</v>
      </c>
      <c r="R49" s="230" t="s">
        <v>394</v>
      </c>
      <c r="S49" s="84">
        <v>46251</v>
      </c>
      <c r="T49" s="16">
        <v>0.45800000000000002</v>
      </c>
      <c r="U49" s="230"/>
      <c r="V49" s="230"/>
      <c r="AD49" s="16">
        <v>49</v>
      </c>
      <c r="AE49" s="16">
        <v>0.55500000000000005</v>
      </c>
      <c r="AG49" s="443">
        <v>9</v>
      </c>
      <c r="AH49" s="38">
        <v>0.81</v>
      </c>
      <c r="AJ49" s="1">
        <v>9</v>
      </c>
      <c r="AK49" s="194">
        <v>1.6</v>
      </c>
      <c r="AL49" s="444"/>
    </row>
    <row r="50" spans="7:38" x14ac:dyDescent="0.3">
      <c r="G50" s="16">
        <v>41</v>
      </c>
      <c r="J50" s="436"/>
      <c r="Q50" s="230">
        <v>42</v>
      </c>
      <c r="R50" s="230" t="s">
        <v>395</v>
      </c>
      <c r="S50" s="84">
        <v>46252</v>
      </c>
      <c r="T50" s="16">
        <v>0.55800000000000005</v>
      </c>
      <c r="U50" s="230"/>
      <c r="V50" s="230"/>
      <c r="AD50" s="16">
        <v>50</v>
      </c>
      <c r="AE50" s="16">
        <v>0.55600000000000005</v>
      </c>
      <c r="AG50" s="443">
        <v>10</v>
      </c>
      <c r="AH50" s="38">
        <v>0.81</v>
      </c>
      <c r="AJ50" s="1">
        <v>10</v>
      </c>
      <c r="AK50" s="194">
        <v>1.6</v>
      </c>
      <c r="AL50" s="444"/>
    </row>
    <row r="51" spans="7:38" x14ac:dyDescent="0.3">
      <c r="G51" s="16">
        <v>16</v>
      </c>
      <c r="Q51" s="230">
        <v>43</v>
      </c>
      <c r="R51" s="230" t="s">
        <v>396</v>
      </c>
      <c r="S51" s="84">
        <v>46252</v>
      </c>
      <c r="T51" s="16">
        <v>0.501</v>
      </c>
      <c r="U51" s="230"/>
      <c r="V51" s="230"/>
      <c r="AD51" s="16">
        <v>51</v>
      </c>
      <c r="AE51" s="16">
        <v>0.55800000000000005</v>
      </c>
      <c r="AG51" s="443">
        <v>11</v>
      </c>
      <c r="AH51" s="38">
        <v>0.81</v>
      </c>
      <c r="AJ51" s="1">
        <v>11</v>
      </c>
      <c r="AK51" s="194">
        <v>1.6</v>
      </c>
      <c r="AL51" s="444"/>
    </row>
    <row r="52" spans="7:38" x14ac:dyDescent="0.3">
      <c r="G52" s="16">
        <v>93</v>
      </c>
      <c r="I52" s="436"/>
      <c r="Q52" s="230">
        <v>44</v>
      </c>
      <c r="R52" s="230" t="s">
        <v>397</v>
      </c>
      <c r="S52" s="84">
        <v>46252</v>
      </c>
      <c r="T52" s="16">
        <v>1.25</v>
      </c>
      <c r="U52" s="230"/>
      <c r="V52" s="230"/>
      <c r="AD52" s="16">
        <v>52</v>
      </c>
      <c r="AE52" s="16">
        <v>0.55800000000000005</v>
      </c>
      <c r="AG52" s="443">
        <v>12</v>
      </c>
      <c r="AH52" s="38">
        <v>0.81</v>
      </c>
      <c r="AJ52" s="1">
        <v>12</v>
      </c>
      <c r="AK52" s="194">
        <v>1.6</v>
      </c>
      <c r="AL52" s="444"/>
    </row>
    <row r="53" spans="7:38" x14ac:dyDescent="0.3">
      <c r="G53" s="16">
        <v>40</v>
      </c>
      <c r="H53" s="430">
        <f>1800+1000</f>
        <v>2800</v>
      </c>
      <c r="Q53" s="230">
        <v>45</v>
      </c>
      <c r="R53" s="230" t="s">
        <v>401</v>
      </c>
      <c r="S53" s="332">
        <v>46253</v>
      </c>
      <c r="T53" s="230">
        <v>0.35099999999999998</v>
      </c>
      <c r="U53" s="230"/>
      <c r="V53" s="230"/>
      <c r="AD53" s="16">
        <v>53</v>
      </c>
      <c r="AE53" s="16">
        <v>0.56200000000000006</v>
      </c>
      <c r="AG53" s="443">
        <v>13</v>
      </c>
      <c r="AH53" s="38">
        <v>0.81</v>
      </c>
      <c r="AJ53" s="1">
        <v>13</v>
      </c>
      <c r="AK53" s="194">
        <v>1.6</v>
      </c>
      <c r="AL53" s="444"/>
    </row>
    <row r="54" spans="7:38" x14ac:dyDescent="0.3">
      <c r="G54" s="16">
        <v>13</v>
      </c>
      <c r="Q54" s="230">
        <v>46</v>
      </c>
      <c r="R54" s="230" t="s">
        <v>402</v>
      </c>
      <c r="S54" s="332">
        <v>46253</v>
      </c>
      <c r="T54" s="230">
        <v>2.028</v>
      </c>
      <c r="U54" s="230"/>
      <c r="V54" s="230"/>
      <c r="AD54" s="16">
        <v>54</v>
      </c>
      <c r="AE54" s="16">
        <v>0.56299999999999994</v>
      </c>
      <c r="AG54" s="443">
        <v>14</v>
      </c>
      <c r="AH54" s="38">
        <v>0.81</v>
      </c>
      <c r="AJ54" s="1">
        <v>14</v>
      </c>
      <c r="AK54" s="194">
        <v>1.6</v>
      </c>
      <c r="AL54" s="444"/>
    </row>
    <row r="55" spans="7:38" x14ac:dyDescent="0.3">
      <c r="G55" s="16">
        <v>190</v>
      </c>
      <c r="Q55" s="230">
        <v>47</v>
      </c>
      <c r="R55" s="230" t="s">
        <v>403</v>
      </c>
      <c r="S55" s="332">
        <v>46253</v>
      </c>
      <c r="T55" s="230">
        <v>1.8380000000000001</v>
      </c>
      <c r="U55" s="230"/>
      <c r="V55" s="230"/>
      <c r="AD55" s="16">
        <v>55</v>
      </c>
      <c r="AE55" s="16">
        <v>0.57399999999999995</v>
      </c>
      <c r="AG55" s="443">
        <v>15</v>
      </c>
      <c r="AH55" s="38">
        <v>0.81</v>
      </c>
      <c r="AJ55" s="1">
        <v>15</v>
      </c>
      <c r="AK55" s="194">
        <v>1.6</v>
      </c>
      <c r="AL55" s="444"/>
    </row>
    <row r="56" spans="7:38" x14ac:dyDescent="0.3">
      <c r="G56" s="16">
        <v>220</v>
      </c>
      <c r="Q56" s="230">
        <v>48</v>
      </c>
      <c r="R56" s="230" t="s">
        <v>404</v>
      </c>
      <c r="S56" s="332">
        <v>46253</v>
      </c>
      <c r="T56" s="230">
        <v>1.3220000000000001</v>
      </c>
      <c r="U56" s="230"/>
      <c r="V56" s="230"/>
      <c r="AD56" s="16">
        <v>56</v>
      </c>
      <c r="AE56" s="16">
        <v>0.57599999999999996</v>
      </c>
      <c r="AG56" s="443">
        <v>16</v>
      </c>
      <c r="AH56" s="38">
        <v>0.81</v>
      </c>
      <c r="AJ56" s="1">
        <v>16</v>
      </c>
      <c r="AK56" s="194">
        <v>1.6</v>
      </c>
      <c r="AL56" s="444"/>
    </row>
    <row r="57" spans="7:38" x14ac:dyDescent="0.3">
      <c r="Q57" s="230">
        <v>49</v>
      </c>
      <c r="R57" s="230" t="s">
        <v>405</v>
      </c>
      <c r="S57" s="332">
        <v>46253</v>
      </c>
      <c r="T57" s="230">
        <v>0.65100000000000002</v>
      </c>
      <c r="U57" s="230"/>
      <c r="V57" s="230"/>
      <c r="AD57" s="16">
        <v>57</v>
      </c>
      <c r="AE57" s="16">
        <v>0.57599999999999996</v>
      </c>
      <c r="AG57" s="443">
        <v>17</v>
      </c>
      <c r="AH57" s="38">
        <v>0.81</v>
      </c>
      <c r="AJ57" s="1">
        <v>17</v>
      </c>
      <c r="AK57" s="194">
        <v>1.6</v>
      </c>
      <c r="AL57" s="444"/>
    </row>
    <row r="58" spans="7:38" x14ac:dyDescent="0.3">
      <c r="Q58" s="230">
        <v>50</v>
      </c>
      <c r="R58" s="230" t="s">
        <v>406</v>
      </c>
      <c r="S58" s="332">
        <v>46253</v>
      </c>
      <c r="T58" s="230">
        <v>0.50600000000000001</v>
      </c>
      <c r="U58" s="230"/>
      <c r="V58" s="230"/>
      <c r="AD58" s="16">
        <v>58</v>
      </c>
      <c r="AE58" s="16">
        <v>0.60399999999999998</v>
      </c>
      <c r="AG58" s="443">
        <v>18</v>
      </c>
      <c r="AH58" s="38">
        <v>0.81</v>
      </c>
      <c r="AJ58" s="1">
        <v>18</v>
      </c>
      <c r="AK58" s="194">
        <v>1.6</v>
      </c>
      <c r="AL58" s="444"/>
    </row>
    <row r="59" spans="7:38" x14ac:dyDescent="0.3">
      <c r="Q59" s="230">
        <v>51</v>
      </c>
      <c r="R59" s="230" t="s">
        <v>407</v>
      </c>
      <c r="S59" s="332">
        <v>46253</v>
      </c>
      <c r="T59" s="230">
        <v>0.67300000000000004</v>
      </c>
      <c r="U59" s="230"/>
      <c r="V59" s="230"/>
      <c r="AD59" s="16">
        <v>59</v>
      </c>
      <c r="AE59" s="16">
        <v>0.60399999999999998</v>
      </c>
      <c r="AG59" s="443">
        <v>19</v>
      </c>
      <c r="AH59" s="38">
        <v>0.81</v>
      </c>
      <c r="AJ59" s="1">
        <v>19</v>
      </c>
      <c r="AK59" s="194">
        <v>1.6</v>
      </c>
      <c r="AL59" s="444"/>
    </row>
    <row r="60" spans="7:38" x14ac:dyDescent="0.3">
      <c r="Q60" s="230">
        <v>52</v>
      </c>
      <c r="R60" s="230" t="s">
        <v>408</v>
      </c>
      <c r="S60" s="332">
        <v>46253</v>
      </c>
      <c r="T60" s="230">
        <v>0.66200000000000003</v>
      </c>
      <c r="U60" s="230"/>
      <c r="V60" s="230"/>
      <c r="AD60" s="16">
        <v>60</v>
      </c>
      <c r="AE60" s="6">
        <v>0.61099999999999999</v>
      </c>
      <c r="AG60" s="443">
        <v>20</v>
      </c>
      <c r="AH60" s="38">
        <v>0.81</v>
      </c>
      <c r="AJ60" s="1">
        <v>20</v>
      </c>
      <c r="AK60" s="194">
        <v>1.6</v>
      </c>
      <c r="AL60" s="444"/>
    </row>
    <row r="61" spans="7:38" x14ac:dyDescent="0.3">
      <c r="Q61" s="230">
        <v>53</v>
      </c>
      <c r="R61" s="230" t="s">
        <v>409</v>
      </c>
      <c r="S61" s="332">
        <v>46253</v>
      </c>
      <c r="T61" s="230">
        <v>0.55500000000000005</v>
      </c>
      <c r="U61" s="230"/>
      <c r="V61" s="230"/>
      <c r="AD61" s="16">
        <v>61</v>
      </c>
      <c r="AE61" s="6">
        <v>0.61299999999999999</v>
      </c>
      <c r="AG61" s="443">
        <v>21</v>
      </c>
      <c r="AH61" s="38">
        <v>0.81</v>
      </c>
      <c r="AJ61" s="1">
        <v>21</v>
      </c>
      <c r="AK61" s="194">
        <v>1.6</v>
      </c>
      <c r="AL61" s="444"/>
    </row>
    <row r="62" spans="7:38" x14ac:dyDescent="0.3">
      <c r="Q62" s="230">
        <v>54</v>
      </c>
      <c r="R62" s="230" t="s">
        <v>410</v>
      </c>
      <c r="S62" s="332">
        <v>46253</v>
      </c>
      <c r="T62" s="230">
        <v>0.81299999999999994</v>
      </c>
      <c r="U62" s="230"/>
      <c r="V62" s="230"/>
      <c r="AD62" s="16">
        <v>62</v>
      </c>
      <c r="AE62" s="6">
        <v>0.61299999999999999</v>
      </c>
      <c r="AG62" s="443">
        <v>22</v>
      </c>
      <c r="AH62" s="38">
        <v>0.81</v>
      </c>
      <c r="AJ62" s="1">
        <v>22</v>
      </c>
      <c r="AK62" s="194">
        <v>1.6</v>
      </c>
      <c r="AL62" s="444"/>
    </row>
    <row r="63" spans="7:38" x14ac:dyDescent="0.3">
      <c r="Q63" s="230">
        <v>55</v>
      </c>
      <c r="R63" s="230" t="s">
        <v>411</v>
      </c>
      <c r="S63" s="332">
        <v>46253</v>
      </c>
      <c r="T63" s="230">
        <v>1.147</v>
      </c>
      <c r="U63" s="230"/>
      <c r="V63" s="230"/>
      <c r="AD63" s="16">
        <v>63</v>
      </c>
      <c r="AE63" s="16">
        <v>0.61599999999999999</v>
      </c>
      <c r="AG63" s="443">
        <v>23</v>
      </c>
      <c r="AH63" s="38">
        <v>0.81</v>
      </c>
      <c r="AJ63" s="1">
        <v>23</v>
      </c>
      <c r="AK63" s="194">
        <v>1.6</v>
      </c>
      <c r="AL63" s="444"/>
    </row>
    <row r="64" spans="7:38" x14ac:dyDescent="0.3">
      <c r="Q64" s="230">
        <v>56</v>
      </c>
      <c r="R64" s="230" t="s">
        <v>412</v>
      </c>
      <c r="S64" s="332">
        <v>46253</v>
      </c>
      <c r="T64" s="230">
        <v>1.9410000000000001</v>
      </c>
      <c r="U64" s="230"/>
      <c r="V64" s="230"/>
      <c r="AD64" s="16">
        <v>64</v>
      </c>
      <c r="AE64" s="16">
        <v>0.63200000000000001</v>
      </c>
      <c r="AG64" s="443">
        <v>24</v>
      </c>
      <c r="AH64" s="38">
        <v>0.81</v>
      </c>
      <c r="AJ64" s="1">
        <v>24</v>
      </c>
      <c r="AK64" s="194">
        <v>1.6</v>
      </c>
      <c r="AL64" s="444"/>
    </row>
    <row r="65" spans="17:38" x14ac:dyDescent="0.3">
      <c r="Q65" s="230">
        <v>57</v>
      </c>
      <c r="R65" s="230" t="s">
        <v>413</v>
      </c>
      <c r="S65" s="332">
        <v>46253</v>
      </c>
      <c r="T65" s="230">
        <v>0.48899999999999999</v>
      </c>
      <c r="U65" s="230"/>
      <c r="V65" s="230"/>
      <c r="AD65" s="16">
        <v>65</v>
      </c>
      <c r="AE65" s="16">
        <v>0.63500000000000001</v>
      </c>
      <c r="AG65" s="443">
        <v>25</v>
      </c>
      <c r="AH65" s="38">
        <v>0.81</v>
      </c>
      <c r="AJ65" s="1">
        <v>25</v>
      </c>
      <c r="AK65" s="194">
        <v>1.6</v>
      </c>
      <c r="AL65" s="444"/>
    </row>
    <row r="66" spans="17:38" x14ac:dyDescent="0.3">
      <c r="Q66" s="230">
        <v>58</v>
      </c>
      <c r="R66" s="230" t="s">
        <v>414</v>
      </c>
      <c r="S66" s="332">
        <v>46253</v>
      </c>
      <c r="T66" s="230">
        <v>0.55600000000000005</v>
      </c>
      <c r="U66" s="230"/>
      <c r="V66" s="230"/>
      <c r="AD66" s="16">
        <v>66</v>
      </c>
      <c r="AE66" s="16">
        <v>0.65100000000000002</v>
      </c>
      <c r="AG66" s="443">
        <v>26</v>
      </c>
      <c r="AH66" s="38">
        <v>0.81</v>
      </c>
      <c r="AJ66" s="1">
        <v>26</v>
      </c>
      <c r="AK66" s="194">
        <v>1.6</v>
      </c>
      <c r="AL66" s="444"/>
    </row>
    <row r="67" spans="17:38" x14ac:dyDescent="0.3">
      <c r="Q67" s="230">
        <v>59</v>
      </c>
      <c r="R67" s="230" t="s">
        <v>415</v>
      </c>
      <c r="S67" s="332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43">
        <v>27</v>
      </c>
      <c r="AH67" s="38">
        <v>0.81</v>
      </c>
      <c r="AJ67" s="1">
        <v>27</v>
      </c>
      <c r="AK67" s="194">
        <v>1.6</v>
      </c>
      <c r="AL67" s="444"/>
    </row>
    <row r="68" spans="17:38" x14ac:dyDescent="0.3">
      <c r="Q68" s="230">
        <v>60</v>
      </c>
      <c r="R68" s="230" t="s">
        <v>395</v>
      </c>
      <c r="S68" s="332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43">
        <v>28</v>
      </c>
      <c r="AH68" s="38">
        <v>0.81</v>
      </c>
      <c r="AJ68" s="1">
        <v>28</v>
      </c>
      <c r="AK68" s="194">
        <v>1.6</v>
      </c>
      <c r="AL68" s="444"/>
    </row>
    <row r="69" spans="17:38" x14ac:dyDescent="0.3">
      <c r="Q69" s="230">
        <v>61</v>
      </c>
      <c r="R69" s="230" t="s">
        <v>396</v>
      </c>
      <c r="S69" s="332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43">
        <v>29</v>
      </c>
      <c r="AH69" s="38">
        <v>0.81</v>
      </c>
      <c r="AJ69" s="1">
        <v>29</v>
      </c>
      <c r="AK69" s="194">
        <v>1.6</v>
      </c>
      <c r="AL69" s="444"/>
    </row>
    <row r="70" spans="17:38" x14ac:dyDescent="0.3">
      <c r="Q70" s="230">
        <v>62</v>
      </c>
      <c r="R70" s="230" t="s">
        <v>397</v>
      </c>
      <c r="S70" s="332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43">
        <v>30</v>
      </c>
      <c r="AH70" s="38">
        <v>0.81</v>
      </c>
      <c r="AJ70" s="1">
        <v>30</v>
      </c>
      <c r="AK70" s="194">
        <v>1.6</v>
      </c>
      <c r="AL70" s="444"/>
    </row>
    <row r="71" spans="17:38" x14ac:dyDescent="0.3">
      <c r="Q71" s="230">
        <v>63</v>
      </c>
      <c r="R71" s="230" t="s">
        <v>416</v>
      </c>
      <c r="S71" s="332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43">
        <v>31</v>
      </c>
      <c r="AH71" s="38">
        <v>0.81</v>
      </c>
      <c r="AJ71" s="1">
        <v>31</v>
      </c>
      <c r="AK71" s="194">
        <v>1.6</v>
      </c>
      <c r="AL71" s="444"/>
    </row>
    <row r="72" spans="17:38" x14ac:dyDescent="0.3">
      <c r="Q72" s="230">
        <v>64</v>
      </c>
      <c r="R72" s="230" t="s">
        <v>417</v>
      </c>
      <c r="S72" s="332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43">
        <v>32</v>
      </c>
      <c r="AH72" s="38">
        <v>0.81</v>
      </c>
      <c r="AJ72" s="1">
        <v>32</v>
      </c>
      <c r="AK72" s="194">
        <v>1.6</v>
      </c>
      <c r="AL72" s="444"/>
    </row>
    <row r="73" spans="17:38" x14ac:dyDescent="0.3">
      <c r="Q73" s="230">
        <v>65</v>
      </c>
      <c r="R73" s="230" t="s">
        <v>401</v>
      </c>
      <c r="S73" s="332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43">
        <v>33</v>
      </c>
      <c r="AH73" s="38">
        <v>0.81</v>
      </c>
      <c r="AJ73" s="1">
        <v>33</v>
      </c>
      <c r="AK73" s="194">
        <v>1.6</v>
      </c>
      <c r="AL73" s="444"/>
    </row>
    <row r="74" spans="17:38" x14ac:dyDescent="0.3">
      <c r="Q74" s="230">
        <v>66</v>
      </c>
      <c r="R74" s="230" t="s">
        <v>403</v>
      </c>
      <c r="S74" s="332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43">
        <v>34</v>
      </c>
      <c r="AH74" s="38">
        <v>0.81</v>
      </c>
      <c r="AJ74" s="1">
        <v>34</v>
      </c>
      <c r="AK74" s="194">
        <v>1.6</v>
      </c>
      <c r="AL74" s="444"/>
    </row>
    <row r="75" spans="17:38" x14ac:dyDescent="0.3">
      <c r="Q75" s="230">
        <v>67</v>
      </c>
      <c r="R75" s="230" t="s">
        <v>405</v>
      </c>
      <c r="S75" s="332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43">
        <v>35</v>
      </c>
      <c r="AH75" s="38">
        <v>0.81</v>
      </c>
      <c r="AJ75" s="1">
        <v>35</v>
      </c>
      <c r="AK75" s="194">
        <v>1.6</v>
      </c>
      <c r="AL75" s="444"/>
    </row>
    <row r="76" spans="17:38" x14ac:dyDescent="0.3">
      <c r="Q76" s="230">
        <v>68</v>
      </c>
      <c r="R76" s="230" t="s">
        <v>407</v>
      </c>
      <c r="S76" s="332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43">
        <v>36</v>
      </c>
      <c r="AH76" s="38">
        <v>0.81</v>
      </c>
      <c r="AJ76" s="1">
        <v>36</v>
      </c>
      <c r="AK76" s="194">
        <v>1.6</v>
      </c>
      <c r="AL76" s="444"/>
    </row>
    <row r="77" spans="17:38" x14ac:dyDescent="0.3">
      <c r="Q77" s="230">
        <v>69</v>
      </c>
      <c r="R77" s="230" t="s">
        <v>409</v>
      </c>
      <c r="S77" s="332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43">
        <v>37</v>
      </c>
      <c r="AH77" s="38">
        <v>0.81</v>
      </c>
      <c r="AJ77" s="1">
        <v>37</v>
      </c>
      <c r="AK77" s="194">
        <v>1.6</v>
      </c>
      <c r="AL77" s="444"/>
    </row>
    <row r="78" spans="17:38" x14ac:dyDescent="0.3">
      <c r="Q78" s="230">
        <v>70</v>
      </c>
      <c r="R78" s="230" t="s">
        <v>411</v>
      </c>
      <c r="S78" s="332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43">
        <v>38</v>
      </c>
      <c r="AH78" s="38">
        <v>0.81</v>
      </c>
      <c r="AJ78" s="1">
        <v>38</v>
      </c>
      <c r="AK78" s="194">
        <v>1.6</v>
      </c>
      <c r="AL78" s="444"/>
    </row>
    <row r="79" spans="17:38" x14ac:dyDescent="0.3">
      <c r="Q79" s="230">
        <v>71</v>
      </c>
      <c r="R79" s="230" t="s">
        <v>413</v>
      </c>
      <c r="S79" s="332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43">
        <v>39</v>
      </c>
      <c r="AH79" s="38">
        <v>0.81</v>
      </c>
      <c r="AJ79" s="1">
        <v>39</v>
      </c>
      <c r="AK79" s="194">
        <v>1.6</v>
      </c>
      <c r="AL79" s="444"/>
    </row>
    <row r="80" spans="17:38" x14ac:dyDescent="0.3">
      <c r="Q80" s="230">
        <v>72</v>
      </c>
      <c r="R80" s="230" t="s">
        <v>415</v>
      </c>
      <c r="S80" s="332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43">
        <v>40</v>
      </c>
      <c r="AH80" s="38">
        <v>0.81</v>
      </c>
      <c r="AJ80" s="1">
        <v>40</v>
      </c>
      <c r="AK80" s="194">
        <v>1.6</v>
      </c>
      <c r="AL80" s="444"/>
    </row>
    <row r="81" spans="17:38" x14ac:dyDescent="0.3">
      <c r="Q81" s="230">
        <v>73</v>
      </c>
      <c r="R81" s="230" t="s">
        <v>396</v>
      </c>
      <c r="S81" s="332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43">
        <v>41</v>
      </c>
      <c r="AH81" s="38">
        <v>0.81</v>
      </c>
      <c r="AJ81" s="1">
        <v>41</v>
      </c>
      <c r="AK81" s="194">
        <v>1.6</v>
      </c>
      <c r="AL81" s="444"/>
    </row>
    <row r="82" spans="17:38" x14ac:dyDescent="0.3">
      <c r="Q82" s="230">
        <v>74</v>
      </c>
      <c r="R82" s="230" t="s">
        <v>416</v>
      </c>
      <c r="S82" s="332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43">
        <v>42</v>
      </c>
      <c r="AH82" s="38">
        <v>0.81</v>
      </c>
      <c r="AJ82" s="1">
        <v>42</v>
      </c>
      <c r="AK82" s="194">
        <v>1.6</v>
      </c>
      <c r="AL82" s="444"/>
    </row>
    <row r="83" spans="17:38" x14ac:dyDescent="0.3">
      <c r="Q83" s="230">
        <v>75</v>
      </c>
      <c r="R83" s="230" t="s">
        <v>418</v>
      </c>
      <c r="S83" s="332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43">
        <v>43</v>
      </c>
      <c r="AH83" s="38">
        <v>0.81</v>
      </c>
      <c r="AJ83" s="1">
        <v>43</v>
      </c>
      <c r="AK83" s="194">
        <v>1.6</v>
      </c>
      <c r="AL83" s="444"/>
    </row>
    <row r="84" spans="17:38" x14ac:dyDescent="0.3">
      <c r="Q84" s="230">
        <v>76</v>
      </c>
      <c r="R84" s="230" t="s">
        <v>401</v>
      </c>
      <c r="S84" s="332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43">
        <v>44</v>
      </c>
      <c r="AH84" s="38">
        <v>0.81</v>
      </c>
      <c r="AJ84" s="1">
        <v>44</v>
      </c>
      <c r="AK84" s="194">
        <v>1.6</v>
      </c>
      <c r="AL84" s="444"/>
    </row>
    <row r="85" spans="17:38" x14ac:dyDescent="0.3">
      <c r="Q85" s="230">
        <v>77</v>
      </c>
      <c r="R85" s="230" t="s">
        <v>403</v>
      </c>
      <c r="S85" s="332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43">
        <v>45</v>
      </c>
      <c r="AH85" s="38">
        <v>0.81</v>
      </c>
      <c r="AJ85" s="1">
        <v>45</v>
      </c>
      <c r="AK85" s="194">
        <v>1.6</v>
      </c>
      <c r="AL85" s="444"/>
    </row>
    <row r="86" spans="17:38" x14ac:dyDescent="0.3">
      <c r="Q86" s="230">
        <v>78</v>
      </c>
      <c r="R86" s="230" t="s">
        <v>405</v>
      </c>
      <c r="S86" s="332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43">
        <v>46</v>
      </c>
      <c r="AH86" s="38">
        <v>0.81</v>
      </c>
      <c r="AJ86" s="1">
        <v>46</v>
      </c>
      <c r="AK86" s="194">
        <v>1.6</v>
      </c>
      <c r="AL86" s="444"/>
    </row>
    <row r="87" spans="17:38" x14ac:dyDescent="0.3">
      <c r="Q87" s="230">
        <v>79</v>
      </c>
      <c r="R87" s="230" t="s">
        <v>407</v>
      </c>
      <c r="S87" s="332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43">
        <v>47</v>
      </c>
      <c r="AH87" s="38">
        <v>0.81</v>
      </c>
      <c r="AJ87" s="1">
        <v>47</v>
      </c>
      <c r="AK87" s="194">
        <v>1.6</v>
      </c>
      <c r="AL87" s="444"/>
    </row>
    <row r="88" spans="17:38" x14ac:dyDescent="0.3">
      <c r="Q88" s="230">
        <v>80</v>
      </c>
      <c r="R88" s="230" t="s">
        <v>409</v>
      </c>
      <c r="S88" s="332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43">
        <v>48</v>
      </c>
      <c r="AH88" s="38">
        <v>0.81</v>
      </c>
      <c r="AJ88" s="1">
        <v>48</v>
      </c>
      <c r="AK88" s="194">
        <v>1.6</v>
      </c>
      <c r="AL88" s="444"/>
    </row>
    <row r="89" spans="17:38" x14ac:dyDescent="0.3">
      <c r="Q89" s="230">
        <v>81</v>
      </c>
      <c r="R89" s="230" t="s">
        <v>411</v>
      </c>
      <c r="S89" s="332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43">
        <v>49</v>
      </c>
      <c r="AH89" s="38">
        <v>0.81</v>
      </c>
      <c r="AJ89" s="1">
        <v>49</v>
      </c>
      <c r="AK89" s="194">
        <v>1.6</v>
      </c>
      <c r="AL89" s="444"/>
    </row>
    <row r="90" spans="17:38" x14ac:dyDescent="0.3">
      <c r="Q90" s="230">
        <v>82</v>
      </c>
      <c r="R90" s="230" t="s">
        <v>413</v>
      </c>
      <c r="S90" s="332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43">
        <v>50</v>
      </c>
      <c r="AH90" s="38">
        <v>0.81</v>
      </c>
      <c r="AJ90" s="1">
        <v>50</v>
      </c>
      <c r="AK90" s="194">
        <v>1.6</v>
      </c>
      <c r="AL90" s="444"/>
    </row>
    <row r="91" spans="17:38" x14ac:dyDescent="0.3">
      <c r="Q91" s="230">
        <v>83</v>
      </c>
      <c r="R91" s="230" t="s">
        <v>415</v>
      </c>
      <c r="S91" s="332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43">
        <v>51</v>
      </c>
      <c r="AH91" s="38">
        <v>0.81</v>
      </c>
      <c r="AJ91" s="1">
        <v>51</v>
      </c>
      <c r="AK91" s="194">
        <v>1.6</v>
      </c>
      <c r="AL91" s="444"/>
    </row>
    <row r="92" spans="17:38" x14ac:dyDescent="0.3">
      <c r="Q92" s="230">
        <v>84</v>
      </c>
      <c r="R92" s="230" t="s">
        <v>396</v>
      </c>
      <c r="S92" s="332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43">
        <v>52</v>
      </c>
      <c r="AH92" s="38">
        <v>0.81</v>
      </c>
      <c r="AJ92" s="1">
        <v>52</v>
      </c>
      <c r="AK92" s="194">
        <v>1.6</v>
      </c>
      <c r="AL92" s="444"/>
    </row>
    <row r="93" spans="17:38" x14ac:dyDescent="0.3">
      <c r="Q93" s="230">
        <v>85</v>
      </c>
      <c r="R93" s="230" t="s">
        <v>403</v>
      </c>
      <c r="S93" s="332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43">
        <v>53</v>
      </c>
      <c r="AH93" s="38">
        <v>0.81</v>
      </c>
      <c r="AJ93" s="1">
        <v>53</v>
      </c>
      <c r="AK93" s="194">
        <v>1.6</v>
      </c>
      <c r="AL93" s="444"/>
    </row>
    <row r="94" spans="17:38" x14ac:dyDescent="0.3">
      <c r="Q94" s="230">
        <v>86</v>
      </c>
      <c r="R94" s="230" t="s">
        <v>405</v>
      </c>
      <c r="S94" s="332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43">
        <v>54</v>
      </c>
      <c r="AH94" s="38">
        <v>0.81</v>
      </c>
      <c r="AJ94" s="1">
        <v>54</v>
      </c>
      <c r="AK94" s="194">
        <v>1.6</v>
      </c>
      <c r="AL94" s="444"/>
    </row>
    <row r="95" spans="17:38" x14ac:dyDescent="0.3">
      <c r="Q95" s="230">
        <v>87</v>
      </c>
      <c r="R95" s="230" t="s">
        <v>407</v>
      </c>
      <c r="S95" s="332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43">
        <v>55</v>
      </c>
      <c r="AH95" s="38">
        <v>0.81</v>
      </c>
      <c r="AJ95" s="1">
        <v>55</v>
      </c>
      <c r="AK95" s="194">
        <v>1.6</v>
      </c>
      <c r="AL95" s="444"/>
    </row>
    <row r="96" spans="17:38" x14ac:dyDescent="0.3">
      <c r="Q96" s="230">
        <v>88</v>
      </c>
      <c r="R96" s="230" t="s">
        <v>409</v>
      </c>
      <c r="S96" s="332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43">
        <v>56</v>
      </c>
      <c r="AH96" s="38">
        <v>0.81</v>
      </c>
      <c r="AJ96" s="1">
        <v>56</v>
      </c>
      <c r="AK96" s="194">
        <v>1.6</v>
      </c>
      <c r="AL96" s="444"/>
    </row>
    <row r="97" spans="2:38" x14ac:dyDescent="0.3">
      <c r="Q97" s="230">
        <v>89</v>
      </c>
      <c r="R97" s="230" t="s">
        <v>411</v>
      </c>
      <c r="S97" s="332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43">
        <v>57</v>
      </c>
      <c r="AH97" s="38">
        <v>0.81</v>
      </c>
      <c r="AJ97" s="1">
        <v>57</v>
      </c>
      <c r="AK97" s="194">
        <v>1.6</v>
      </c>
      <c r="AL97" s="444"/>
    </row>
    <row r="98" spans="2:38" x14ac:dyDescent="0.3">
      <c r="Q98" s="230">
        <v>90</v>
      </c>
      <c r="R98" s="230" t="s">
        <v>413</v>
      </c>
      <c r="S98" s="332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43">
        <v>58</v>
      </c>
      <c r="AH98" s="38">
        <v>0.81</v>
      </c>
      <c r="AJ98" s="1">
        <v>58</v>
      </c>
      <c r="AK98" s="194">
        <v>1.6</v>
      </c>
      <c r="AL98" s="444"/>
    </row>
    <row r="99" spans="2:38" x14ac:dyDescent="0.3">
      <c r="Q99" s="230">
        <v>91</v>
      </c>
      <c r="R99" s="230" t="s">
        <v>415</v>
      </c>
      <c r="S99" s="332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43">
        <v>59</v>
      </c>
      <c r="AH99" s="38">
        <v>0.81</v>
      </c>
      <c r="AJ99" s="1">
        <v>59</v>
      </c>
      <c r="AK99" s="194">
        <v>1.6</v>
      </c>
      <c r="AL99" s="444"/>
    </row>
    <row r="100" spans="2:38" x14ac:dyDescent="0.3">
      <c r="Q100" s="230">
        <v>92</v>
      </c>
      <c r="R100" s="230" t="s">
        <v>396</v>
      </c>
      <c r="S100" s="332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43">
        <v>60</v>
      </c>
      <c r="AH100" s="38">
        <v>0.81</v>
      </c>
      <c r="AJ100" s="1">
        <v>60</v>
      </c>
      <c r="AK100" s="194">
        <v>1.6</v>
      </c>
      <c r="AL100" s="444"/>
    </row>
    <row r="101" spans="2:38" x14ac:dyDescent="0.3">
      <c r="Q101" s="230">
        <v>93</v>
      </c>
      <c r="R101" s="230" t="s">
        <v>416</v>
      </c>
      <c r="S101" s="332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43">
        <v>61</v>
      </c>
      <c r="AH101" s="38">
        <v>0.81</v>
      </c>
      <c r="AJ101" s="1">
        <v>61</v>
      </c>
      <c r="AK101" s="194">
        <v>1.6</v>
      </c>
      <c r="AL101" s="444"/>
    </row>
    <row r="102" spans="2:38" x14ac:dyDescent="0.3">
      <c r="Q102" s="230">
        <v>94</v>
      </c>
      <c r="R102" s="230" t="s">
        <v>401</v>
      </c>
      <c r="S102" s="332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43">
        <v>62</v>
      </c>
      <c r="AH102" s="38">
        <v>0.81</v>
      </c>
      <c r="AJ102" s="1">
        <v>62</v>
      </c>
      <c r="AK102" s="194">
        <v>1.6</v>
      </c>
      <c r="AL102" s="444"/>
    </row>
    <row r="103" spans="2:38" x14ac:dyDescent="0.3">
      <c r="Q103" s="230">
        <v>95</v>
      </c>
      <c r="R103" s="230" t="s">
        <v>403</v>
      </c>
      <c r="S103" s="332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43">
        <v>63</v>
      </c>
      <c r="AH103" s="38">
        <v>0.81</v>
      </c>
      <c r="AJ103" s="1">
        <v>63</v>
      </c>
      <c r="AK103" s="194">
        <v>1.6</v>
      </c>
      <c r="AL103" s="444"/>
    </row>
    <row r="104" spans="2:38" x14ac:dyDescent="0.3">
      <c r="Q104" s="230">
        <v>96</v>
      </c>
      <c r="R104" s="230" t="s">
        <v>405</v>
      </c>
      <c r="S104" s="332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43">
        <v>64</v>
      </c>
      <c r="AH104" s="38">
        <v>0.81</v>
      </c>
      <c r="AJ104" s="1">
        <v>64</v>
      </c>
      <c r="AK104" s="194">
        <v>1.6</v>
      </c>
      <c r="AL104" s="444"/>
    </row>
    <row r="105" spans="2:38" x14ac:dyDescent="0.3">
      <c r="Q105" s="230">
        <v>97</v>
      </c>
      <c r="R105" s="230" t="s">
        <v>407</v>
      </c>
      <c r="S105" s="332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43">
        <v>65</v>
      </c>
      <c r="AH105" s="38">
        <v>0.81</v>
      </c>
      <c r="AJ105" s="1">
        <v>65</v>
      </c>
      <c r="AK105" s="194">
        <v>1.6</v>
      </c>
      <c r="AL105" s="444"/>
    </row>
    <row r="106" spans="2:38" x14ac:dyDescent="0.3">
      <c r="Q106" s="230">
        <v>98</v>
      </c>
      <c r="R106" s="230" t="s">
        <v>409</v>
      </c>
      <c r="S106" s="332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43">
        <v>66</v>
      </c>
      <c r="AH106" s="38">
        <v>0.81</v>
      </c>
      <c r="AJ106" s="1">
        <v>66</v>
      </c>
      <c r="AK106" s="194">
        <v>1.6</v>
      </c>
      <c r="AL106" s="444"/>
    </row>
    <row r="107" spans="2:38" x14ac:dyDescent="0.3">
      <c r="Q107" s="230">
        <v>99</v>
      </c>
      <c r="R107" s="230" t="s">
        <v>411</v>
      </c>
      <c r="S107" s="332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43">
        <v>67</v>
      </c>
      <c r="AH107" s="38">
        <v>0.81</v>
      </c>
      <c r="AJ107" s="1">
        <v>67</v>
      </c>
      <c r="AK107" s="194">
        <v>1.6</v>
      </c>
      <c r="AL107" s="444"/>
    </row>
    <row r="108" spans="2:38" x14ac:dyDescent="0.3">
      <c r="Q108" s="230">
        <v>100</v>
      </c>
      <c r="R108" s="230" t="s">
        <v>413</v>
      </c>
      <c r="S108" s="332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43">
        <v>68</v>
      </c>
      <c r="AH108" s="38">
        <v>0.81</v>
      </c>
      <c r="AJ108" s="1">
        <v>68</v>
      </c>
      <c r="AK108" s="194">
        <v>1.6</v>
      </c>
      <c r="AL108" s="444"/>
    </row>
    <row r="109" spans="2:38" x14ac:dyDescent="0.3">
      <c r="Q109" s="230">
        <v>101</v>
      </c>
      <c r="R109" s="230" t="s">
        <v>415</v>
      </c>
      <c r="S109" s="332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43">
        <v>69</v>
      </c>
      <c r="AH109" s="38">
        <v>0.81</v>
      </c>
      <c r="AJ109" s="1">
        <v>69</v>
      </c>
      <c r="AK109" s="194">
        <v>1.6</v>
      </c>
      <c r="AL109" s="444"/>
    </row>
    <row r="110" spans="2:38" x14ac:dyDescent="0.3">
      <c r="Q110" s="230">
        <v>102</v>
      </c>
      <c r="R110" s="230" t="s">
        <v>396</v>
      </c>
      <c r="S110" s="332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43">
        <v>70</v>
      </c>
      <c r="AH110" s="38">
        <v>0.81</v>
      </c>
      <c r="AJ110" s="1">
        <v>70</v>
      </c>
      <c r="AK110" s="194">
        <v>1.6</v>
      </c>
      <c r="AL110" s="444"/>
    </row>
    <row r="111" spans="2:38" x14ac:dyDescent="0.3">
      <c r="Q111" s="230">
        <v>103</v>
      </c>
      <c r="R111" s="230" t="s">
        <v>409</v>
      </c>
      <c r="S111" s="332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43">
        <v>71</v>
      </c>
      <c r="AH111" s="38">
        <v>0.81</v>
      </c>
      <c r="AJ111" s="1">
        <v>71</v>
      </c>
      <c r="AK111" s="194">
        <v>1.6</v>
      </c>
      <c r="AL111" s="444"/>
    </row>
    <row r="112" spans="2:38" x14ac:dyDescent="0.3">
      <c r="B112" s="645" t="s">
        <v>437</v>
      </c>
      <c r="C112" s="645"/>
      <c r="D112" s="645"/>
      <c r="E112" s="645"/>
      <c r="F112" s="645"/>
      <c r="G112" s="645"/>
      <c r="H112" s="645"/>
      <c r="I112" s="645"/>
      <c r="J112" s="645"/>
      <c r="Q112" s="230">
        <v>104</v>
      </c>
      <c r="R112" s="230" t="s">
        <v>411</v>
      </c>
      <c r="S112" s="332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43">
        <v>72</v>
      </c>
      <c r="AH112" s="38">
        <v>0.81</v>
      </c>
      <c r="AJ112" s="1">
        <v>72</v>
      </c>
      <c r="AK112" s="194">
        <v>1.6</v>
      </c>
      <c r="AL112" s="444"/>
    </row>
    <row r="113" spans="2:38" x14ac:dyDescent="0.3">
      <c r="B113" s="645"/>
      <c r="C113" s="645"/>
      <c r="D113" s="645"/>
      <c r="E113" s="645"/>
      <c r="F113" s="645"/>
      <c r="G113" s="645"/>
      <c r="H113" s="645"/>
      <c r="I113" s="645"/>
      <c r="J113" s="645"/>
      <c r="Q113" s="230">
        <v>105</v>
      </c>
      <c r="R113" s="230" t="s">
        <v>413</v>
      </c>
      <c r="S113" s="332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43">
        <v>73</v>
      </c>
      <c r="AH113" s="38">
        <v>0.81</v>
      </c>
      <c r="AJ113" s="1">
        <v>73</v>
      </c>
      <c r="AK113" s="194">
        <v>1.6</v>
      </c>
      <c r="AL113" s="444"/>
    </row>
    <row r="114" spans="2:38" x14ac:dyDescent="0.3">
      <c r="Q114" s="230">
        <v>106</v>
      </c>
      <c r="R114" s="230" t="s">
        <v>415</v>
      </c>
      <c r="S114" s="332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43">
        <v>74</v>
      </c>
      <c r="AH114" s="38">
        <v>0.81</v>
      </c>
      <c r="AJ114" s="1">
        <v>74</v>
      </c>
      <c r="AK114" s="194">
        <v>1.6</v>
      </c>
      <c r="AL114" s="444"/>
    </row>
    <row r="115" spans="2:38" x14ac:dyDescent="0.3">
      <c r="Q115" s="230">
        <v>107</v>
      </c>
      <c r="R115" s="230" t="s">
        <v>396</v>
      </c>
      <c r="S115" s="332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43">
        <v>75</v>
      </c>
      <c r="AH115" s="38">
        <v>0.81</v>
      </c>
      <c r="AJ115" s="1">
        <v>75</v>
      </c>
      <c r="AK115" s="194">
        <v>1.6</v>
      </c>
      <c r="AL115" s="444"/>
    </row>
    <row r="116" spans="2:38" x14ac:dyDescent="0.3">
      <c r="Q116" s="230">
        <v>108</v>
      </c>
      <c r="R116" s="230" t="s">
        <v>416</v>
      </c>
      <c r="S116" s="332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43">
        <v>76</v>
      </c>
      <c r="AH116" s="38">
        <v>0.81</v>
      </c>
      <c r="AJ116" s="1">
        <v>76</v>
      </c>
      <c r="AK116" s="194">
        <v>1.6</v>
      </c>
      <c r="AL116" s="444"/>
    </row>
    <row r="117" spans="2:38" x14ac:dyDescent="0.3">
      <c r="Q117" s="230">
        <v>109</v>
      </c>
      <c r="R117" s="230" t="s">
        <v>418</v>
      </c>
      <c r="S117" s="332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43">
        <v>77</v>
      </c>
      <c r="AH117" s="38">
        <v>0.81</v>
      </c>
      <c r="AJ117" s="1">
        <v>77</v>
      </c>
      <c r="AK117" s="194">
        <v>1.6</v>
      </c>
      <c r="AL117" s="444"/>
    </row>
    <row r="118" spans="2:38" x14ac:dyDescent="0.3">
      <c r="Q118" s="230">
        <v>110</v>
      </c>
      <c r="R118" s="230" t="s">
        <v>401</v>
      </c>
      <c r="S118" s="332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43">
        <v>78</v>
      </c>
      <c r="AH118" s="38">
        <v>0.81</v>
      </c>
      <c r="AJ118" s="1">
        <v>78</v>
      </c>
      <c r="AK118" s="194">
        <v>1.6</v>
      </c>
      <c r="AL118" s="444"/>
    </row>
    <row r="119" spans="2:38" x14ac:dyDescent="0.3">
      <c r="Q119" s="230">
        <v>111</v>
      </c>
      <c r="R119" s="230" t="s">
        <v>403</v>
      </c>
      <c r="S119" s="332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43">
        <v>79</v>
      </c>
      <c r="AH119" s="38">
        <v>0.81</v>
      </c>
      <c r="AJ119" s="1">
        <v>79</v>
      </c>
      <c r="AK119" s="194">
        <v>1.6</v>
      </c>
      <c r="AL119" s="444"/>
    </row>
    <row r="120" spans="2:38" x14ac:dyDescent="0.3">
      <c r="Q120" s="230">
        <v>112</v>
      </c>
      <c r="R120" s="230" t="s">
        <v>405</v>
      </c>
      <c r="S120" s="332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43">
        <v>80</v>
      </c>
      <c r="AH120" s="38">
        <v>0.81</v>
      </c>
      <c r="AJ120" s="1">
        <v>80</v>
      </c>
      <c r="AK120" s="194">
        <v>1.6</v>
      </c>
      <c r="AL120" s="444"/>
    </row>
    <row r="121" spans="2:38" x14ac:dyDescent="0.3">
      <c r="Q121" s="230">
        <v>113</v>
      </c>
      <c r="R121" s="230" t="s">
        <v>409</v>
      </c>
      <c r="S121" s="332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43">
        <v>81</v>
      </c>
      <c r="AH121" s="38">
        <v>0.81</v>
      </c>
      <c r="AJ121" s="1">
        <v>81</v>
      </c>
      <c r="AK121" s="194">
        <v>1.6</v>
      </c>
      <c r="AL121" s="444"/>
    </row>
    <row r="122" spans="2:38" x14ac:dyDescent="0.3">
      <c r="Q122" s="230">
        <v>114</v>
      </c>
      <c r="R122" s="230" t="s">
        <v>411</v>
      </c>
      <c r="S122" s="332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43">
        <v>82</v>
      </c>
      <c r="AH122" s="38">
        <v>0.81</v>
      </c>
      <c r="AJ122" s="1">
        <v>82</v>
      </c>
      <c r="AK122" s="194">
        <v>1.6</v>
      </c>
      <c r="AL122" s="444"/>
    </row>
    <row r="123" spans="2:38" x14ac:dyDescent="0.3">
      <c r="Q123" s="230">
        <v>115</v>
      </c>
      <c r="R123" s="230" t="s">
        <v>413</v>
      </c>
      <c r="S123" s="332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43">
        <v>83</v>
      </c>
      <c r="AH123" s="38">
        <v>0.81</v>
      </c>
      <c r="AJ123" s="1">
        <v>83</v>
      </c>
      <c r="AK123" s="194">
        <v>1.6</v>
      </c>
      <c r="AL123" s="444"/>
    </row>
    <row r="124" spans="2:38" x14ac:dyDescent="0.3">
      <c r="Q124" s="230">
        <v>116</v>
      </c>
      <c r="R124" s="230" t="s">
        <v>415</v>
      </c>
      <c r="S124" s="332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43">
        <v>84</v>
      </c>
      <c r="AH124" s="38">
        <v>0.81</v>
      </c>
      <c r="AJ124" s="1">
        <v>84</v>
      </c>
      <c r="AK124" s="194">
        <v>1.6</v>
      </c>
      <c r="AL124" s="444"/>
    </row>
    <row r="125" spans="2:38" ht="15" thickBot="1" x14ac:dyDescent="0.35">
      <c r="Q125" s="230">
        <v>117</v>
      </c>
      <c r="R125" s="230" t="s">
        <v>396</v>
      </c>
      <c r="S125" s="332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45">
        <v>85</v>
      </c>
      <c r="AH125" s="38">
        <v>0.81</v>
      </c>
      <c r="AI125" s="446"/>
      <c r="AJ125" s="1">
        <v>85</v>
      </c>
      <c r="AK125" s="194">
        <v>1.6</v>
      </c>
      <c r="AL125" s="447"/>
    </row>
    <row r="126" spans="2:38" x14ac:dyDescent="0.3">
      <c r="Q126" s="230">
        <v>118</v>
      </c>
      <c r="R126" s="230" t="s">
        <v>416</v>
      </c>
      <c r="S126" s="332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43">
        <v>86</v>
      </c>
      <c r="AH126" s="38">
        <v>0.81</v>
      </c>
    </row>
    <row r="127" spans="2:38" x14ac:dyDescent="0.3">
      <c r="Q127" s="230">
        <v>119</v>
      </c>
      <c r="R127" s="230" t="s">
        <v>401</v>
      </c>
      <c r="S127" s="332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43">
        <v>87</v>
      </c>
      <c r="AH127" s="38">
        <v>0.81</v>
      </c>
    </row>
    <row r="128" spans="2:38" ht="15" thickBot="1" x14ac:dyDescent="0.35">
      <c r="Q128" s="230">
        <v>120</v>
      </c>
      <c r="R128" s="230" t="s">
        <v>403</v>
      </c>
      <c r="S128" s="332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45">
        <v>88</v>
      </c>
      <c r="AH128" s="38">
        <v>0.81</v>
      </c>
    </row>
    <row r="129" spans="17:34" x14ac:dyDescent="0.3">
      <c r="Q129" s="230">
        <v>121</v>
      </c>
      <c r="R129" s="230" t="s">
        <v>405</v>
      </c>
      <c r="S129" s="332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43">
        <v>89</v>
      </c>
      <c r="AH129" s="38">
        <v>0.81</v>
      </c>
    </row>
    <row r="130" spans="17:34" x14ac:dyDescent="0.3">
      <c r="Q130" s="230">
        <v>122</v>
      </c>
      <c r="R130" s="230" t="s">
        <v>407</v>
      </c>
      <c r="S130" s="332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43">
        <v>90</v>
      </c>
      <c r="AH130" s="38">
        <v>0.81</v>
      </c>
    </row>
    <row r="131" spans="17:34" ht="15" thickBot="1" x14ac:dyDescent="0.35">
      <c r="Q131" s="230">
        <v>123</v>
      </c>
      <c r="R131" s="230" t="s">
        <v>409</v>
      </c>
      <c r="S131" s="332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45">
        <v>91</v>
      </c>
      <c r="AH131" s="38">
        <v>0.81</v>
      </c>
    </row>
    <row r="132" spans="17:34" x14ac:dyDescent="0.3">
      <c r="Q132" s="230">
        <v>124</v>
      </c>
      <c r="R132" s="230" t="s">
        <v>411</v>
      </c>
      <c r="S132" s="332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43">
        <v>92</v>
      </c>
      <c r="AH132" s="38">
        <v>0.81</v>
      </c>
    </row>
    <row r="133" spans="17:34" x14ac:dyDescent="0.3">
      <c r="Q133" s="230">
        <v>125</v>
      </c>
      <c r="R133" s="230" t="s">
        <v>413</v>
      </c>
      <c r="S133" s="332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43">
        <v>93</v>
      </c>
      <c r="AH133" s="38">
        <v>0.81</v>
      </c>
    </row>
    <row r="134" spans="17:34" x14ac:dyDescent="0.3">
      <c r="Q134" s="230">
        <v>126</v>
      </c>
      <c r="R134" s="230" t="s">
        <v>415</v>
      </c>
      <c r="S134" s="332">
        <v>46263</v>
      </c>
      <c r="T134" s="6">
        <v>0.21</v>
      </c>
      <c r="U134" s="6"/>
      <c r="V134" s="6"/>
      <c r="AG134" s="443">
        <v>94</v>
      </c>
      <c r="AH134" s="38">
        <v>0.81</v>
      </c>
    </row>
    <row r="135" spans="17:34" ht="15" thickBot="1" x14ac:dyDescent="0.35">
      <c r="Q135" s="230">
        <v>127</v>
      </c>
      <c r="R135" s="230" t="s">
        <v>396</v>
      </c>
      <c r="S135" s="332">
        <v>46263</v>
      </c>
      <c r="T135" s="6">
        <v>0.42</v>
      </c>
      <c r="U135" s="6"/>
      <c r="V135" s="6"/>
      <c r="AG135" s="445">
        <v>95</v>
      </c>
      <c r="AH135" s="38">
        <v>0.81</v>
      </c>
    </row>
    <row r="136" spans="17:34" x14ac:dyDescent="0.3">
      <c r="Q136" s="230">
        <v>128</v>
      </c>
      <c r="R136" s="230" t="s">
        <v>416</v>
      </c>
      <c r="S136" s="332">
        <v>46263</v>
      </c>
      <c r="T136" s="6">
        <v>1.044</v>
      </c>
      <c r="U136" s="6"/>
      <c r="V136" s="6"/>
      <c r="AG136" s="443">
        <v>96</v>
      </c>
      <c r="AH136" s="38">
        <v>0.81</v>
      </c>
    </row>
    <row r="137" spans="17:34" x14ac:dyDescent="0.3">
      <c r="Q137" s="230">
        <v>129</v>
      </c>
      <c r="R137" s="230" t="s">
        <v>418</v>
      </c>
      <c r="S137" s="332">
        <v>46263</v>
      </c>
      <c r="T137" s="6">
        <v>0.38800000000000001</v>
      </c>
      <c r="U137" s="6"/>
      <c r="V137" s="6"/>
      <c r="AG137" s="443">
        <v>97</v>
      </c>
      <c r="AH137" s="38">
        <v>0.81</v>
      </c>
    </row>
    <row r="138" spans="17:34" x14ac:dyDescent="0.3">
      <c r="Q138" s="230">
        <v>130</v>
      </c>
      <c r="R138" s="6" t="s">
        <v>403</v>
      </c>
      <c r="S138" s="332">
        <v>46264</v>
      </c>
      <c r="T138" s="6">
        <v>0.91700000000000004</v>
      </c>
      <c r="U138" s="6"/>
      <c r="V138" s="6"/>
      <c r="AG138" s="443">
        <v>98</v>
      </c>
      <c r="AH138" s="38">
        <v>0.81</v>
      </c>
    </row>
    <row r="139" spans="17:34" ht="15" thickBot="1" x14ac:dyDescent="0.35">
      <c r="Q139" s="230">
        <v>131</v>
      </c>
      <c r="R139" s="6" t="s">
        <v>448</v>
      </c>
      <c r="S139" s="332">
        <v>46264</v>
      </c>
      <c r="T139" s="6">
        <v>0.98599999999999999</v>
      </c>
      <c r="U139" s="6"/>
      <c r="V139" s="6"/>
      <c r="AG139" s="445">
        <v>99</v>
      </c>
      <c r="AH139" s="38">
        <v>0.81</v>
      </c>
    </row>
    <row r="140" spans="17:34" x14ac:dyDescent="0.3">
      <c r="Q140" s="230">
        <v>132</v>
      </c>
      <c r="R140" s="6" t="s">
        <v>449</v>
      </c>
      <c r="S140" s="332">
        <v>46264</v>
      </c>
      <c r="T140" s="6">
        <v>1.2170000000000001</v>
      </c>
      <c r="U140" s="6"/>
      <c r="V140" s="6"/>
      <c r="AG140" s="443">
        <v>100</v>
      </c>
      <c r="AH140" s="38">
        <v>0.81</v>
      </c>
    </row>
    <row r="141" spans="17:34" x14ac:dyDescent="0.3">
      <c r="Q141" s="230">
        <v>133</v>
      </c>
      <c r="R141" s="6" t="s">
        <v>450</v>
      </c>
      <c r="S141" s="332">
        <v>46264</v>
      </c>
      <c r="T141" s="6">
        <v>0.83599999999999997</v>
      </c>
      <c r="U141" s="6"/>
      <c r="V141" s="6"/>
      <c r="AG141" s="443">
        <v>101</v>
      </c>
      <c r="AH141" s="38">
        <v>0.81</v>
      </c>
    </row>
    <row r="142" spans="17:34" x14ac:dyDescent="0.3">
      <c r="Q142" s="230">
        <v>134</v>
      </c>
      <c r="R142" s="6"/>
      <c r="S142" s="332"/>
      <c r="T142" s="6"/>
      <c r="U142" s="6"/>
      <c r="V142" s="6"/>
      <c r="AG142" s="443">
        <v>102</v>
      </c>
      <c r="AH142" s="38">
        <v>0.81</v>
      </c>
    </row>
    <row r="143" spans="17:34" ht="15" thickBot="1" x14ac:dyDescent="0.35">
      <c r="Q143" s="230">
        <v>135</v>
      </c>
      <c r="R143" s="6"/>
      <c r="S143" s="332"/>
      <c r="T143" s="6"/>
      <c r="U143" s="6"/>
      <c r="V143" s="6"/>
      <c r="AG143" s="445">
        <v>103</v>
      </c>
      <c r="AH143" s="38">
        <v>0.81</v>
      </c>
    </row>
    <row r="144" spans="17:34" x14ac:dyDescent="0.3">
      <c r="Q144" s="230">
        <v>136</v>
      </c>
      <c r="R144" s="6"/>
      <c r="S144" s="332"/>
      <c r="T144" s="6"/>
      <c r="U144" s="6"/>
      <c r="V144" s="6"/>
      <c r="AG144" s="443">
        <v>104</v>
      </c>
      <c r="AH144" s="38">
        <v>0.81</v>
      </c>
    </row>
    <row r="145" spans="2:34" x14ac:dyDescent="0.3">
      <c r="Q145" s="230">
        <v>137</v>
      </c>
      <c r="R145" s="6"/>
      <c r="S145" s="332"/>
      <c r="T145" s="6"/>
      <c r="U145" s="6"/>
      <c r="V145" s="6"/>
      <c r="AG145" s="443">
        <v>105</v>
      </c>
      <c r="AH145" s="38">
        <v>0.81</v>
      </c>
    </row>
    <row r="146" spans="2:34" x14ac:dyDescent="0.3">
      <c r="Q146" s="230">
        <v>138</v>
      </c>
      <c r="R146" s="6"/>
      <c r="S146" s="332"/>
      <c r="T146" s="6"/>
      <c r="U146" s="6"/>
      <c r="V146" s="6"/>
      <c r="AG146" s="443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438</v>
      </c>
      <c r="E147" s="17" t="s">
        <v>439</v>
      </c>
      <c r="F147" s="17" t="s">
        <v>441</v>
      </c>
      <c r="G147" s="17" t="s">
        <v>440</v>
      </c>
      <c r="Q147" s="230">
        <v>139</v>
      </c>
      <c r="R147" s="6"/>
      <c r="S147" s="332"/>
      <c r="T147" s="6"/>
      <c r="U147" s="6"/>
      <c r="V147" s="6"/>
      <c r="AG147" s="445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444</v>
      </c>
      <c r="E148" s="16">
        <v>1238</v>
      </c>
      <c r="F148" s="16">
        <v>1.39</v>
      </c>
      <c r="G148" s="50">
        <f>E148*F148</f>
        <v>1720.82</v>
      </c>
      <c r="Q148" s="230">
        <v>140</v>
      </c>
      <c r="R148" s="6"/>
      <c r="S148" s="332"/>
      <c r="T148" s="6"/>
      <c r="U148" s="6"/>
      <c r="V148" s="6"/>
      <c r="AG148" s="443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30">
        <v>141</v>
      </c>
      <c r="R149" s="6"/>
      <c r="S149" s="332"/>
      <c r="T149" s="6"/>
      <c r="U149" s="6"/>
      <c r="V149" s="6"/>
      <c r="AG149" s="443">
        <v>109</v>
      </c>
      <c r="AH149" s="38">
        <v>0.81</v>
      </c>
    </row>
    <row r="150" spans="2:34" x14ac:dyDescent="0.3">
      <c r="Q150" s="230">
        <v>142</v>
      </c>
      <c r="R150" s="6"/>
      <c r="S150" s="332"/>
      <c r="T150" s="6"/>
      <c r="U150" s="6"/>
      <c r="V150" s="6"/>
      <c r="AG150" s="443">
        <v>110</v>
      </c>
      <c r="AH150" s="38">
        <v>0.81</v>
      </c>
    </row>
    <row r="151" spans="2:34" ht="15" thickBot="1" x14ac:dyDescent="0.35">
      <c r="Q151" s="230">
        <v>143</v>
      </c>
      <c r="R151" s="6"/>
      <c r="S151" s="332"/>
      <c r="T151" s="6"/>
      <c r="U151" s="6"/>
      <c r="V151" s="6"/>
      <c r="AG151" s="445">
        <v>111</v>
      </c>
      <c r="AH151" s="38">
        <v>0.81</v>
      </c>
    </row>
    <row r="152" spans="2:34" x14ac:dyDescent="0.3">
      <c r="Q152" s="230">
        <v>144</v>
      </c>
      <c r="R152" s="6"/>
      <c r="S152" s="332"/>
      <c r="T152" s="6"/>
      <c r="U152" s="6"/>
      <c r="V152" s="6"/>
      <c r="AG152" s="443">
        <v>112</v>
      </c>
      <c r="AH152" s="38">
        <v>0.81</v>
      </c>
    </row>
    <row r="153" spans="2:34" x14ac:dyDescent="0.3">
      <c r="Q153" s="230">
        <v>145</v>
      </c>
      <c r="R153" s="6"/>
      <c r="S153" s="332"/>
      <c r="T153" s="6"/>
      <c r="U153" s="6"/>
      <c r="V153" s="6"/>
      <c r="AG153" s="443">
        <v>113</v>
      </c>
      <c r="AH153" s="38">
        <v>0.81</v>
      </c>
    </row>
    <row r="154" spans="2:34" x14ac:dyDescent="0.3">
      <c r="Q154" s="230">
        <v>146</v>
      </c>
      <c r="R154" s="6"/>
      <c r="S154" s="332"/>
      <c r="T154" s="6"/>
      <c r="U154" s="6"/>
      <c r="V154" s="6"/>
      <c r="AG154" s="443">
        <v>114</v>
      </c>
      <c r="AH154" s="38">
        <v>0.81</v>
      </c>
    </row>
    <row r="155" spans="2:34" ht="15" thickBot="1" x14ac:dyDescent="0.35">
      <c r="Q155" s="230">
        <v>147</v>
      </c>
      <c r="R155" s="6"/>
      <c r="S155" s="332"/>
      <c r="T155" s="6"/>
      <c r="U155" s="6"/>
      <c r="V155" s="6"/>
      <c r="AG155" s="445">
        <v>115</v>
      </c>
      <c r="AH155" s="38">
        <v>0.81</v>
      </c>
    </row>
    <row r="156" spans="2:34" x14ac:dyDescent="0.3">
      <c r="Q156" s="230">
        <v>148</v>
      </c>
      <c r="R156" s="6"/>
      <c r="S156" s="332"/>
      <c r="T156" s="6"/>
      <c r="U156" s="6"/>
      <c r="V156" s="6"/>
      <c r="AG156" s="443">
        <v>116</v>
      </c>
      <c r="AH156" s="38">
        <v>0.81</v>
      </c>
    </row>
    <row r="157" spans="2:34" x14ac:dyDescent="0.3">
      <c r="Q157" s="230">
        <v>149</v>
      </c>
      <c r="R157" s="6"/>
      <c r="S157" s="332"/>
      <c r="T157" s="6"/>
      <c r="U157" s="6"/>
      <c r="V157" s="6"/>
      <c r="AG157" s="443">
        <v>117</v>
      </c>
      <c r="AH157" s="38">
        <v>0.81</v>
      </c>
    </row>
    <row r="158" spans="2:34" x14ac:dyDescent="0.3">
      <c r="Q158" s="230">
        <v>150</v>
      </c>
      <c r="R158" s="6"/>
      <c r="S158" s="332"/>
      <c r="T158" s="6"/>
      <c r="U158" s="6"/>
      <c r="V158" s="6"/>
      <c r="AG158" s="443">
        <v>118</v>
      </c>
      <c r="AH158" s="38">
        <v>0.81</v>
      </c>
    </row>
    <row r="159" spans="2:34" ht="15" thickBot="1" x14ac:dyDescent="0.35">
      <c r="Q159" s="230">
        <v>151</v>
      </c>
      <c r="R159" s="6"/>
      <c r="S159" s="332"/>
      <c r="T159" s="6"/>
      <c r="U159" s="6"/>
      <c r="V159" s="6"/>
      <c r="AG159" s="445">
        <v>119</v>
      </c>
      <c r="AH159" s="38">
        <v>0.81</v>
      </c>
    </row>
    <row r="160" spans="2:34" x14ac:dyDescent="0.3">
      <c r="Q160" s="230">
        <v>152</v>
      </c>
      <c r="R160" s="6"/>
      <c r="S160" s="332"/>
      <c r="T160" s="6"/>
      <c r="U160" s="6"/>
      <c r="V160" s="6"/>
      <c r="AG160" s="443">
        <v>120</v>
      </c>
      <c r="AH160" s="38">
        <v>0.81</v>
      </c>
    </row>
    <row r="161" spans="17:34" x14ac:dyDescent="0.3">
      <c r="Q161" s="230">
        <v>153</v>
      </c>
      <c r="R161" s="6"/>
      <c r="S161" s="332"/>
      <c r="T161" s="6"/>
      <c r="U161" s="6"/>
      <c r="V161" s="6"/>
      <c r="AG161" s="443">
        <v>121</v>
      </c>
      <c r="AH161" s="38">
        <v>0.81</v>
      </c>
    </row>
    <row r="162" spans="17:34" x14ac:dyDescent="0.3">
      <c r="Q162" s="230">
        <v>154</v>
      </c>
      <c r="R162" s="6"/>
      <c r="S162" s="332"/>
      <c r="T162" s="6"/>
      <c r="U162" s="6"/>
      <c r="V162" s="6"/>
      <c r="AG162" s="443">
        <v>122</v>
      </c>
      <c r="AH162" s="38">
        <v>0.81</v>
      </c>
    </row>
    <row r="163" spans="17:34" ht="15" thickBot="1" x14ac:dyDescent="0.35">
      <c r="Q163" s="230">
        <v>155</v>
      </c>
      <c r="R163" s="6"/>
      <c r="S163" s="332"/>
      <c r="T163" s="6"/>
      <c r="U163" s="6"/>
      <c r="V163" s="6"/>
      <c r="AG163" s="445">
        <v>123</v>
      </c>
      <c r="AH163" s="38">
        <v>0.81</v>
      </c>
    </row>
    <row r="164" spans="17:34" x14ac:dyDescent="0.3">
      <c r="Q164" s="230">
        <v>156</v>
      </c>
      <c r="R164" s="6"/>
      <c r="S164" s="332"/>
      <c r="T164" s="6"/>
      <c r="U164" s="6"/>
      <c r="V164" s="6"/>
      <c r="AG164" s="443">
        <v>124</v>
      </c>
      <c r="AH164" s="38">
        <v>0.81</v>
      </c>
    </row>
    <row r="165" spans="17:34" x14ac:dyDescent="0.3">
      <c r="Q165" s="230">
        <v>157</v>
      </c>
      <c r="R165" s="6"/>
      <c r="S165" s="332"/>
      <c r="T165" s="6"/>
      <c r="U165" s="6"/>
      <c r="V165" s="6"/>
      <c r="AG165" s="443">
        <v>125</v>
      </c>
      <c r="AH165" s="38">
        <v>0.81</v>
      </c>
    </row>
    <row r="166" spans="17:34" x14ac:dyDescent="0.3">
      <c r="Q166" s="230">
        <v>158</v>
      </c>
      <c r="R166" s="6"/>
      <c r="S166" s="332"/>
      <c r="T166" s="6"/>
      <c r="U166" s="6"/>
      <c r="V166" s="6"/>
      <c r="AG166" s="443">
        <v>126</v>
      </c>
      <c r="AH166" s="38">
        <v>0.81</v>
      </c>
    </row>
    <row r="167" spans="17:34" ht="15" thickBot="1" x14ac:dyDescent="0.35">
      <c r="Q167" s="230">
        <v>159</v>
      </c>
      <c r="R167" s="6"/>
      <c r="S167" s="332"/>
      <c r="T167" s="6"/>
      <c r="U167" s="6"/>
      <c r="V167" s="6"/>
      <c r="AG167" s="445">
        <v>127</v>
      </c>
      <c r="AH167" s="38">
        <v>0.81</v>
      </c>
    </row>
    <row r="168" spans="17:34" x14ac:dyDescent="0.3">
      <c r="Q168" s="230">
        <v>160</v>
      </c>
      <c r="R168" s="6"/>
      <c r="S168" s="332"/>
      <c r="T168" s="6"/>
      <c r="U168" s="6"/>
      <c r="V168" s="6"/>
      <c r="AG168" s="443">
        <v>128</v>
      </c>
      <c r="AH168" s="38">
        <v>0.81</v>
      </c>
    </row>
    <row r="169" spans="17:34" x14ac:dyDescent="0.3">
      <c r="Q169" s="230">
        <v>161</v>
      </c>
      <c r="R169" s="6"/>
      <c r="S169" s="332"/>
      <c r="T169" s="6"/>
      <c r="U169" s="6"/>
      <c r="V169" s="6"/>
      <c r="AG169" s="443">
        <v>129</v>
      </c>
      <c r="AH169" s="38">
        <v>0.81</v>
      </c>
    </row>
    <row r="170" spans="17:34" x14ac:dyDescent="0.3">
      <c r="Q170" s="230">
        <v>162</v>
      </c>
      <c r="R170" s="6"/>
      <c r="S170" s="332"/>
      <c r="T170" s="6"/>
      <c r="U170" s="6"/>
      <c r="V170" s="6"/>
      <c r="AG170" s="443">
        <v>130</v>
      </c>
      <c r="AH170" s="38">
        <v>0.81</v>
      </c>
    </row>
    <row r="171" spans="17:34" ht="15" thickBot="1" x14ac:dyDescent="0.35">
      <c r="Q171" s="230">
        <v>163</v>
      </c>
      <c r="R171" s="6"/>
      <c r="S171" s="332"/>
      <c r="T171" s="6"/>
      <c r="U171" s="6"/>
      <c r="V171" s="6"/>
      <c r="AG171" s="445">
        <v>131</v>
      </c>
      <c r="AH171" s="38">
        <v>0.81</v>
      </c>
    </row>
    <row r="172" spans="17:34" x14ac:dyDescent="0.3">
      <c r="Q172" s="230">
        <v>164</v>
      </c>
      <c r="R172" s="6"/>
      <c r="S172" s="332"/>
      <c r="T172" s="6"/>
      <c r="U172" s="6"/>
      <c r="V172" s="6"/>
      <c r="AG172" s="443">
        <v>132</v>
      </c>
      <c r="AH172" s="38">
        <v>0.81</v>
      </c>
    </row>
    <row r="173" spans="17:34" x14ac:dyDescent="0.3">
      <c r="Q173" s="230">
        <v>165</v>
      </c>
      <c r="R173" s="6"/>
      <c r="S173" s="332"/>
      <c r="T173" s="6"/>
      <c r="U173" s="6"/>
      <c r="V173" s="6"/>
      <c r="AG173" s="443">
        <v>133</v>
      </c>
      <c r="AH173" s="38">
        <v>0.81</v>
      </c>
    </row>
    <row r="174" spans="17:34" x14ac:dyDescent="0.3">
      <c r="Q174" s="230">
        <v>166</v>
      </c>
      <c r="R174" s="6"/>
      <c r="S174" s="332"/>
      <c r="T174" s="6"/>
      <c r="U174" s="6"/>
      <c r="V174" s="6"/>
    </row>
    <row r="175" spans="17:34" x14ac:dyDescent="0.3">
      <c r="Q175" s="230">
        <v>167</v>
      </c>
      <c r="R175" s="6"/>
      <c r="S175" s="332"/>
      <c r="T175" s="6"/>
      <c r="U175" s="6"/>
      <c r="V175" s="6"/>
    </row>
    <row r="176" spans="17:34" x14ac:dyDescent="0.3">
      <c r="Q176" s="230">
        <v>168</v>
      </c>
      <c r="R176" s="6"/>
      <c r="S176" s="332"/>
      <c r="T176" s="6"/>
      <c r="U176" s="6"/>
      <c r="V176" s="6"/>
    </row>
    <row r="177" spans="17:22" x14ac:dyDescent="0.3">
      <c r="Q177" s="230">
        <v>169</v>
      </c>
      <c r="R177" s="6"/>
      <c r="S177" s="332"/>
      <c r="T177" s="6"/>
      <c r="U177" s="6"/>
      <c r="V177" s="6"/>
    </row>
    <row r="178" spans="17:22" x14ac:dyDescent="0.3">
      <c r="Q178" s="230">
        <v>170</v>
      </c>
      <c r="R178" s="6"/>
      <c r="S178" s="332"/>
      <c r="T178" s="6"/>
      <c r="U178" s="6"/>
      <c r="V178" s="6"/>
    </row>
    <row r="179" spans="17:22" x14ac:dyDescent="0.3">
      <c r="Q179" s="230">
        <v>171</v>
      </c>
      <c r="R179" s="6"/>
      <c r="S179" s="332"/>
      <c r="T179" s="6"/>
      <c r="U179" s="6"/>
      <c r="V179" s="6"/>
    </row>
    <row r="180" spans="17:22" x14ac:dyDescent="0.3">
      <c r="Q180" s="230">
        <v>172</v>
      </c>
      <c r="R180" s="6"/>
      <c r="S180" s="332"/>
      <c r="T180" s="6"/>
      <c r="U180" s="6"/>
      <c r="V180" s="6"/>
    </row>
    <row r="181" spans="17:22" x14ac:dyDescent="0.3">
      <c r="Q181" s="230">
        <v>173</v>
      </c>
      <c r="R181" s="6"/>
      <c r="S181" s="332"/>
      <c r="T181" s="6"/>
      <c r="U181" s="6"/>
      <c r="V181" s="6"/>
    </row>
    <row r="182" spans="17:22" x14ac:dyDescent="0.3">
      <c r="Q182" s="230">
        <v>174</v>
      </c>
      <c r="R182" s="6"/>
      <c r="S182" s="332"/>
      <c r="T182" s="6"/>
      <c r="U182" s="6"/>
      <c r="V182" s="6"/>
    </row>
    <row r="183" spans="17:22" x14ac:dyDescent="0.3">
      <c r="Q183" s="230">
        <v>175</v>
      </c>
      <c r="R183" s="6"/>
      <c r="S183" s="332"/>
      <c r="T183" s="6"/>
      <c r="U183" s="6"/>
      <c r="V183" s="6"/>
    </row>
    <row r="184" spans="17:22" x14ac:dyDescent="0.3">
      <c r="Q184" s="230">
        <v>176</v>
      </c>
      <c r="R184" s="6"/>
      <c r="S184" s="332"/>
      <c r="T184" s="6"/>
      <c r="U184" s="6"/>
      <c r="V184" s="6"/>
    </row>
    <row r="185" spans="17:22" x14ac:dyDescent="0.3">
      <c r="Q185" s="230">
        <v>177</v>
      </c>
      <c r="R185" s="6"/>
      <c r="S185" s="332"/>
      <c r="T185" s="6"/>
      <c r="U185" s="6"/>
      <c r="V185" s="6"/>
    </row>
    <row r="186" spans="17:22" x14ac:dyDescent="0.3">
      <c r="Q186" s="230">
        <v>178</v>
      </c>
      <c r="R186" s="6"/>
      <c r="S186" s="332"/>
      <c r="T186" s="6"/>
      <c r="U186" s="6"/>
      <c r="V186" s="6"/>
    </row>
    <row r="187" spans="17:22" x14ac:dyDescent="0.3">
      <c r="Q187" s="230">
        <v>179</v>
      </c>
      <c r="R187" s="6"/>
      <c r="S187" s="332"/>
      <c r="T187" s="6"/>
      <c r="U187" s="6"/>
      <c r="V187" s="6"/>
    </row>
    <row r="188" spans="17:22" x14ac:dyDescent="0.3">
      <c r="Q188" s="230">
        <v>180</v>
      </c>
      <c r="R188" s="6"/>
      <c r="S188" s="332"/>
      <c r="T188" s="6"/>
      <c r="U188" s="6"/>
      <c r="V188" s="6"/>
    </row>
    <row r="189" spans="17:22" x14ac:dyDescent="0.3">
      <c r="Q189" s="230">
        <v>181</v>
      </c>
      <c r="R189" s="6"/>
      <c r="S189" s="332"/>
      <c r="T189" s="6"/>
      <c r="U189" s="6"/>
      <c r="V189" s="6"/>
    </row>
    <row r="190" spans="17:22" x14ac:dyDescent="0.3">
      <c r="Q190" s="230">
        <v>182</v>
      </c>
      <c r="R190" s="6"/>
      <c r="S190" s="332"/>
      <c r="T190" s="6"/>
      <c r="U190" s="6"/>
      <c r="V190" s="6"/>
    </row>
    <row r="191" spans="17:22" x14ac:dyDescent="0.3">
      <c r="Q191" s="230">
        <v>183</v>
      </c>
      <c r="R191" s="6"/>
      <c r="S191" s="332"/>
      <c r="T191" s="6"/>
      <c r="U191" s="6"/>
      <c r="V191" s="6"/>
    </row>
    <row r="192" spans="17:22" x14ac:dyDescent="0.3">
      <c r="Q192" s="230">
        <v>184</v>
      </c>
      <c r="R192" s="6"/>
      <c r="S192" s="332"/>
      <c r="T192" s="6"/>
      <c r="U192" s="6"/>
      <c r="V192" s="6"/>
    </row>
    <row r="193" spans="17:22" x14ac:dyDescent="0.3">
      <c r="Q193" s="230">
        <v>185</v>
      </c>
      <c r="R193" s="6"/>
      <c r="S193" s="332"/>
      <c r="T193" s="6"/>
      <c r="U193" s="6"/>
      <c r="V193" s="6"/>
    </row>
    <row r="194" spans="17:22" x14ac:dyDescent="0.3">
      <c r="Q194" s="230">
        <v>186</v>
      </c>
      <c r="R194" s="6"/>
      <c r="S194" s="332"/>
      <c r="T194" s="6"/>
      <c r="U194" s="6"/>
      <c r="V194" s="6"/>
    </row>
    <row r="195" spans="17:22" x14ac:dyDescent="0.3">
      <c r="Q195" s="230">
        <v>187</v>
      </c>
      <c r="R195" s="6"/>
      <c r="S195" s="332"/>
      <c r="T195" s="6"/>
      <c r="U195" s="6"/>
      <c r="V195" s="6"/>
    </row>
    <row r="196" spans="17:22" x14ac:dyDescent="0.3">
      <c r="Q196" s="230">
        <v>188</v>
      </c>
      <c r="R196" s="6"/>
      <c r="S196" s="332"/>
      <c r="T196" s="6"/>
      <c r="U196" s="6"/>
      <c r="V196" s="6"/>
    </row>
    <row r="197" spans="17:22" x14ac:dyDescent="0.3">
      <c r="Q197" s="230">
        <v>189</v>
      </c>
      <c r="R197" s="6"/>
      <c r="S197" s="332"/>
      <c r="T197" s="6"/>
      <c r="U197" s="6"/>
      <c r="V197" s="6"/>
    </row>
    <row r="198" spans="17:22" x14ac:dyDescent="0.3">
      <c r="Q198" s="230">
        <v>190</v>
      </c>
      <c r="R198" s="6"/>
      <c r="S198" s="332"/>
      <c r="T198" s="6"/>
      <c r="U198" s="6"/>
      <c r="V198" s="6"/>
    </row>
    <row r="199" spans="17:22" x14ac:dyDescent="0.3">
      <c r="Q199" s="230">
        <v>191</v>
      </c>
      <c r="R199" s="6"/>
      <c r="S199" s="332"/>
      <c r="T199" s="6"/>
      <c r="U199" s="6"/>
      <c r="V199" s="6"/>
    </row>
    <row r="200" spans="17:22" x14ac:dyDescent="0.3">
      <c r="Q200" s="230">
        <v>192</v>
      </c>
      <c r="R200" s="6"/>
      <c r="S200" s="332"/>
      <c r="T200" s="6"/>
      <c r="U200" s="6"/>
      <c r="V200" s="6"/>
    </row>
    <row r="201" spans="17:22" x14ac:dyDescent="0.3">
      <c r="Q201" s="230">
        <v>193</v>
      </c>
      <c r="R201" s="6"/>
      <c r="S201" s="332"/>
      <c r="T201" s="6"/>
      <c r="U201" s="6"/>
      <c r="V201" s="6"/>
    </row>
    <row r="202" spans="17:22" x14ac:dyDescent="0.3">
      <c r="Q202" s="230">
        <v>194</v>
      </c>
      <c r="R202" s="6"/>
      <c r="S202" s="332"/>
      <c r="T202" s="6"/>
      <c r="U202" s="6"/>
      <c r="V202" s="6"/>
    </row>
    <row r="203" spans="17:22" x14ac:dyDescent="0.3">
      <c r="Q203" s="230">
        <v>195</v>
      </c>
      <c r="R203" s="6"/>
      <c r="S203" s="332"/>
      <c r="T203" s="6"/>
      <c r="U203" s="6"/>
      <c r="V203" s="6"/>
    </row>
    <row r="204" spans="17:22" x14ac:dyDescent="0.3">
      <c r="Q204" s="230">
        <v>196</v>
      </c>
      <c r="R204" s="6"/>
      <c r="S204" s="332">
        <v>46253</v>
      </c>
      <c r="T204" s="6"/>
      <c r="U204" s="6"/>
      <c r="V204" s="6"/>
    </row>
    <row r="205" spans="17:22" x14ac:dyDescent="0.3">
      <c r="Q205" s="230">
        <v>197</v>
      </c>
      <c r="R205" s="6"/>
      <c r="S205" s="332">
        <v>46253</v>
      </c>
      <c r="T205" s="6"/>
      <c r="U205" s="6"/>
      <c r="V205" s="6"/>
    </row>
    <row r="206" spans="17:22" x14ac:dyDescent="0.3">
      <c r="Q206" s="230">
        <v>198</v>
      </c>
      <c r="R206" s="6"/>
      <c r="S206" s="332">
        <v>46253</v>
      </c>
      <c r="T206" s="6"/>
      <c r="U206" s="6"/>
      <c r="V206" s="6"/>
    </row>
    <row r="207" spans="17:22" x14ac:dyDescent="0.3">
      <c r="Q207" s="230">
        <v>199</v>
      </c>
      <c r="R207" s="6"/>
      <c r="S207" s="332">
        <v>46253</v>
      </c>
      <c r="T207" s="6"/>
      <c r="U207" s="6"/>
      <c r="V207" s="6"/>
    </row>
    <row r="208" spans="17:22" x14ac:dyDescent="0.3">
      <c r="Q208" s="230">
        <v>200</v>
      </c>
      <c r="R208" s="6"/>
      <c r="S208" s="332">
        <v>46253</v>
      </c>
      <c r="T208" s="6"/>
      <c r="U208" s="6"/>
      <c r="V208" s="6"/>
    </row>
    <row r="209" spans="17:22" x14ac:dyDescent="0.3">
      <c r="Q209" s="230">
        <v>201</v>
      </c>
      <c r="R209" s="6"/>
      <c r="S209" s="332">
        <v>46253</v>
      </c>
      <c r="T209" s="6"/>
      <c r="U209" s="6"/>
      <c r="V209" s="6"/>
    </row>
    <row r="210" spans="17:22" x14ac:dyDescent="0.3">
      <c r="Q210" s="230">
        <v>202</v>
      </c>
      <c r="R210" s="6"/>
      <c r="S210" s="332">
        <v>46253</v>
      </c>
      <c r="T210" s="6"/>
      <c r="U210" s="6"/>
      <c r="V210" s="6"/>
    </row>
    <row r="211" spans="17:22" x14ac:dyDescent="0.3">
      <c r="Q211" s="230">
        <v>203</v>
      </c>
      <c r="R211" s="6"/>
      <c r="S211" s="332">
        <v>46253</v>
      </c>
      <c r="T211" s="6"/>
      <c r="U211" s="6"/>
      <c r="V211" s="6"/>
    </row>
    <row r="212" spans="17:22" x14ac:dyDescent="0.3">
      <c r="Q212" s="230">
        <v>204</v>
      </c>
      <c r="R212" s="6"/>
      <c r="S212" s="332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46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O1" zoomScale="71" zoomScaleNormal="60" workbookViewId="0">
      <pane ySplit="8" topLeftCell="A9" activePane="bottomLeft" state="frozen"/>
      <selection pane="bottomLeft" activeCell="Z14" sqref="Z1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658" t="s">
        <v>245</v>
      </c>
      <c r="E2" s="659"/>
      <c r="F2" s="659"/>
      <c r="G2" s="659"/>
      <c r="H2" s="659"/>
      <c r="I2" s="659"/>
      <c r="J2" s="659"/>
      <c r="K2" s="659"/>
      <c r="L2" s="659"/>
      <c r="M2" s="659"/>
      <c r="N2" s="659"/>
      <c r="O2" s="659"/>
      <c r="P2" s="659"/>
      <c r="Q2" s="659"/>
      <c r="R2" s="659"/>
      <c r="S2" s="659"/>
      <c r="T2" s="659"/>
      <c r="U2" s="659"/>
      <c r="V2" s="659"/>
      <c r="W2" s="659"/>
      <c r="X2" s="659"/>
      <c r="Y2" s="659"/>
      <c r="Z2" s="659"/>
      <c r="AA2" s="659"/>
      <c r="AB2" s="659"/>
      <c r="AC2" s="660"/>
    </row>
    <row r="3" spans="2:62" ht="24" thickBot="1" x14ac:dyDescent="0.5">
      <c r="D3" s="658" t="s">
        <v>199</v>
      </c>
      <c r="E3" s="659"/>
      <c r="F3" s="659"/>
      <c r="G3" s="659"/>
      <c r="H3" s="659"/>
      <c r="I3" s="659"/>
      <c r="J3" s="659"/>
      <c r="K3" s="659"/>
      <c r="L3" s="659"/>
      <c r="M3" s="659"/>
      <c r="N3" s="659"/>
      <c r="O3" s="659"/>
      <c r="P3" s="659"/>
      <c r="Q3" s="659"/>
      <c r="R3" s="659"/>
      <c r="S3" s="659"/>
      <c r="T3" s="659"/>
      <c r="U3" s="659"/>
      <c r="V3" s="659"/>
      <c r="W3" s="659"/>
      <c r="X3" s="659"/>
      <c r="Y3" s="659"/>
      <c r="Z3" s="659"/>
      <c r="AA3" s="659"/>
      <c r="AB3" s="659"/>
      <c r="AC3" s="660"/>
      <c r="AG3" s="153"/>
    </row>
    <row r="4" spans="2:62" ht="24" thickBot="1" x14ac:dyDescent="0.5">
      <c r="D4" s="662">
        <v>46143</v>
      </c>
      <c r="E4" s="663"/>
      <c r="F4" s="663"/>
      <c r="G4" s="663"/>
      <c r="H4" s="663"/>
      <c r="I4" s="663"/>
      <c r="J4" s="663"/>
      <c r="K4" s="663"/>
      <c r="L4" s="663"/>
      <c r="M4" s="663"/>
      <c r="N4" s="663"/>
      <c r="O4" s="663"/>
      <c r="P4" s="663"/>
      <c r="Q4" s="663"/>
      <c r="R4" s="663"/>
      <c r="S4" s="663"/>
      <c r="T4" s="663"/>
      <c r="U4" s="663"/>
      <c r="V4" s="663"/>
      <c r="W4" s="663"/>
      <c r="X4" s="663"/>
      <c r="Y4" s="663"/>
      <c r="Z4" s="663"/>
      <c r="AA4" s="663"/>
      <c r="AB4" s="663"/>
      <c r="AC4" s="664"/>
      <c r="AE4" s="522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654" t="s">
        <v>261</v>
      </c>
      <c r="C7" s="226" t="s">
        <v>336</v>
      </c>
      <c r="D7" s="654" t="s">
        <v>246</v>
      </c>
      <c r="E7" s="654" t="s">
        <v>247</v>
      </c>
      <c r="F7" s="654" t="s">
        <v>248</v>
      </c>
      <c r="G7" s="654" t="s">
        <v>249</v>
      </c>
      <c r="H7" s="654" t="s">
        <v>250</v>
      </c>
      <c r="I7" s="654" t="s">
        <v>145</v>
      </c>
      <c r="J7" s="654" t="s">
        <v>252</v>
      </c>
      <c r="K7" s="652" t="s">
        <v>251</v>
      </c>
      <c r="L7" s="266" t="s">
        <v>251</v>
      </c>
      <c r="M7" s="652" t="s">
        <v>301</v>
      </c>
      <c r="N7" s="266" t="s">
        <v>298</v>
      </c>
      <c r="O7" s="266" t="s">
        <v>462</v>
      </c>
      <c r="P7" s="266" t="s">
        <v>464</v>
      </c>
      <c r="Q7" s="266" t="s">
        <v>467</v>
      </c>
      <c r="R7" s="226" t="s">
        <v>288</v>
      </c>
      <c r="S7" s="654" t="s">
        <v>253</v>
      </c>
      <c r="T7" s="226" t="s">
        <v>310</v>
      </c>
      <c r="U7" s="654" t="s">
        <v>262</v>
      </c>
      <c r="V7" s="654"/>
      <c r="W7" s="654"/>
      <c r="X7" s="603" t="s">
        <v>264</v>
      </c>
      <c r="Y7" s="603"/>
      <c r="Z7" s="603"/>
      <c r="AA7" s="654" t="s">
        <v>271</v>
      </c>
      <c r="AB7" s="654" t="s">
        <v>296</v>
      </c>
      <c r="AC7" s="603" t="s">
        <v>258</v>
      </c>
      <c r="AD7" s="603"/>
      <c r="AE7" s="603"/>
      <c r="AF7" s="603"/>
      <c r="AG7" s="603"/>
      <c r="AH7" s="603"/>
      <c r="AI7" s="603" t="s">
        <v>268</v>
      </c>
      <c r="AJ7" s="603"/>
      <c r="AK7" s="603"/>
      <c r="AL7" s="603" t="s">
        <v>269</v>
      </c>
      <c r="AM7" s="603"/>
      <c r="AN7" s="603"/>
      <c r="AO7" s="147"/>
      <c r="AP7" s="316" t="s">
        <v>342</v>
      </c>
      <c r="AQ7" s="646" t="s">
        <v>276</v>
      </c>
      <c r="AR7" s="647"/>
      <c r="AS7" s="648"/>
      <c r="AT7" s="271"/>
      <c r="AU7" s="652" t="s">
        <v>308</v>
      </c>
      <c r="AV7" s="603" t="s">
        <v>305</v>
      </c>
      <c r="AW7" s="603"/>
      <c r="AX7" s="603"/>
      <c r="AY7" s="147" t="s">
        <v>299</v>
      </c>
      <c r="AZ7" s="603" t="s">
        <v>283</v>
      </c>
      <c r="BA7" s="603"/>
      <c r="BB7" s="603"/>
    </row>
    <row r="8" spans="2:62" x14ac:dyDescent="0.3">
      <c r="B8" s="654"/>
      <c r="C8" s="226" t="s">
        <v>302</v>
      </c>
      <c r="D8" s="654"/>
      <c r="E8" s="654"/>
      <c r="F8" s="654"/>
      <c r="G8" s="654"/>
      <c r="H8" s="654"/>
      <c r="I8" s="654"/>
      <c r="J8" s="654"/>
      <c r="K8" s="661"/>
      <c r="L8" s="267" t="s">
        <v>323</v>
      </c>
      <c r="M8" s="661"/>
      <c r="N8" s="267" t="s">
        <v>55</v>
      </c>
      <c r="O8" s="267" t="s">
        <v>463</v>
      </c>
      <c r="P8" s="267" t="s">
        <v>465</v>
      </c>
      <c r="Q8" s="267" t="s">
        <v>468</v>
      </c>
      <c r="R8" s="226" t="s">
        <v>289</v>
      </c>
      <c r="S8" s="654"/>
      <c r="T8" s="226" t="s">
        <v>186</v>
      </c>
      <c r="U8" s="654" t="s">
        <v>263</v>
      </c>
      <c r="V8" s="654"/>
      <c r="W8" s="654"/>
      <c r="X8" s="603" t="s">
        <v>481</v>
      </c>
      <c r="Y8" s="603"/>
      <c r="Z8" s="603"/>
      <c r="AA8" s="654"/>
      <c r="AB8" s="654"/>
      <c r="AC8" s="603" t="s">
        <v>265</v>
      </c>
      <c r="AD8" s="603"/>
      <c r="AE8" s="603"/>
      <c r="AF8" s="603" t="s">
        <v>266</v>
      </c>
      <c r="AG8" s="603"/>
      <c r="AH8" s="603"/>
      <c r="AI8" s="603" t="s">
        <v>267</v>
      </c>
      <c r="AJ8" s="603"/>
      <c r="AK8" s="603"/>
      <c r="AL8" s="603" t="s">
        <v>259</v>
      </c>
      <c r="AM8" s="603"/>
      <c r="AN8" s="603"/>
      <c r="AO8" s="147" t="s">
        <v>260</v>
      </c>
      <c r="AP8" s="317" t="s">
        <v>300</v>
      </c>
      <c r="AQ8" s="649"/>
      <c r="AR8" s="650"/>
      <c r="AS8" s="651"/>
      <c r="AT8" s="271" t="s">
        <v>307</v>
      </c>
      <c r="AU8" s="653"/>
      <c r="AV8" s="603" t="s">
        <v>263</v>
      </c>
      <c r="AW8" s="603"/>
      <c r="AX8" s="603"/>
      <c r="AY8" s="147" t="s">
        <v>300</v>
      </c>
      <c r="AZ8" s="603" t="s">
        <v>41</v>
      </c>
      <c r="BA8" s="603"/>
      <c r="BB8" s="603"/>
    </row>
    <row r="9" spans="2:62" x14ac:dyDescent="0.3">
      <c r="B9" s="654"/>
      <c r="C9" s="226" t="s">
        <v>303</v>
      </c>
      <c r="D9" s="654"/>
      <c r="E9" s="654"/>
      <c r="F9" s="654"/>
      <c r="G9" s="654"/>
      <c r="H9" s="654"/>
      <c r="I9" s="654"/>
      <c r="J9" s="654"/>
      <c r="K9" s="653"/>
      <c r="L9" s="225" t="s">
        <v>322</v>
      </c>
      <c r="M9" s="653"/>
      <c r="N9" s="225" t="s">
        <v>71</v>
      </c>
      <c r="O9" s="225"/>
      <c r="P9" s="225" t="s">
        <v>466</v>
      </c>
      <c r="Q9" s="225" t="s">
        <v>466</v>
      </c>
      <c r="R9" s="226" t="s">
        <v>290</v>
      </c>
      <c r="S9" s="654"/>
      <c r="T9" s="226" t="s">
        <v>311</v>
      </c>
      <c r="U9" s="226" t="s">
        <v>255</v>
      </c>
      <c r="V9" s="226" t="s">
        <v>256</v>
      </c>
      <c r="W9" s="226" t="s">
        <v>257</v>
      </c>
      <c r="X9" s="147" t="s">
        <v>255</v>
      </c>
      <c r="Y9" s="147" t="s">
        <v>256</v>
      </c>
      <c r="Z9" s="147" t="s">
        <v>257</v>
      </c>
      <c r="AA9" s="654"/>
      <c r="AB9" s="654"/>
      <c r="AC9" s="147" t="s">
        <v>255</v>
      </c>
      <c r="AD9" s="147" t="s">
        <v>256</v>
      </c>
      <c r="AE9" s="147" t="s">
        <v>257</v>
      </c>
      <c r="AF9" s="147" t="s">
        <v>255</v>
      </c>
      <c r="AG9" s="147" t="s">
        <v>256</v>
      </c>
      <c r="AH9" s="147" t="s">
        <v>257</v>
      </c>
      <c r="AI9" s="147" t="s">
        <v>255</v>
      </c>
      <c r="AJ9" s="147" t="s">
        <v>256</v>
      </c>
      <c r="AK9" s="147" t="s">
        <v>257</v>
      </c>
      <c r="AL9" s="147" t="s">
        <v>255</v>
      </c>
      <c r="AM9" s="147" t="s">
        <v>256</v>
      </c>
      <c r="AN9" s="147" t="s">
        <v>257</v>
      </c>
      <c r="AO9" s="147" t="s">
        <v>255</v>
      </c>
      <c r="AP9" s="147" t="s">
        <v>71</v>
      </c>
      <c r="AQ9" s="147" t="s">
        <v>255</v>
      </c>
      <c r="AR9" s="147" t="s">
        <v>256</v>
      </c>
      <c r="AS9" s="147" t="s">
        <v>257</v>
      </c>
      <c r="AT9" s="271"/>
      <c r="AU9" s="147" t="s">
        <v>309</v>
      </c>
      <c r="AV9" s="147" t="s">
        <v>255</v>
      </c>
      <c r="AW9" s="147" t="s">
        <v>256</v>
      </c>
      <c r="AX9" s="147" t="s">
        <v>257</v>
      </c>
      <c r="AY9" s="147" t="s">
        <v>71</v>
      </c>
      <c r="AZ9" s="147" t="s">
        <v>255</v>
      </c>
      <c r="BA9" s="147" t="s">
        <v>256</v>
      </c>
      <c r="BB9" s="147" t="s">
        <v>257</v>
      </c>
      <c r="BD9" s="15"/>
      <c r="BE9" s="15" t="s">
        <v>280</v>
      </c>
      <c r="BF9" s="15" t="s">
        <v>281</v>
      </c>
      <c r="BG9" s="15" t="s">
        <v>282</v>
      </c>
    </row>
    <row r="10" spans="2:62" x14ac:dyDescent="0.3">
      <c r="B10" s="16">
        <v>1</v>
      </c>
      <c r="C10" s="50"/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161</v>
      </c>
      <c r="R10" s="50">
        <f>Q10*P10*O10</f>
        <v>81.262335000000007</v>
      </c>
      <c r="S10" s="50">
        <f>K10*((1-J10)/J10)</f>
        <v>420.64640000000003</v>
      </c>
      <c r="T10" s="50">
        <f>K10</f>
        <v>292.31359999999995</v>
      </c>
      <c r="U10" s="150">
        <f>AVERAGE('Milling and Leach Feed'!S5:S8)</f>
        <v>0.70799999999999996</v>
      </c>
      <c r="V10" s="150">
        <f>AVERAGE('Milling and Leach Feed'!T5:T8)</f>
        <v>0.53525</v>
      </c>
      <c r="W10" s="150">
        <f>AVERAGE('Milling and Leach Feed'!U5:U8)</f>
        <v>7.2224166666666676</v>
      </c>
      <c r="X10" s="150">
        <f>SUM('Milling and Leach Feed'!V5:V8)/'Au Cal Leaching Tank'!K10</f>
        <v>0.65897435796966009</v>
      </c>
      <c r="Y10" s="150">
        <f>SUM('Milling and Leach Feed'!W5:W8)/'Au Cal Leaching Tank'!K10</f>
        <v>0.56643603797540276</v>
      </c>
      <c r="Z10" s="150">
        <f>SUM('Milling and Leach Feed'!X5:X8)/'Au Cal Leaching Tank'!K10</f>
        <v>7.4363798214475381</v>
      </c>
      <c r="AA10" s="299">
        <f>U10-X10</f>
        <v>4.9025642030339878E-2</v>
      </c>
      <c r="AB10" s="49">
        <f>((U10-X10)/(U10+X10)/2)</f>
        <v>1.7932173249817464E-2</v>
      </c>
      <c r="AC10" s="150">
        <f>'LT Floculation'!G6</f>
        <v>0.11466666666666665</v>
      </c>
      <c r="AD10" s="150">
        <f>'LT Floculation'!H6</f>
        <v>0.65166666666666662</v>
      </c>
      <c r="AE10" s="150">
        <f>'LT Floculation'!I6</f>
        <v>8.9816666666666656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33.518626133333321</v>
      </c>
      <c r="AM10" s="50">
        <f>AD10*K10</f>
        <v>190.49102933333327</v>
      </c>
      <c r="AN10" s="50">
        <f>AE10*K10</f>
        <v>2625.4633173333327</v>
      </c>
      <c r="AO10" s="50">
        <f>AF10*S10</f>
        <v>8.4129280000000008</v>
      </c>
      <c r="AP10" s="50">
        <v>1</v>
      </c>
      <c r="AQ10" s="49">
        <f>((AI10-(AL10+AO10))/AI10)</f>
        <v>0.79739102475770518</v>
      </c>
      <c r="AR10" s="49">
        <f t="shared" ref="AR10" si="1">((AJ10-AM10)/AJ10)*0.95</f>
        <v>-0.1429448195882915</v>
      </c>
      <c r="AS10" s="49">
        <f>((AK10-AN10)/AK10)*0.95</f>
        <v>-0.19741090936804942</v>
      </c>
      <c r="AT10" s="280">
        <v>2</v>
      </c>
      <c r="AU10" s="561">
        <v>1</v>
      </c>
      <c r="AV10" s="50">
        <f>AZ10/$AU10</f>
        <v>165.02647466666664</v>
      </c>
      <c r="AW10" s="50">
        <f t="shared" ref="AV10:AX11" si="2">BA10/$AU10</f>
        <v>-24.914071903006601</v>
      </c>
      <c r="AX10" s="50">
        <f t="shared" si="2"/>
        <v>-451.70836075864599</v>
      </c>
      <c r="AY10" s="50">
        <v>1</v>
      </c>
      <c r="AZ10" s="50">
        <f>(AI10-AL10-AO10)</f>
        <v>165.02647466666664</v>
      </c>
      <c r="BA10" s="50">
        <f>(AJ10-AM10)</f>
        <v>-24.914071903006601</v>
      </c>
      <c r="BB10" s="50">
        <f>(AK10-AN10)</f>
        <v>-451.70836075864599</v>
      </c>
      <c r="BD10" s="54">
        <f>SUM(AZ10:BB10)</f>
        <v>-311.59595799498595</v>
      </c>
      <c r="BE10" s="12">
        <f>AZ10/BD10</f>
        <v>-0.52961686579169998</v>
      </c>
      <c r="BF10" s="12">
        <f>BA10/BD10</f>
        <v>7.99563385331446E-2</v>
      </c>
      <c r="BG10" s="12">
        <f>BB10/BD10</f>
        <v>1.4496605272585554</v>
      </c>
    </row>
    <row r="11" spans="2:62" x14ac:dyDescent="0.3">
      <c r="B11" s="16">
        <v>2</v>
      </c>
      <c r="C11" s="50"/>
      <c r="D11" s="16">
        <v>3</v>
      </c>
      <c r="E11" s="84">
        <v>46268</v>
      </c>
      <c r="F11" s="115">
        <v>0.75</v>
      </c>
      <c r="G11" s="84">
        <v>46269</v>
      </c>
      <c r="H11" s="115"/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16"/>
      <c r="P11" s="16"/>
      <c r="Q11" s="16"/>
      <c r="R11" s="16"/>
      <c r="S11" s="50">
        <f>K11*((1-J11)/J11)</f>
        <v>397.86285000000004</v>
      </c>
      <c r="T11" s="50">
        <f>K11+K10</f>
        <v>592.45574999999997</v>
      </c>
      <c r="U11" s="150">
        <f>AVERAGE('Milling and Leach Feed'!S9:S11)</f>
        <v>0.80977777777777771</v>
      </c>
      <c r="V11" s="150">
        <f>AVERAGE('Milling and Leach Feed'!T9:T11)</f>
        <v>0.63444444444444448</v>
      </c>
      <c r="W11" s="150">
        <f>AVERAGE('Milling and Leach Feed'!U9:U11)</f>
        <v>8.8466666666666658</v>
      </c>
      <c r="X11" s="150">
        <f>SUM('Milling and Leach Feed'!V9:V11)/'Au Cal Leaching Tank'!$K$11</f>
        <v>0.81628536522888684</v>
      </c>
      <c r="Y11" s="150">
        <f>SUM('Milling and Leach Feed'!W9:W11)/'Au Cal Leaching Tank'!$K$11</f>
        <v>0.63013127335386465</v>
      </c>
      <c r="Z11" s="150">
        <f>SUM('Milling and Leach Feed'!X9:X11)/'Au Cal Leaching Tank'!$K$11</f>
        <v>8.8879862375211207</v>
      </c>
      <c r="AA11" s="299">
        <f>X11-U11</f>
        <v>6.5075874511091314E-3</v>
      </c>
      <c r="AB11" s="577">
        <f>((X11-U11)/(X11+U11)/2)</f>
        <v>2.0010254457512354E-3</v>
      </c>
      <c r="AC11" s="150"/>
      <c r="AD11" s="150"/>
      <c r="AE11" s="150"/>
      <c r="AF11" s="16">
        <v>4.1000000000000002E-2</v>
      </c>
      <c r="AG11" s="6"/>
      <c r="AH11" s="6"/>
      <c r="AI11" s="50">
        <f>U11*$K11</f>
        <v>243.04844324444443</v>
      </c>
      <c r="AJ11" s="50">
        <f>V11*$K11</f>
        <v>190.42351961111112</v>
      </c>
      <c r="AK11" s="50">
        <f t="shared" ref="AK11" si="3">W11*$K11</f>
        <v>2655.2575536666664</v>
      </c>
      <c r="AL11" s="50">
        <f t="shared" ref="AL11:AN11" si="4">AC11*$K11</f>
        <v>0</v>
      </c>
      <c r="AM11" s="50">
        <f t="shared" si="4"/>
        <v>0</v>
      </c>
      <c r="AN11" s="50">
        <f t="shared" si="4"/>
        <v>0</v>
      </c>
      <c r="AO11" s="50">
        <f>AF11*S11</f>
        <v>16.312376850000003</v>
      </c>
      <c r="AP11" s="50">
        <v>2</v>
      </c>
      <c r="AQ11" s="49">
        <f>((AI11-(AL11+AO11))/AI11)</f>
        <v>0.93288425701375954</v>
      </c>
      <c r="AR11" s="49">
        <f>(AJ11-AM11)/AJ11</f>
        <v>1</v>
      </c>
      <c r="AS11" s="49">
        <f>(AK11-AN11)/AK11</f>
        <v>1</v>
      </c>
      <c r="AT11" s="280">
        <v>3</v>
      </c>
      <c r="AU11" s="561">
        <v>1</v>
      </c>
      <c r="AV11" s="50">
        <f t="shared" si="2"/>
        <v>226.73606639444444</v>
      </c>
      <c r="AW11" s="50">
        <f t="shared" si="2"/>
        <v>190.42351961111112</v>
      </c>
      <c r="AX11" s="50">
        <f t="shared" si="2"/>
        <v>2655.2575536666664</v>
      </c>
      <c r="AY11" s="50">
        <v>2</v>
      </c>
      <c r="AZ11" s="50">
        <f t="shared" ref="AZ11:AZ15" si="5">(AI11-AL11-AO11)</f>
        <v>226.73606639444444</v>
      </c>
      <c r="BA11" s="50">
        <f t="shared" ref="BA11" si="6">(AJ11-AM11)</f>
        <v>190.42351961111112</v>
      </c>
      <c r="BB11" s="50">
        <f>(AK11-AN11)</f>
        <v>2655.2575536666664</v>
      </c>
    </row>
    <row r="12" spans="2:62" x14ac:dyDescent="0.3">
      <c r="B12" s="16">
        <v>3</v>
      </c>
      <c r="C12" s="50"/>
      <c r="D12" s="16">
        <v>2</v>
      </c>
      <c r="E12" s="84"/>
      <c r="F12" s="115"/>
      <c r="G12" s="84"/>
      <c r="H12" s="115"/>
      <c r="I12" s="16"/>
      <c r="J12" s="51"/>
      <c r="K12" s="50"/>
      <c r="L12" s="50"/>
      <c r="M12" s="16"/>
      <c r="N12" s="16">
        <v>2</v>
      </c>
      <c r="O12" s="16"/>
      <c r="P12" s="16"/>
      <c r="Q12" s="16"/>
      <c r="R12" s="16"/>
      <c r="S12" s="50"/>
      <c r="T12" s="50"/>
      <c r="U12" s="150"/>
      <c r="V12" s="150"/>
      <c r="W12" s="150"/>
      <c r="X12" s="6"/>
      <c r="Y12" s="6"/>
      <c r="Z12" s="6"/>
      <c r="AA12" s="6"/>
      <c r="AB12" s="6"/>
      <c r="AC12" s="150"/>
      <c r="AD12" s="150"/>
      <c r="AE12" s="150"/>
      <c r="AF12" s="16"/>
      <c r="AG12" s="6"/>
      <c r="AH12" s="6"/>
      <c r="AI12" s="50">
        <f>$L12*U12</f>
        <v>0</v>
      </c>
      <c r="AJ12" s="50">
        <f t="shared" ref="AJ12:AK12" si="7">$L12*V12</f>
        <v>0</v>
      </c>
      <c r="AK12" s="50">
        <f t="shared" si="7"/>
        <v>0</v>
      </c>
      <c r="AL12" s="50">
        <f>AC12*$L12</f>
        <v>0</v>
      </c>
      <c r="AM12" s="50">
        <f>AD12*$L12</f>
        <v>0</v>
      </c>
      <c r="AN12" s="50">
        <f>AE12*$L12</f>
        <v>0</v>
      </c>
      <c r="AO12" s="50">
        <f>AF12*S12</f>
        <v>0</v>
      </c>
      <c r="AP12" s="50">
        <v>3</v>
      </c>
      <c r="AQ12" s="49" t="e">
        <f>((AI12-(AL12+AO12))/AI12)</f>
        <v>#DIV/0!</v>
      </c>
      <c r="AR12" s="49" t="e">
        <f t="shared" ref="AR12:AR13" si="8">(AJ12-AM12)/AJ12</f>
        <v>#DIV/0!</v>
      </c>
      <c r="AS12" s="49" t="e">
        <f t="shared" ref="AS12" si="9">(AK12-AN12)/AK12</f>
        <v>#DIV/0!</v>
      </c>
      <c r="AT12" s="280">
        <v>2</v>
      </c>
      <c r="AU12" s="562">
        <v>1</v>
      </c>
      <c r="AV12" s="50">
        <f>(AZ10+AZ12)/AU12</f>
        <v>165.02647466666664</v>
      </c>
      <c r="AW12" s="50">
        <f>(BA10+BA12)/AU12</f>
        <v>-24.914071903006601</v>
      </c>
      <c r="AX12" s="300">
        <f>(AX10+BB12)/AU12</f>
        <v>-451.70836075864599</v>
      </c>
      <c r="AY12" s="300">
        <v>3</v>
      </c>
      <c r="AZ12" s="50">
        <f t="shared" si="5"/>
        <v>0</v>
      </c>
      <c r="BA12" s="50">
        <f t="shared" ref="BA12:BA13" si="10">(AJ12-AM12)</f>
        <v>0</v>
      </c>
      <c r="BB12" s="50">
        <f t="shared" ref="BB12:BB13" si="11">(AK12-AN12)</f>
        <v>0</v>
      </c>
      <c r="BD12" s="13">
        <f>AZ10+AZ12+AZ14</f>
        <v>165.02647466666664</v>
      </c>
      <c r="BE12" s="13">
        <f t="shared" ref="BE12:BF12" si="12">BA10+BA12+BA14</f>
        <v>-24.914071903006601</v>
      </c>
      <c r="BF12" s="13">
        <f t="shared" si="12"/>
        <v>-451.70836075864599</v>
      </c>
    </row>
    <row r="13" spans="2:62" x14ac:dyDescent="0.3">
      <c r="B13" s="16">
        <v>4</v>
      </c>
      <c r="C13" s="50"/>
      <c r="D13" s="16">
        <v>3</v>
      </c>
      <c r="E13" s="84"/>
      <c r="F13" s="115"/>
      <c r="G13" s="84"/>
      <c r="H13" s="115"/>
      <c r="I13" s="16"/>
      <c r="J13" s="51"/>
      <c r="K13" s="50"/>
      <c r="L13" s="50"/>
      <c r="M13" s="16"/>
      <c r="N13" s="16">
        <v>3</v>
      </c>
      <c r="O13" s="16"/>
      <c r="P13" s="16"/>
      <c r="Q13" s="16"/>
      <c r="R13" s="50"/>
      <c r="S13" s="50"/>
      <c r="T13" s="50"/>
      <c r="U13" s="150"/>
      <c r="V13" s="150"/>
      <c r="W13" s="150"/>
      <c r="X13" s="6"/>
      <c r="Y13" s="6"/>
      <c r="Z13" s="6"/>
      <c r="AA13" s="6"/>
      <c r="AB13" s="6"/>
      <c r="AC13" s="150"/>
      <c r="AD13" s="150"/>
      <c r="AE13" s="150"/>
      <c r="AF13" s="16"/>
      <c r="AG13" s="6"/>
      <c r="AH13" s="6"/>
      <c r="AI13" s="50">
        <f t="shared" ref="AI13:AI14" si="13">$L13*U13</f>
        <v>0</v>
      </c>
      <c r="AJ13" s="50">
        <f t="shared" ref="AJ13:AJ14" si="14">$L13*V13</f>
        <v>0</v>
      </c>
      <c r="AK13" s="50">
        <f t="shared" ref="AK13:AK14" si="15">$L13*W13</f>
        <v>0</v>
      </c>
      <c r="AL13" s="50">
        <f>AC13*$L13</f>
        <v>0</v>
      </c>
      <c r="AM13" s="50">
        <f t="shared" ref="AM13:AN14" si="16">AD13*$L13</f>
        <v>0</v>
      </c>
      <c r="AN13" s="50">
        <f t="shared" si="16"/>
        <v>0</v>
      </c>
      <c r="AO13" s="50">
        <f>AF13*S13</f>
        <v>0</v>
      </c>
      <c r="AP13" s="50">
        <v>4</v>
      </c>
      <c r="AQ13" s="49" t="e">
        <f t="shared" ref="AQ13" si="17">((AI13-(AL13+AO13))/AI13)</f>
        <v>#DIV/0!</v>
      </c>
      <c r="AR13" s="49" t="e">
        <f t="shared" si="8"/>
        <v>#DIV/0!</v>
      </c>
      <c r="AS13" s="49" t="e">
        <f>(AK13-AN13)/AK13</f>
        <v>#DIV/0!</v>
      </c>
      <c r="AT13" s="280">
        <v>3</v>
      </c>
      <c r="AU13" s="562">
        <v>1</v>
      </c>
      <c r="AV13" s="50">
        <f>(AZ11+AZ13)/AU13</f>
        <v>226.73606639444444</v>
      </c>
      <c r="AW13" s="50">
        <f>(AZ11+AZ13)/AU13</f>
        <v>226.73606639444444</v>
      </c>
      <c r="AX13" s="300">
        <f>(BA11+BA13)/AU13</f>
        <v>190.42351961111112</v>
      </c>
      <c r="AY13" s="300">
        <v>4</v>
      </c>
      <c r="AZ13" s="50">
        <f t="shared" si="5"/>
        <v>0</v>
      </c>
      <c r="BA13" s="50">
        <f t="shared" si="10"/>
        <v>0</v>
      </c>
      <c r="BB13" s="50">
        <f t="shared" si="11"/>
        <v>0</v>
      </c>
      <c r="BD13" s="13">
        <f>AZ11+AZ13</f>
        <v>226.73606639444444</v>
      </c>
      <c r="BE13" s="13">
        <f t="shared" ref="BE13:BF13" si="18">BA11+BA13</f>
        <v>190.42351961111112</v>
      </c>
      <c r="BF13" s="13">
        <f t="shared" si="18"/>
        <v>2655.2575536666664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/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3"/>
        <v>0</v>
      </c>
      <c r="AJ14" s="50">
        <f t="shared" si="14"/>
        <v>0</v>
      </c>
      <c r="AK14" s="50">
        <f t="shared" si="15"/>
        <v>0</v>
      </c>
      <c r="AL14" s="50">
        <f>AC14*$L14</f>
        <v>0</v>
      </c>
      <c r="AM14" s="50">
        <f t="shared" si="16"/>
        <v>0</v>
      </c>
      <c r="AN14" s="50">
        <f t="shared" si="16"/>
        <v>0</v>
      </c>
      <c r="AO14" s="50">
        <f t="shared" ref="AO14" si="19">AF14*S14</f>
        <v>0</v>
      </c>
      <c r="AP14" s="50">
        <v>5</v>
      </c>
      <c r="AQ14" s="49" t="e">
        <f>((AI14-(AL14+AO14))/AI14)</f>
        <v>#DIV/0!</v>
      </c>
      <c r="AR14" s="49" t="e">
        <f t="shared" ref="AR14:AR15" si="20">(AJ14-AM14)/AJ14</f>
        <v>#DIV/0!</v>
      </c>
      <c r="AS14" s="49" t="e">
        <f>(AK14-AN14)/AK14</f>
        <v>#DIV/0!</v>
      </c>
      <c r="AT14" s="280">
        <v>2</v>
      </c>
      <c r="AU14" s="562">
        <v>1</v>
      </c>
      <c r="AV14" s="50">
        <f>(AZ10+AZ12+AZ14)/AU14</f>
        <v>165.02647466666664</v>
      </c>
      <c r="AW14" s="50">
        <f>(BA10+BA12+BA14)/AU14</f>
        <v>-24.914071903006601</v>
      </c>
      <c r="AX14" s="50">
        <f>(BB10+BB12+BB14)/AU14</f>
        <v>-451.70836075864599</v>
      </c>
      <c r="AY14" s="50">
        <v>5</v>
      </c>
      <c r="AZ14" s="50">
        <f t="shared" si="5"/>
        <v>0</v>
      </c>
      <c r="BA14" s="50">
        <f t="shared" ref="BA14" si="21">(AJ14-AM14)</f>
        <v>0</v>
      </c>
      <c r="BB14" s="50">
        <f t="shared" ref="BB14" si="22">(AK14-AN14)</f>
        <v>0</v>
      </c>
      <c r="BD14" s="13">
        <f>BD12+BD13</f>
        <v>391.76254106111105</v>
      </c>
      <c r="BE14" s="13">
        <f t="shared" ref="BE14:BF14" si="23">BE12+BE13</f>
        <v>165.50944770810452</v>
      </c>
      <c r="BF14" s="13">
        <f t="shared" si="23"/>
        <v>2203.5491929080204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4">$L15*U15</f>
        <v>0</v>
      </c>
      <c r="AJ15" s="50">
        <f t="shared" ref="AJ15" si="25">$L15*V15</f>
        <v>0</v>
      </c>
      <c r="AK15" s="50">
        <f t="shared" ref="AK15" si="26">$L15*W15</f>
        <v>0</v>
      </c>
      <c r="AL15" s="50">
        <f>AC15*$L15</f>
        <v>0</v>
      </c>
      <c r="AM15" s="50">
        <f t="shared" ref="AM15" si="27">AD15*$L15</f>
        <v>0</v>
      </c>
      <c r="AN15" s="50">
        <f t="shared" ref="AN15" si="28">AE15*$L15</f>
        <v>0</v>
      </c>
      <c r="AO15" s="50">
        <f>AF15*S15</f>
        <v>0</v>
      </c>
      <c r="AP15" s="50">
        <v>6</v>
      </c>
      <c r="AQ15" s="49" t="e">
        <f>((AI15-(AL15+AO15))/AI15)</f>
        <v>#DIV/0!</v>
      </c>
      <c r="AR15" s="49" t="e">
        <f t="shared" si="20"/>
        <v>#DIV/0!</v>
      </c>
      <c r="AS15" s="49" t="e">
        <f t="shared" ref="AS15" si="29">(AK15-AN15)/AK15</f>
        <v>#DIV/0!</v>
      </c>
      <c r="AT15" s="280">
        <v>3</v>
      </c>
      <c r="AU15" s="563">
        <v>1</v>
      </c>
      <c r="AV15" s="50">
        <f>(AZ11+AZ13+AZ15)/AU15</f>
        <v>226.73606639444444</v>
      </c>
      <c r="AW15" s="50">
        <f>(BA11+BA13+BA15)/AU15</f>
        <v>190.42351961111112</v>
      </c>
      <c r="AX15" s="50">
        <f>(BB11+BB13+BB15)/AU15</f>
        <v>2655.2575536666664</v>
      </c>
      <c r="AY15" s="50">
        <v>6</v>
      </c>
      <c r="AZ15" s="50">
        <f t="shared" si="5"/>
        <v>0</v>
      </c>
      <c r="BA15" s="50">
        <f t="shared" ref="BA15" si="30">(AJ15-AM15)</f>
        <v>0</v>
      </c>
      <c r="BB15" s="50">
        <f t="shared" ref="BB15" si="31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6"/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51"/>
      <c r="AR16" s="51"/>
      <c r="AS16" s="51"/>
      <c r="AT16" s="272"/>
      <c r="AU16" s="6"/>
      <c r="AV16" s="6"/>
      <c r="AW16" s="6"/>
      <c r="AX16" s="249"/>
      <c r="AY16" s="314" t="s">
        <v>18</v>
      </c>
      <c r="AZ16" s="315">
        <f>SUM(AZ10:AZ15)</f>
        <v>391.76254106111105</v>
      </c>
      <c r="BA16" s="315">
        <f t="shared" ref="BA16:BB16" si="32">SUM(BA10:BA15)</f>
        <v>165.50944770810452</v>
      </c>
      <c r="BB16" s="315">
        <f t="shared" si="32"/>
        <v>2203.5491929080204</v>
      </c>
      <c r="BJ16" s="15">
        <f>BJ15*0.4</f>
        <v>870.40000000000009</v>
      </c>
    </row>
    <row r="17" spans="2:62" x14ac:dyDescent="0.3">
      <c r="B17" s="16">
        <v>8</v>
      </c>
      <c r="C17" s="6"/>
      <c r="D17" s="6"/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272"/>
      <c r="AU17" s="6"/>
      <c r="AV17" s="6"/>
      <c r="AW17" s="6"/>
      <c r="AX17" s="249"/>
      <c r="AY17" s="249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6"/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272"/>
      <c r="AU18" s="6"/>
      <c r="AV18" s="6"/>
      <c r="AW18" s="6"/>
      <c r="AX18" s="249"/>
      <c r="AY18" s="249"/>
      <c r="AZ18" s="6"/>
      <c r="BA18" s="6"/>
      <c r="BB18" s="6"/>
    </row>
    <row r="19" spans="2:62" x14ac:dyDescent="0.3">
      <c r="B19" s="16">
        <v>10</v>
      </c>
      <c r="C19" s="6"/>
      <c r="D19" s="6"/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6"/>
      <c r="AR19" s="6"/>
      <c r="AS19" s="6"/>
      <c r="AT19" s="272"/>
      <c r="AU19" s="6"/>
      <c r="AV19" s="6"/>
      <c r="AW19" s="6"/>
      <c r="AX19" s="249"/>
      <c r="AY19" s="249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272"/>
      <c r="AU20" s="6"/>
      <c r="AV20" s="6"/>
      <c r="AW20" s="6"/>
      <c r="AX20" s="249"/>
      <c r="AY20" s="249"/>
      <c r="AZ20" s="6"/>
      <c r="BA20" s="6"/>
      <c r="BB20" s="6"/>
      <c r="BE20" s="54">
        <f>AV14*$AU14</f>
        <v>165.02647466666664</v>
      </c>
      <c r="BF20" s="54">
        <f>AW14*$AU14</f>
        <v>-24.914071903006601</v>
      </c>
      <c r="BG20" s="54">
        <f>AX14*$AU14</f>
        <v>-451.70836075864599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272"/>
      <c r="AU21" s="6"/>
      <c r="AV21" s="6"/>
      <c r="AW21" s="6"/>
      <c r="AX21" s="249"/>
      <c r="AY21" s="249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272"/>
      <c r="AU22" s="6"/>
      <c r="AV22" s="6"/>
      <c r="AW22" s="6"/>
      <c r="AX22" s="249"/>
      <c r="AY22" s="249"/>
      <c r="AZ22" s="6"/>
      <c r="BA22" s="6"/>
      <c r="BB22" s="6"/>
      <c r="BE22" s="13">
        <f>SUM(BE20:BG20)/AU14</f>
        <v>-311.59595799498595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272"/>
      <c r="AU23" s="6"/>
      <c r="AV23" s="6"/>
      <c r="AW23" s="6"/>
      <c r="AX23" s="249"/>
      <c r="AY23" s="249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272"/>
      <c r="AU24" s="6"/>
      <c r="AV24" s="6"/>
      <c r="AW24" s="6"/>
      <c r="AX24" s="249"/>
      <c r="AY24" s="249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330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272"/>
      <c r="AU25" s="6"/>
      <c r="AV25" s="6"/>
      <c r="AW25" s="6"/>
      <c r="AX25" s="249"/>
      <c r="AY25" s="249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272"/>
      <c r="AU26" s="6"/>
      <c r="AV26" s="6"/>
      <c r="AW26" s="6"/>
      <c r="AX26" s="249"/>
      <c r="AY26" s="249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272"/>
      <c r="AU27" s="6"/>
      <c r="AV27" s="6"/>
      <c r="AW27" s="6"/>
      <c r="AX27" s="249"/>
      <c r="AY27" s="249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272"/>
      <c r="AU28" s="6"/>
      <c r="AV28" s="6"/>
      <c r="AW28" s="6"/>
      <c r="AX28" s="249"/>
      <c r="AY28" s="249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272"/>
      <c r="AU29" s="6"/>
      <c r="AV29" s="6"/>
      <c r="AW29" s="6"/>
      <c r="AX29" s="249"/>
      <c r="AY29" s="249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272"/>
      <c r="AU30" s="6"/>
      <c r="AV30" s="6"/>
      <c r="AW30" s="6"/>
      <c r="AX30" s="249"/>
      <c r="AY30" s="249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272"/>
      <c r="AU31" s="6"/>
      <c r="AV31" s="6"/>
      <c r="AW31" s="6"/>
      <c r="AX31" s="249"/>
      <c r="AY31" s="249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272"/>
      <c r="AU32" s="6"/>
      <c r="AV32" s="6"/>
      <c r="AW32" s="6"/>
      <c r="AX32" s="249"/>
      <c r="AY32" s="249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272"/>
      <c r="AU33" s="6"/>
      <c r="AV33" s="6"/>
      <c r="AW33" s="6"/>
      <c r="AX33" s="249"/>
      <c r="AY33" s="249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272"/>
      <c r="AU34" s="6"/>
      <c r="AV34" s="6"/>
      <c r="AW34" s="6"/>
      <c r="AX34" s="249"/>
      <c r="AY34" s="249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272"/>
      <c r="AU35" s="6"/>
      <c r="AV35" s="6"/>
      <c r="AW35" s="6"/>
      <c r="AX35" s="249"/>
      <c r="AY35" s="249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272"/>
      <c r="AU36" s="6"/>
      <c r="AV36" s="6"/>
      <c r="AW36" s="6"/>
      <c r="AX36" s="249"/>
      <c r="AY36" s="249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272"/>
      <c r="AU37" s="6"/>
      <c r="AV37" s="6"/>
      <c r="AW37" s="6"/>
      <c r="AX37" s="249"/>
      <c r="AY37" s="249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272"/>
      <c r="AU38" s="6"/>
      <c r="AV38" s="6"/>
      <c r="AW38" s="6"/>
      <c r="AX38" s="249"/>
      <c r="AY38" s="249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272"/>
      <c r="AU39" s="6"/>
      <c r="AV39" s="6"/>
      <c r="AW39" s="6"/>
      <c r="AX39" s="249"/>
      <c r="AY39" s="249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272"/>
      <c r="AU40" s="6"/>
      <c r="AV40" s="6"/>
      <c r="AW40" s="6"/>
      <c r="AX40" s="249"/>
      <c r="AY40" s="249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272"/>
      <c r="AU41" s="6"/>
      <c r="AV41" s="6"/>
      <c r="AW41" s="6"/>
      <c r="AX41" s="249"/>
      <c r="AY41" s="249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272"/>
      <c r="AU42" s="6"/>
      <c r="AV42" s="6"/>
      <c r="AW42" s="6"/>
      <c r="AX42" s="249"/>
      <c r="AY42" s="249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272"/>
      <c r="AU43" s="6"/>
      <c r="AV43" s="6"/>
      <c r="AW43" s="6"/>
      <c r="AX43" s="249"/>
      <c r="AY43" s="249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272"/>
      <c r="AU44" s="6"/>
      <c r="AV44" s="6"/>
      <c r="AW44" s="6"/>
      <c r="AX44" s="249"/>
      <c r="AY44" s="249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272"/>
      <c r="AU45" s="6"/>
      <c r="AV45" s="6"/>
      <c r="AW45" s="6"/>
      <c r="AX45" s="249"/>
      <c r="AY45" s="249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272"/>
      <c r="AU46" s="6"/>
      <c r="AV46" s="6"/>
      <c r="AW46" s="6"/>
      <c r="AX46" s="249"/>
      <c r="AY46" s="249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272"/>
      <c r="AU47" s="6"/>
      <c r="AV47" s="6"/>
      <c r="AW47" s="6"/>
      <c r="AX47" s="249"/>
      <c r="AY47" s="249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272"/>
      <c r="AU48" s="6"/>
      <c r="AV48" s="6"/>
      <c r="AW48" s="6"/>
      <c r="AX48" s="249"/>
      <c r="AY48" s="249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272"/>
      <c r="AU49" s="6"/>
      <c r="AV49" s="6"/>
      <c r="AW49" s="6"/>
      <c r="AX49" s="249"/>
      <c r="AY49" s="249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272"/>
      <c r="AU50" s="6"/>
      <c r="AV50" s="6"/>
      <c r="AW50" s="6"/>
      <c r="AX50" s="249"/>
      <c r="AY50" s="249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272"/>
      <c r="AU51" s="6"/>
      <c r="AV51" s="6"/>
      <c r="AW51" s="6"/>
      <c r="AX51" s="249"/>
      <c r="AY51" s="249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272"/>
      <c r="AU52" s="6"/>
      <c r="AV52" s="6"/>
      <c r="AW52" s="6"/>
      <c r="AX52" s="249"/>
      <c r="AY52" s="249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272"/>
      <c r="AU53" s="6"/>
      <c r="AV53" s="6"/>
      <c r="AW53" s="6"/>
      <c r="AX53" s="249"/>
      <c r="AY53" s="249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272"/>
      <c r="AU54" s="6"/>
      <c r="AV54" s="6"/>
      <c r="AW54" s="6"/>
      <c r="AX54" s="249"/>
      <c r="AY54" s="249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272"/>
      <c r="AU55" s="6"/>
      <c r="AV55" s="6"/>
      <c r="AW55" s="6"/>
      <c r="AX55" s="249"/>
      <c r="AY55" s="249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272"/>
      <c r="AU56" s="6"/>
      <c r="AV56" s="6"/>
      <c r="AW56" s="6"/>
      <c r="AX56" s="249"/>
      <c r="AY56" s="249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272"/>
      <c r="AU57" s="6"/>
      <c r="AV57" s="6"/>
      <c r="AW57" s="6"/>
      <c r="AX57" s="249"/>
      <c r="AY57" s="249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272"/>
      <c r="AU58" s="6"/>
      <c r="AV58" s="6"/>
      <c r="AW58" s="6"/>
      <c r="AX58" s="249"/>
      <c r="AY58" s="249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272"/>
      <c r="AU59" s="6"/>
      <c r="AV59" s="6"/>
      <c r="AW59" s="6"/>
      <c r="AX59" s="249"/>
      <c r="AY59" s="249"/>
      <c r="AZ59" s="6"/>
      <c r="BA59" s="6"/>
      <c r="BB59" s="6"/>
    </row>
    <row r="60" spans="2:57" x14ac:dyDescent="0.3">
      <c r="B60" s="151" t="s">
        <v>270</v>
      </c>
      <c r="C60" s="152" t="e">
        <f>AVERAGE(C10:C59)</f>
        <v>#DIV/0!</v>
      </c>
      <c r="D60" s="151"/>
      <c r="E60" s="151"/>
      <c r="F60" s="151"/>
      <c r="G60" s="151"/>
      <c r="H60" s="151"/>
      <c r="I60" s="151"/>
      <c r="J60" s="151"/>
      <c r="K60" s="152">
        <f>AVERAGE(K10:K59)</f>
        <v>296.22787499999998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8">
        <f>AVERAGE(U10:U59)</f>
        <v>0.75888888888888884</v>
      </c>
      <c r="V60" s="228">
        <f t="shared" ref="V60:W60" si="33">AVERAGE(V10:V59)</f>
        <v>0.5848472222222223</v>
      </c>
      <c r="W60" s="228">
        <f t="shared" si="33"/>
        <v>8.0345416666666658</v>
      </c>
      <c r="X60" s="228">
        <f>AVERAGE(X10:X59)</f>
        <v>0.73762986159927346</v>
      </c>
      <c r="Y60" s="228">
        <f t="shared" ref="Y60:Z60" si="34">AVERAGE(Y10:Y59)</f>
        <v>0.59828365566463371</v>
      </c>
      <c r="Z60" s="228">
        <f t="shared" si="34"/>
        <v>8.1621830294843285</v>
      </c>
      <c r="AA60" s="151"/>
      <c r="AB60" s="151"/>
      <c r="AC60" s="228">
        <f>AVERAGE(AC10:AC15)</f>
        <v>0.11466666666666665</v>
      </c>
      <c r="AD60" s="228">
        <f t="shared" ref="AD60:AE60" si="35">AVERAGE(AD10:AD15)</f>
        <v>0.65166666666666662</v>
      </c>
      <c r="AE60" s="228">
        <f t="shared" si="35"/>
        <v>8.9816666666666656</v>
      </c>
      <c r="AF60" s="228">
        <f>AVERAGE(AF10:AF15)</f>
        <v>3.0499999999999999E-2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84" t="e">
        <f>AVERAGE(AQ10:AQ15)</f>
        <v>#DIV/0!</v>
      </c>
      <c r="AR60" s="284" t="e">
        <f t="shared" ref="AR60:AS60" si="36">AVERAGE(AR10:AR15)</f>
        <v>#DIV/0!</v>
      </c>
      <c r="AS60" s="284" t="e">
        <f t="shared" si="36"/>
        <v>#DIV/0!</v>
      </c>
      <c r="AT60" s="273"/>
      <c r="AU60" s="227"/>
      <c r="AV60" s="227"/>
      <c r="AW60" s="227"/>
      <c r="AX60" s="250"/>
      <c r="AY60" s="250"/>
      <c r="AZ60" s="254"/>
      <c r="BA60" s="254"/>
      <c r="BB60" s="254"/>
    </row>
    <row r="61" spans="2:57" x14ac:dyDescent="0.3">
      <c r="B61" s="151" t="s">
        <v>18</v>
      </c>
      <c r="C61" s="152">
        <f>SUM(C10:C59)</f>
        <v>0</v>
      </c>
      <c r="D61" s="151"/>
      <c r="E61" s="151"/>
      <c r="F61" s="151"/>
      <c r="G61" s="151"/>
      <c r="H61" s="151"/>
      <c r="I61" s="151"/>
      <c r="J61" s="151"/>
      <c r="K61" s="152">
        <f>SUM(K10:K59)-SUM(R12:R15)</f>
        <v>592.45574999999997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7"/>
      <c r="AS61" s="227"/>
      <c r="AT61" s="273"/>
      <c r="AU61" s="227"/>
      <c r="AV61" s="227"/>
      <c r="AW61" s="227"/>
      <c r="AX61" s="250"/>
      <c r="AY61" s="250"/>
      <c r="AZ61" s="257">
        <f>SUM(AZ10:AZ15)</f>
        <v>391.76254106111105</v>
      </c>
      <c r="BA61" s="257">
        <f t="shared" ref="BA61:BB61" si="37">SUM(BA10:BA15)</f>
        <v>165.50944770810452</v>
      </c>
      <c r="BB61" s="257">
        <f t="shared" si="37"/>
        <v>2203.5491929080204</v>
      </c>
      <c r="BC61" s="54">
        <f>SUM(AZ61:BB61)</f>
        <v>2760.8211816772359</v>
      </c>
      <c r="BD61" s="15"/>
      <c r="BE61" s="15"/>
    </row>
    <row r="62" spans="2:57" x14ac:dyDescent="0.3">
      <c r="K62" s="13"/>
      <c r="T62" s="1" t="s">
        <v>207</v>
      </c>
      <c r="U62" s="306">
        <f>MEDIAN(U10:U59)</f>
        <v>0.75888888888888884</v>
      </c>
      <c r="V62" s="306">
        <f t="shared" ref="V62:W62" si="38">MEDIAN(V10:V59)</f>
        <v>0.5848472222222223</v>
      </c>
      <c r="W62" s="306">
        <f t="shared" si="38"/>
        <v>8.0345416666666658</v>
      </c>
      <c r="X62" s="306">
        <f>MEDIAN(X10:X59)</f>
        <v>0.73762986159927346</v>
      </c>
      <c r="Y62" s="306">
        <f t="shared" ref="Y62:Z62" si="39">MEDIAN(Y10:Y59)</f>
        <v>0.59828365566463371</v>
      </c>
      <c r="Z62" s="306">
        <f t="shared" si="39"/>
        <v>8.1621830294843285</v>
      </c>
      <c r="AZ62" s="6"/>
      <c r="BA62" s="6"/>
      <c r="BB62" s="6"/>
      <c r="BC62" s="12">
        <f>AZ61/BC61</f>
        <v>0.14190072999335293</v>
      </c>
      <c r="BD62" s="12">
        <f>BA61/BC61</f>
        <v>5.9949354491534039E-2</v>
      </c>
      <c r="BE62" s="12">
        <f>BB61/BC61</f>
        <v>0.79814991551511305</v>
      </c>
    </row>
    <row r="63" spans="2:57" x14ac:dyDescent="0.3">
      <c r="AI63" s="1" t="e">
        <f>(U60*K61)*AQ60</f>
        <v>#DIV/0!</v>
      </c>
    </row>
    <row r="64" spans="2:57" x14ac:dyDescent="0.3">
      <c r="V64" s="153"/>
    </row>
    <row r="65" spans="9:52" x14ac:dyDescent="0.3">
      <c r="AL65" s="594" t="s">
        <v>317</v>
      </c>
      <c r="AM65" s="594"/>
      <c r="AN65" s="594"/>
      <c r="AO65" s="594"/>
      <c r="AP65" s="318"/>
      <c r="AZ65" s="54">
        <f>BC61/2.7</f>
        <v>1022.5263635841613</v>
      </c>
    </row>
    <row r="66" spans="9:52" x14ac:dyDescent="0.3">
      <c r="I66" s="265" t="s">
        <v>312</v>
      </c>
      <c r="J66" s="265" t="s">
        <v>313</v>
      </c>
      <c r="K66" s="265" t="s">
        <v>314</v>
      </c>
      <c r="L66" s="265"/>
      <c r="M66" s="265" t="s">
        <v>315</v>
      </c>
      <c r="N66" s="265"/>
      <c r="O66" s="265"/>
      <c r="P66" s="265"/>
      <c r="Q66" s="265"/>
      <c r="R66" s="265" t="s">
        <v>316</v>
      </c>
      <c r="AL66" s="265"/>
      <c r="AM66" s="265" t="s">
        <v>255</v>
      </c>
      <c r="AN66" s="265" t="s">
        <v>256</v>
      </c>
      <c r="AO66" s="265" t="s">
        <v>257</v>
      </c>
      <c r="AP66" s="318"/>
    </row>
    <row r="67" spans="9:52" x14ac:dyDescent="0.3">
      <c r="I67" s="50">
        <f>SUM(C10:C15)</f>
        <v>0</v>
      </c>
      <c r="J67" s="50">
        <f>'Milling Down Time Hours'!K58</f>
        <v>41.616666666666667</v>
      </c>
      <c r="K67" s="50" t="e">
        <f>K61/I67</f>
        <v>#DIV/0!</v>
      </c>
      <c r="L67" s="50"/>
      <c r="M67" s="50" t="e">
        <f>(K61/I68)</f>
        <v>#DIV/0!</v>
      </c>
      <c r="N67" s="50"/>
      <c r="O67" s="50"/>
      <c r="P67" s="50"/>
      <c r="Q67" s="50"/>
      <c r="R67" s="50">
        <f>(I67+J67)/24</f>
        <v>1.7340277777777777</v>
      </c>
      <c r="AL67" s="16" t="s">
        <v>341</v>
      </c>
      <c r="AM67" s="150">
        <f>AVERAGE(U10:U15)</f>
        <v>0.75888888888888884</v>
      </c>
      <c r="AN67" s="150">
        <f t="shared" ref="AN67:AO67" si="40">AVERAGE(V10:V15)</f>
        <v>0.5848472222222223</v>
      </c>
      <c r="AO67" s="150">
        <f t="shared" si="40"/>
        <v>8.0345416666666658</v>
      </c>
      <c r="AP67" s="306"/>
    </row>
    <row r="68" spans="9:52" x14ac:dyDescent="0.3">
      <c r="I68" s="54">
        <f>I67/24</f>
        <v>0</v>
      </c>
      <c r="AL68" s="16" t="s">
        <v>203</v>
      </c>
      <c r="AM68" s="150">
        <f>MEDIAN(U10:U15)</f>
        <v>0.75888888888888884</v>
      </c>
      <c r="AN68" s="150">
        <f t="shared" ref="AN68:AO68" si="41">MEDIAN(V10:V15)</f>
        <v>0.5848472222222223</v>
      </c>
      <c r="AO68" s="150">
        <f t="shared" si="41"/>
        <v>8.0345416666666658</v>
      </c>
      <c r="AP68" s="306"/>
    </row>
    <row r="69" spans="9:52" x14ac:dyDescent="0.3">
      <c r="AL69" s="16" t="s">
        <v>205</v>
      </c>
      <c r="AM69" s="150">
        <f>MIN(U10:U15)</f>
        <v>0.70799999999999996</v>
      </c>
      <c r="AN69" s="150">
        <f t="shared" ref="AN69:AO69" si="42">MIN(V10:V15)</f>
        <v>0.53525</v>
      </c>
      <c r="AO69" s="150">
        <f t="shared" si="42"/>
        <v>7.2224166666666676</v>
      </c>
      <c r="AP69" s="306"/>
    </row>
    <row r="70" spans="9:52" x14ac:dyDescent="0.3">
      <c r="I70" s="161" t="s">
        <v>312</v>
      </c>
      <c r="J70" s="77">
        <f>I67</f>
        <v>0</v>
      </c>
      <c r="L70" s="13"/>
      <c r="AL70" s="16" t="s">
        <v>204</v>
      </c>
      <c r="AM70" s="150">
        <f>MAX(U10:U15)</f>
        <v>0.80977777777777771</v>
      </c>
      <c r="AN70" s="150">
        <f t="shared" ref="AN70:AO70" si="43">MAX(V10:V15)</f>
        <v>0.63444444444444448</v>
      </c>
      <c r="AO70" s="150">
        <f t="shared" si="43"/>
        <v>8.8466666666666658</v>
      </c>
      <c r="AP70" s="306"/>
    </row>
    <row r="71" spans="9:52" x14ac:dyDescent="0.3">
      <c r="I71" s="161" t="s">
        <v>313</v>
      </c>
      <c r="J71" s="77">
        <f>J67</f>
        <v>41.616666666666667</v>
      </c>
    </row>
    <row r="72" spans="9:52" x14ac:dyDescent="0.3">
      <c r="I72" s="161" t="s">
        <v>320</v>
      </c>
      <c r="J72" s="77">
        <f>SUM(J70:J71)</f>
        <v>41.616666666666667</v>
      </c>
    </row>
    <row r="73" spans="9:52" x14ac:dyDescent="0.3">
      <c r="I73" s="161" t="s">
        <v>321</v>
      </c>
      <c r="J73" s="74">
        <f>J70/J72</f>
        <v>0</v>
      </c>
    </row>
    <row r="74" spans="9:52" x14ac:dyDescent="0.3">
      <c r="I74" s="161" t="s">
        <v>37</v>
      </c>
      <c r="J74" s="270" t="e">
        <f>K67</f>
        <v>#DIV/0!</v>
      </c>
    </row>
    <row r="75" spans="9:52" x14ac:dyDescent="0.3">
      <c r="I75" s="161" t="s">
        <v>82</v>
      </c>
      <c r="J75" s="77" t="e">
        <f>M67</f>
        <v>#DIV/0!</v>
      </c>
    </row>
    <row r="76" spans="9:52" x14ac:dyDescent="0.3">
      <c r="I76" s="161" t="s">
        <v>316</v>
      </c>
      <c r="J76" s="77">
        <f>R67</f>
        <v>1.7340277777777777</v>
      </c>
    </row>
    <row r="77" spans="9:52" x14ac:dyDescent="0.3">
      <c r="I77" s="161" t="s">
        <v>340</v>
      </c>
      <c r="J77" s="74">
        <f>J67/(I67+J67)</f>
        <v>1</v>
      </c>
    </row>
    <row r="92" spans="9:20" x14ac:dyDescent="0.3">
      <c r="I92" s="147" t="s">
        <v>261</v>
      </c>
      <c r="J92" s="147" t="s">
        <v>325</v>
      </c>
      <c r="K92" s="147" t="s">
        <v>326</v>
      </c>
      <c r="L92" s="603" t="s">
        <v>332</v>
      </c>
      <c r="M92" s="603"/>
      <c r="N92" s="603"/>
      <c r="O92" s="555"/>
      <c r="P92" s="555"/>
      <c r="Q92" s="555"/>
      <c r="R92" s="655" t="s">
        <v>335</v>
      </c>
      <c r="S92" s="656"/>
      <c r="T92" s="657"/>
    </row>
    <row r="93" spans="9:20" x14ac:dyDescent="0.3">
      <c r="I93" s="147" t="s">
        <v>331</v>
      </c>
      <c r="J93" s="147" t="s">
        <v>25</v>
      </c>
      <c r="K93" s="147"/>
      <c r="L93" s="147" t="s">
        <v>255</v>
      </c>
      <c r="M93" s="147" t="s">
        <v>256</v>
      </c>
      <c r="N93" s="147" t="s">
        <v>257</v>
      </c>
      <c r="O93" s="147"/>
      <c r="P93" s="147"/>
      <c r="Q93" s="147"/>
      <c r="R93" s="147" t="s">
        <v>255</v>
      </c>
      <c r="S93" s="147" t="s">
        <v>256</v>
      </c>
      <c r="T93" s="147" t="s">
        <v>257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4">V10</f>
        <v>0.53525</v>
      </c>
      <c r="N94" s="150">
        <f t="shared" si="44"/>
        <v>7.2224166666666676</v>
      </c>
      <c r="O94" s="150"/>
      <c r="P94" s="150"/>
      <c r="Q94" s="150"/>
      <c r="R94" s="150">
        <f>AC10</f>
        <v>0.11466666666666665</v>
      </c>
      <c r="S94" s="150">
        <f t="shared" ref="S94:T98" si="45">AD10</f>
        <v>0.65166666666666662</v>
      </c>
      <c r="T94" s="150">
        <f t="shared" si="45"/>
        <v>8.9816666666666656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6">U11</f>
        <v>0.80977777777777771</v>
      </c>
      <c r="M95" s="150">
        <f t="shared" si="44"/>
        <v>0.63444444444444448</v>
      </c>
      <c r="N95" s="150">
        <f t="shared" si="44"/>
        <v>8.8466666666666658</v>
      </c>
      <c r="O95" s="150"/>
      <c r="P95" s="150"/>
      <c r="Q95" s="150"/>
      <c r="R95" s="150">
        <f t="shared" ref="R95:R98" si="47">AC11</f>
        <v>0</v>
      </c>
      <c r="S95" s="150">
        <f t="shared" si="45"/>
        <v>0</v>
      </c>
      <c r="T95" s="150">
        <f t="shared" si="45"/>
        <v>0</v>
      </c>
    </row>
    <row r="96" spans="9:20" x14ac:dyDescent="0.3">
      <c r="I96" s="16">
        <v>3</v>
      </c>
      <c r="J96" s="16">
        <v>2</v>
      </c>
      <c r="K96" s="50">
        <f>L12</f>
        <v>0</v>
      </c>
      <c r="L96" s="150">
        <f t="shared" si="46"/>
        <v>0</v>
      </c>
      <c r="M96" s="150">
        <f t="shared" si="44"/>
        <v>0</v>
      </c>
      <c r="N96" s="150">
        <f t="shared" si="44"/>
        <v>0</v>
      </c>
      <c r="O96" s="150"/>
      <c r="P96" s="150"/>
      <c r="Q96" s="150"/>
      <c r="R96" s="150">
        <f t="shared" si="47"/>
        <v>0</v>
      </c>
      <c r="S96" s="150">
        <f t="shared" si="45"/>
        <v>0</v>
      </c>
      <c r="T96" s="150">
        <f t="shared" si="45"/>
        <v>0</v>
      </c>
    </row>
    <row r="97" spans="9:20" x14ac:dyDescent="0.3">
      <c r="I97" s="16">
        <v>4</v>
      </c>
      <c r="J97" s="16">
        <v>3</v>
      </c>
      <c r="K97" s="50">
        <f t="shared" ref="K97:K98" si="48">L13</f>
        <v>0</v>
      </c>
      <c r="L97" s="150">
        <f t="shared" si="46"/>
        <v>0</v>
      </c>
      <c r="M97" s="150">
        <f t="shared" si="44"/>
        <v>0</v>
      </c>
      <c r="N97" s="150">
        <f t="shared" si="44"/>
        <v>0</v>
      </c>
      <c r="O97" s="150"/>
      <c r="P97" s="150"/>
      <c r="Q97" s="150"/>
      <c r="R97" s="150">
        <f t="shared" si="47"/>
        <v>0</v>
      </c>
      <c r="S97" s="150">
        <f t="shared" si="45"/>
        <v>0</v>
      </c>
      <c r="T97" s="150">
        <f t="shared" si="45"/>
        <v>0</v>
      </c>
    </row>
    <row r="98" spans="9:20" x14ac:dyDescent="0.3">
      <c r="I98" s="16">
        <v>5</v>
      </c>
      <c r="J98" s="16">
        <v>2</v>
      </c>
      <c r="K98" s="50">
        <f t="shared" si="48"/>
        <v>0</v>
      </c>
      <c r="L98" s="150">
        <f t="shared" si="46"/>
        <v>0</v>
      </c>
      <c r="M98" s="150">
        <f t="shared" si="44"/>
        <v>0</v>
      </c>
      <c r="N98" s="150">
        <f t="shared" si="44"/>
        <v>0</v>
      </c>
      <c r="O98" s="150"/>
      <c r="P98" s="150"/>
      <c r="Q98" s="150"/>
      <c r="R98" s="150">
        <f t="shared" si="47"/>
        <v>0</v>
      </c>
      <c r="S98" s="150">
        <f t="shared" si="45"/>
        <v>0</v>
      </c>
      <c r="T98" s="150">
        <f t="shared" si="45"/>
        <v>0</v>
      </c>
    </row>
    <row r="99" spans="9:20" x14ac:dyDescent="0.3">
      <c r="I99" s="17" t="s">
        <v>333</v>
      </c>
      <c r="J99" s="17"/>
      <c r="K99" s="286"/>
      <c r="L99" s="301">
        <f>AVERAGE(L94:L98)</f>
        <v>0.30355555555555552</v>
      </c>
      <c r="M99" s="301">
        <f t="shared" ref="M99:N99" si="49">AVERAGE(M94:M98)</f>
        <v>0.23393888888888892</v>
      </c>
      <c r="N99" s="301">
        <f t="shared" si="49"/>
        <v>3.2138166666666663</v>
      </c>
      <c r="O99" s="301"/>
      <c r="P99" s="301"/>
      <c r="Q99" s="301"/>
      <c r="R99" s="301">
        <f>AVERAGE(R94:R98)</f>
        <v>2.293333333333333E-2</v>
      </c>
      <c r="S99" s="301">
        <f t="shared" ref="S99:T99" si="50">AVERAGE(S94:S98)</f>
        <v>0.13033333333333333</v>
      </c>
      <c r="T99" s="301">
        <f t="shared" si="50"/>
        <v>1.7963333333333331</v>
      </c>
    </row>
    <row r="100" spans="9:20" x14ac:dyDescent="0.3">
      <c r="I100" s="17" t="s">
        <v>334</v>
      </c>
      <c r="J100" s="17"/>
      <c r="K100" s="286">
        <f>SUM(K94:K98)</f>
        <v>592.45574999999997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36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V52"/>
  <sheetViews>
    <sheetView zoomScale="79" workbookViewId="0">
      <selection activeCell="H14" sqref="H1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58" customWidth="1"/>
    <col min="6" max="14" width="8.88671875" style="1"/>
    <col min="15" max="15" width="14.21875" style="1" bestFit="1" customWidth="1"/>
    <col min="16" max="16" width="10.6640625" style="1" bestFit="1" customWidth="1"/>
    <col min="17" max="16384" width="8.88671875" style="1"/>
  </cols>
  <sheetData>
    <row r="2" spans="2:19" x14ac:dyDescent="0.3">
      <c r="B2" s="601" t="s">
        <v>473</v>
      </c>
      <c r="C2" s="601"/>
      <c r="D2" s="601"/>
      <c r="E2" s="601"/>
      <c r="F2" s="601"/>
      <c r="G2" s="601"/>
      <c r="H2" s="601"/>
    </row>
    <row r="3" spans="2:19" x14ac:dyDescent="0.3">
      <c r="B3" s="17" t="s">
        <v>71</v>
      </c>
      <c r="C3" s="17" t="s">
        <v>474</v>
      </c>
      <c r="D3" s="17" t="s">
        <v>469</v>
      </c>
      <c r="E3" s="556" t="s">
        <v>470</v>
      </c>
      <c r="F3" s="17" t="s">
        <v>471</v>
      </c>
      <c r="G3" s="17" t="s">
        <v>472</v>
      </c>
      <c r="H3" s="17" t="s">
        <v>352</v>
      </c>
      <c r="M3" s="17" t="s">
        <v>71</v>
      </c>
      <c r="N3" s="17" t="s">
        <v>474</v>
      </c>
      <c r="O3" s="17" t="s">
        <v>469</v>
      </c>
      <c r="P3" s="556" t="s">
        <v>470</v>
      </c>
      <c r="Q3" s="17" t="s">
        <v>471</v>
      </c>
      <c r="R3" s="17" t="s">
        <v>472</v>
      </c>
      <c r="S3" s="17" t="s">
        <v>352</v>
      </c>
    </row>
    <row r="4" spans="2:19" x14ac:dyDescent="0.3">
      <c r="B4" s="285">
        <v>1</v>
      </c>
      <c r="C4" s="16">
        <v>1</v>
      </c>
      <c r="D4" s="6" t="s">
        <v>475</v>
      </c>
      <c r="E4" s="557">
        <v>46265</v>
      </c>
      <c r="F4" s="6">
        <v>1.0229999999999999</v>
      </c>
      <c r="G4" s="6">
        <v>0.31</v>
      </c>
      <c r="H4" s="6">
        <v>6.1559999999999997</v>
      </c>
      <c r="M4" s="285">
        <v>1</v>
      </c>
      <c r="N4" s="16">
        <v>1</v>
      </c>
      <c r="O4" s="6" t="s">
        <v>475</v>
      </c>
      <c r="P4" s="557">
        <v>46265</v>
      </c>
      <c r="Q4" s="6">
        <v>1.0229999999999999</v>
      </c>
      <c r="R4" s="6">
        <v>0.31</v>
      </c>
      <c r="S4" s="6">
        <v>6.1559999999999997</v>
      </c>
    </row>
    <row r="5" spans="2:19" x14ac:dyDescent="0.3">
      <c r="B5" s="285">
        <v>2</v>
      </c>
      <c r="C5" s="16">
        <v>1</v>
      </c>
      <c r="D5" s="6" t="s">
        <v>476</v>
      </c>
      <c r="E5" s="557">
        <v>46265</v>
      </c>
      <c r="F5" s="6">
        <v>0.94899999999999995</v>
      </c>
      <c r="G5" s="6">
        <v>0.51300000000000001</v>
      </c>
      <c r="H5" s="6">
        <v>5.9560000000000004</v>
      </c>
      <c r="M5" s="285">
        <v>2</v>
      </c>
      <c r="N5" s="16">
        <v>1</v>
      </c>
      <c r="O5" s="6" t="s">
        <v>476</v>
      </c>
      <c r="P5" s="557">
        <v>46265</v>
      </c>
      <c r="Q5" s="6">
        <v>0.94899999999999995</v>
      </c>
      <c r="R5" s="6">
        <v>0.51300000000000001</v>
      </c>
      <c r="S5" s="6">
        <v>5.9560000000000004</v>
      </c>
    </row>
    <row r="6" spans="2:19" x14ac:dyDescent="0.3">
      <c r="B6" s="285">
        <v>3</v>
      </c>
      <c r="C6" s="16">
        <v>1</v>
      </c>
      <c r="D6" s="6" t="s">
        <v>477</v>
      </c>
      <c r="E6" s="557">
        <v>46265</v>
      </c>
      <c r="F6" s="6">
        <v>0.92900000000000005</v>
      </c>
      <c r="G6" s="6">
        <v>0.40699999999999997</v>
      </c>
      <c r="H6" s="6">
        <v>6.2169999999999996</v>
      </c>
      <c r="M6" s="285">
        <v>3</v>
      </c>
      <c r="N6" s="16">
        <v>1</v>
      </c>
      <c r="O6" s="6" t="s">
        <v>477</v>
      </c>
      <c r="P6" s="557">
        <v>46265</v>
      </c>
      <c r="Q6" s="6">
        <v>0.92900000000000005</v>
      </c>
      <c r="R6" s="6">
        <v>0.40699999999999997</v>
      </c>
      <c r="S6" s="6">
        <v>6.2169999999999996</v>
      </c>
    </row>
    <row r="7" spans="2:19" x14ac:dyDescent="0.3">
      <c r="B7" s="285">
        <v>4</v>
      </c>
      <c r="C7" s="16">
        <v>1</v>
      </c>
      <c r="D7" s="6" t="s">
        <v>478</v>
      </c>
      <c r="E7" s="557">
        <v>46265</v>
      </c>
      <c r="F7" s="6">
        <v>0.64100000000000001</v>
      </c>
      <c r="G7" s="6">
        <v>0.55700000000000005</v>
      </c>
      <c r="H7" s="6">
        <v>7.72</v>
      </c>
      <c r="M7" s="285">
        <v>4</v>
      </c>
      <c r="N7" s="16">
        <v>1</v>
      </c>
      <c r="O7" s="6" t="s">
        <v>478</v>
      </c>
      <c r="P7" s="557">
        <v>46265</v>
      </c>
      <c r="Q7" s="6">
        <v>0.64100000000000001</v>
      </c>
      <c r="R7" s="6">
        <v>0.55700000000000005</v>
      </c>
      <c r="S7" s="6">
        <v>7.72</v>
      </c>
    </row>
    <row r="8" spans="2:19" x14ac:dyDescent="0.3">
      <c r="B8" s="285">
        <v>5</v>
      </c>
      <c r="C8" s="16">
        <v>1</v>
      </c>
      <c r="D8" s="6" t="s">
        <v>479</v>
      </c>
      <c r="E8" s="557">
        <v>46265</v>
      </c>
      <c r="F8" s="6">
        <v>0.63700000000000001</v>
      </c>
      <c r="G8" s="6">
        <v>0.502</v>
      </c>
      <c r="H8" s="6">
        <v>7.51</v>
      </c>
      <c r="M8" s="285">
        <v>5</v>
      </c>
      <c r="N8" s="16">
        <v>1</v>
      </c>
      <c r="O8" s="6" t="s">
        <v>479</v>
      </c>
      <c r="P8" s="557">
        <v>46265</v>
      </c>
      <c r="Q8" s="6">
        <v>0.63700000000000001</v>
      </c>
      <c r="R8" s="6">
        <v>0.502</v>
      </c>
      <c r="S8" s="6">
        <v>7.51</v>
      </c>
    </row>
    <row r="9" spans="2:19" x14ac:dyDescent="0.3">
      <c r="B9" s="285">
        <v>6</v>
      </c>
      <c r="C9" s="16">
        <v>1</v>
      </c>
      <c r="D9" s="6" t="s">
        <v>480</v>
      </c>
      <c r="E9" s="557">
        <v>46265</v>
      </c>
      <c r="F9" s="6">
        <v>0.54900000000000004</v>
      </c>
      <c r="G9" s="6">
        <v>0.52600000000000002</v>
      </c>
      <c r="H9" s="6">
        <v>7.64</v>
      </c>
      <c r="M9" s="285">
        <v>6</v>
      </c>
      <c r="N9" s="16">
        <v>1</v>
      </c>
      <c r="O9" s="6" t="s">
        <v>480</v>
      </c>
      <c r="P9" s="557">
        <v>46265</v>
      </c>
      <c r="Q9" s="6">
        <v>0.54900000000000004</v>
      </c>
      <c r="R9" s="6">
        <v>0.52600000000000002</v>
      </c>
      <c r="S9" s="6">
        <v>7.64</v>
      </c>
    </row>
    <row r="10" spans="2:19" x14ac:dyDescent="0.3">
      <c r="B10" s="285">
        <v>7</v>
      </c>
      <c r="C10" s="16">
        <v>1</v>
      </c>
      <c r="D10" s="6" t="s">
        <v>475</v>
      </c>
      <c r="E10" s="557">
        <v>46266</v>
      </c>
      <c r="F10" s="6">
        <v>0.64600000000000002</v>
      </c>
      <c r="G10" s="6">
        <v>0.68100000000000005</v>
      </c>
      <c r="H10" s="6">
        <v>7.62</v>
      </c>
      <c r="M10" s="285">
        <v>7</v>
      </c>
      <c r="N10" s="16">
        <v>1</v>
      </c>
      <c r="O10" s="6" t="s">
        <v>475</v>
      </c>
      <c r="P10" s="557">
        <v>46266</v>
      </c>
      <c r="Q10" s="6">
        <v>0.64600000000000002</v>
      </c>
      <c r="R10" s="6">
        <v>0.68100000000000005</v>
      </c>
      <c r="S10" s="6">
        <v>7.62</v>
      </c>
    </row>
    <row r="11" spans="2:19" x14ac:dyDescent="0.3">
      <c r="B11" s="285">
        <v>8</v>
      </c>
      <c r="C11" s="16">
        <v>1</v>
      </c>
      <c r="D11" s="6" t="s">
        <v>476</v>
      </c>
      <c r="E11" s="557">
        <v>46266</v>
      </c>
      <c r="F11" s="6">
        <v>0.64500000000000002</v>
      </c>
      <c r="G11" s="6">
        <v>0.68700000000000006</v>
      </c>
      <c r="H11" s="6">
        <v>7.55</v>
      </c>
      <c r="M11" s="285">
        <v>8</v>
      </c>
      <c r="N11" s="16">
        <v>1</v>
      </c>
      <c r="O11" s="6" t="s">
        <v>476</v>
      </c>
      <c r="P11" s="557">
        <v>46266</v>
      </c>
      <c r="Q11" s="6">
        <v>0.64500000000000002</v>
      </c>
      <c r="R11" s="6">
        <v>0.68700000000000006</v>
      </c>
      <c r="S11" s="6">
        <v>7.55</v>
      </c>
    </row>
    <row r="12" spans="2:19" x14ac:dyDescent="0.3">
      <c r="B12" s="285">
        <v>9</v>
      </c>
      <c r="C12" s="16">
        <v>1</v>
      </c>
      <c r="D12" s="6" t="s">
        <v>477</v>
      </c>
      <c r="E12" s="557">
        <v>46266</v>
      </c>
      <c r="F12" s="6">
        <v>0.65</v>
      </c>
      <c r="G12" s="6">
        <v>0.65500000000000003</v>
      </c>
      <c r="H12" s="6">
        <v>7.43</v>
      </c>
      <c r="M12" s="285">
        <v>9</v>
      </c>
      <c r="N12" s="16">
        <v>1</v>
      </c>
      <c r="O12" s="6" t="s">
        <v>477</v>
      </c>
      <c r="P12" s="557">
        <v>46266</v>
      </c>
      <c r="Q12" s="6">
        <v>0.65</v>
      </c>
      <c r="R12" s="6">
        <v>0.65500000000000003</v>
      </c>
      <c r="S12" s="6">
        <v>7.43</v>
      </c>
    </row>
    <row r="13" spans="2:19" x14ac:dyDescent="0.3">
      <c r="B13" s="285">
        <v>10</v>
      </c>
      <c r="C13" s="16">
        <v>1</v>
      </c>
      <c r="D13" s="6" t="s">
        <v>478</v>
      </c>
      <c r="E13" s="557">
        <v>46266</v>
      </c>
      <c r="F13" s="6">
        <v>0.64100000000000001</v>
      </c>
      <c r="G13" s="6">
        <v>0.55700000000000005</v>
      </c>
      <c r="H13" s="6">
        <v>7.72</v>
      </c>
      <c r="M13" s="285">
        <v>10</v>
      </c>
      <c r="N13" s="16">
        <v>1</v>
      </c>
      <c r="O13" s="6" t="s">
        <v>478</v>
      </c>
      <c r="P13" s="557">
        <v>46266</v>
      </c>
      <c r="Q13" s="6">
        <v>0.64100000000000001</v>
      </c>
      <c r="R13" s="6">
        <v>0.55700000000000005</v>
      </c>
      <c r="S13" s="6">
        <v>7.72</v>
      </c>
    </row>
    <row r="14" spans="2:19" x14ac:dyDescent="0.3">
      <c r="B14" s="285">
        <v>11</v>
      </c>
      <c r="C14" s="16">
        <v>1</v>
      </c>
      <c r="D14" s="6" t="s">
        <v>479</v>
      </c>
      <c r="E14" s="557">
        <v>46266</v>
      </c>
      <c r="F14" s="6">
        <v>0.63700000000000001</v>
      </c>
      <c r="G14" s="6">
        <v>0.502</v>
      </c>
      <c r="H14" s="6">
        <v>7.51</v>
      </c>
      <c r="M14" s="285">
        <v>11</v>
      </c>
      <c r="N14" s="16">
        <v>1</v>
      </c>
      <c r="O14" s="6" t="s">
        <v>479</v>
      </c>
      <c r="P14" s="557">
        <v>46266</v>
      </c>
      <c r="Q14" s="6">
        <v>0.63700000000000001</v>
      </c>
      <c r="R14" s="6">
        <v>0.502</v>
      </c>
      <c r="S14" s="6">
        <v>7.51</v>
      </c>
    </row>
    <row r="15" spans="2:19" x14ac:dyDescent="0.3">
      <c r="B15" s="285">
        <v>12</v>
      </c>
      <c r="C15" s="16">
        <v>1</v>
      </c>
      <c r="D15" s="6" t="s">
        <v>480</v>
      </c>
      <c r="E15" s="557">
        <v>46266</v>
      </c>
      <c r="F15" s="6">
        <v>0.54900000000000004</v>
      </c>
      <c r="G15" s="6">
        <v>0.52600000000000002</v>
      </c>
      <c r="H15" s="6">
        <v>7.64</v>
      </c>
      <c r="M15" s="285">
        <v>12</v>
      </c>
      <c r="N15" s="16">
        <v>1</v>
      </c>
      <c r="O15" s="6" t="s">
        <v>480</v>
      </c>
      <c r="P15" s="557">
        <v>46266</v>
      </c>
      <c r="Q15" s="6">
        <v>0.54900000000000004</v>
      </c>
      <c r="R15" s="6">
        <v>0.52600000000000002</v>
      </c>
      <c r="S15" s="6">
        <v>7.64</v>
      </c>
    </row>
    <row r="16" spans="2:19" x14ac:dyDescent="0.3">
      <c r="B16" s="285">
        <v>13</v>
      </c>
      <c r="C16" s="16">
        <v>2</v>
      </c>
      <c r="D16" s="6" t="s">
        <v>475</v>
      </c>
      <c r="E16" s="557">
        <v>46267</v>
      </c>
      <c r="F16" s="6">
        <v>0.66</v>
      </c>
      <c r="G16" s="6">
        <v>0.32</v>
      </c>
      <c r="H16" s="6">
        <v>9.6300000000000008</v>
      </c>
      <c r="M16" s="285">
        <v>13</v>
      </c>
      <c r="N16" s="16">
        <v>2</v>
      </c>
      <c r="O16" s="6" t="s">
        <v>475</v>
      </c>
      <c r="P16" s="557">
        <v>46267</v>
      </c>
      <c r="Q16" s="6">
        <v>0.86</v>
      </c>
      <c r="R16" s="6">
        <v>0.85</v>
      </c>
      <c r="S16" s="6">
        <v>10.56</v>
      </c>
    </row>
    <row r="17" spans="2:19" x14ac:dyDescent="0.3">
      <c r="B17" s="285">
        <v>14</v>
      </c>
      <c r="C17" s="16">
        <v>2</v>
      </c>
      <c r="D17" s="6" t="s">
        <v>476</v>
      </c>
      <c r="E17" s="557">
        <v>46267</v>
      </c>
      <c r="F17" s="6">
        <v>0.82399999999999995</v>
      </c>
      <c r="G17" s="6">
        <v>0.67</v>
      </c>
      <c r="H17" s="6">
        <v>9.7899999999999991</v>
      </c>
      <c r="M17" s="285">
        <v>14</v>
      </c>
      <c r="N17" s="16">
        <v>2</v>
      </c>
      <c r="O17" s="6" t="s">
        <v>476</v>
      </c>
      <c r="P17" s="557">
        <v>46267</v>
      </c>
      <c r="Q17" s="6">
        <v>0.85099999999999998</v>
      </c>
      <c r="R17" s="6">
        <v>0.82</v>
      </c>
      <c r="S17" s="6">
        <v>10.37</v>
      </c>
    </row>
    <row r="18" spans="2:19" x14ac:dyDescent="0.3">
      <c r="B18" s="285">
        <v>15</v>
      </c>
      <c r="C18" s="16">
        <v>2</v>
      </c>
      <c r="D18" s="6" t="s">
        <v>477</v>
      </c>
      <c r="E18" s="557">
        <v>46267</v>
      </c>
      <c r="F18" s="6">
        <v>0.75</v>
      </c>
      <c r="G18" s="6">
        <v>0.78</v>
      </c>
      <c r="H18" s="6">
        <v>10.1</v>
      </c>
      <c r="M18" s="285">
        <v>15</v>
      </c>
      <c r="N18" s="16">
        <v>2</v>
      </c>
      <c r="O18" s="6" t="s">
        <v>477</v>
      </c>
      <c r="P18" s="557">
        <v>46267</v>
      </c>
      <c r="Q18" s="6">
        <v>0.86499999999999999</v>
      </c>
      <c r="R18" s="6">
        <v>1.02</v>
      </c>
      <c r="S18" s="6">
        <v>10.58</v>
      </c>
    </row>
    <row r="19" spans="2:19" x14ac:dyDescent="0.3">
      <c r="B19" s="285">
        <v>16</v>
      </c>
      <c r="C19" s="16">
        <v>2</v>
      </c>
      <c r="D19" s="6" t="s">
        <v>478</v>
      </c>
      <c r="E19" s="557">
        <v>46267</v>
      </c>
      <c r="F19" s="1">
        <v>1.0209999999999999</v>
      </c>
      <c r="G19" s="6">
        <v>0.59</v>
      </c>
      <c r="H19" s="6">
        <v>8.68</v>
      </c>
      <c r="M19" s="285">
        <v>16</v>
      </c>
      <c r="N19" s="16">
        <v>2</v>
      </c>
      <c r="O19" s="6" t="s">
        <v>478</v>
      </c>
      <c r="P19" s="557">
        <v>46267</v>
      </c>
      <c r="Q19" s="6"/>
      <c r="R19" s="6"/>
      <c r="S19" s="6"/>
    </row>
    <row r="20" spans="2:19" x14ac:dyDescent="0.3">
      <c r="B20" s="285">
        <v>17</v>
      </c>
      <c r="C20" s="16">
        <v>2</v>
      </c>
      <c r="D20" s="6" t="s">
        <v>479</v>
      </c>
      <c r="E20" s="557">
        <v>46267</v>
      </c>
      <c r="F20" s="6">
        <v>1.016</v>
      </c>
      <c r="G20" s="6">
        <v>0.6</v>
      </c>
      <c r="H20" s="6">
        <v>8.74</v>
      </c>
      <c r="M20" s="285">
        <v>17</v>
      </c>
      <c r="N20" s="16">
        <v>2</v>
      </c>
      <c r="O20" s="6" t="s">
        <v>479</v>
      </c>
      <c r="P20" s="557">
        <v>46267</v>
      </c>
      <c r="Q20" s="6"/>
      <c r="R20" s="6"/>
      <c r="S20" s="6"/>
    </row>
    <row r="21" spans="2:19" x14ac:dyDescent="0.3">
      <c r="B21" s="285">
        <v>18</v>
      </c>
      <c r="C21" s="16">
        <v>2</v>
      </c>
      <c r="D21" s="6" t="s">
        <v>480</v>
      </c>
      <c r="E21" s="557">
        <v>46267</v>
      </c>
      <c r="F21" s="6">
        <v>1.0329999999999999</v>
      </c>
      <c r="G21" s="6">
        <v>0.57999999999999996</v>
      </c>
      <c r="H21" s="6">
        <v>8.51</v>
      </c>
      <c r="M21" s="285">
        <v>18</v>
      </c>
      <c r="N21" s="16">
        <v>2</v>
      </c>
      <c r="O21" s="6" t="s">
        <v>480</v>
      </c>
      <c r="P21" s="557">
        <v>46267</v>
      </c>
      <c r="Q21" s="6"/>
      <c r="R21" s="6"/>
      <c r="S21" s="6"/>
    </row>
    <row r="22" spans="2:19" x14ac:dyDescent="0.3">
      <c r="B22" s="285">
        <v>19</v>
      </c>
      <c r="C22" s="16">
        <v>2</v>
      </c>
      <c r="D22" s="6" t="s">
        <v>475</v>
      </c>
      <c r="E22" s="557">
        <v>46268</v>
      </c>
      <c r="F22" s="6">
        <v>0.66800000000000004</v>
      </c>
      <c r="G22" s="6">
        <v>0.61</v>
      </c>
      <c r="H22" s="6">
        <v>8.17</v>
      </c>
      <c r="M22" s="285">
        <v>19</v>
      </c>
      <c r="N22" s="16">
        <v>2</v>
      </c>
      <c r="O22" s="6" t="s">
        <v>475</v>
      </c>
      <c r="P22" s="557">
        <v>46267</v>
      </c>
      <c r="Q22" s="6"/>
      <c r="R22" s="6"/>
      <c r="S22" s="6"/>
    </row>
    <row r="23" spans="2:19" x14ac:dyDescent="0.3">
      <c r="B23" s="285">
        <v>20</v>
      </c>
      <c r="C23" s="16">
        <v>2</v>
      </c>
      <c r="D23" s="6" t="s">
        <v>476</v>
      </c>
      <c r="E23" s="557">
        <v>46268</v>
      </c>
      <c r="F23" s="6">
        <v>0.59399999999999997</v>
      </c>
      <c r="G23" s="6">
        <v>0.71</v>
      </c>
      <c r="H23" s="6">
        <v>7.54</v>
      </c>
      <c r="M23" s="285">
        <v>20</v>
      </c>
      <c r="N23" s="16">
        <v>2</v>
      </c>
      <c r="O23" s="6" t="s">
        <v>476</v>
      </c>
      <c r="P23" s="557">
        <v>46267</v>
      </c>
      <c r="Q23" s="6"/>
      <c r="R23" s="6"/>
      <c r="S23" s="6"/>
    </row>
    <row r="24" spans="2:19" x14ac:dyDescent="0.3">
      <c r="B24" s="285">
        <v>21</v>
      </c>
      <c r="C24" s="16">
        <v>2</v>
      </c>
      <c r="D24" s="6" t="s">
        <v>477</v>
      </c>
      <c r="E24" s="557">
        <v>46268</v>
      </c>
      <c r="F24" s="6">
        <v>0.72199999999999998</v>
      </c>
      <c r="G24" s="6">
        <v>0.85</v>
      </c>
      <c r="H24" s="6">
        <v>8.4600000000000009</v>
      </c>
      <c r="M24" s="285">
        <v>21</v>
      </c>
      <c r="N24" s="16">
        <v>2</v>
      </c>
      <c r="O24" s="6" t="s">
        <v>477</v>
      </c>
      <c r="P24" s="557">
        <v>46267</v>
      </c>
      <c r="Q24" s="6"/>
      <c r="R24" s="6"/>
      <c r="S24" s="6"/>
    </row>
    <row r="25" spans="2:19" x14ac:dyDescent="0.3">
      <c r="B25" s="285"/>
      <c r="C25" s="16"/>
      <c r="D25" s="6"/>
      <c r="E25" s="557"/>
      <c r="F25" s="6"/>
      <c r="G25" s="6"/>
      <c r="H25" s="6"/>
      <c r="M25" s="6"/>
      <c r="N25" s="6"/>
      <c r="O25" s="6" t="s">
        <v>478</v>
      </c>
      <c r="P25" s="285"/>
      <c r="Q25" s="6"/>
      <c r="R25" s="6"/>
      <c r="S25" s="6"/>
    </row>
    <row r="26" spans="2:19" x14ac:dyDescent="0.3">
      <c r="B26" s="285"/>
      <c r="C26" s="16"/>
      <c r="D26" s="6"/>
      <c r="E26" s="557"/>
      <c r="F26" s="6"/>
      <c r="G26" s="6"/>
      <c r="H26" s="6"/>
      <c r="M26" s="6"/>
      <c r="N26" s="6"/>
      <c r="O26" s="6" t="s">
        <v>479</v>
      </c>
      <c r="P26" s="285"/>
      <c r="Q26" s="6"/>
      <c r="R26" s="6"/>
      <c r="S26" s="6"/>
    </row>
    <row r="27" spans="2:19" x14ac:dyDescent="0.3">
      <c r="B27" s="285"/>
      <c r="C27" s="16"/>
      <c r="D27" s="6"/>
      <c r="E27" s="557"/>
      <c r="F27" s="6"/>
      <c r="G27" s="6"/>
      <c r="H27" s="6"/>
      <c r="M27" s="6"/>
      <c r="N27" s="6"/>
      <c r="O27" s="6" t="s">
        <v>480</v>
      </c>
      <c r="P27" s="285"/>
      <c r="Q27" s="6"/>
      <c r="R27" s="6"/>
      <c r="S27" s="6"/>
    </row>
    <row r="28" spans="2:19" x14ac:dyDescent="0.3">
      <c r="B28" s="6"/>
      <c r="C28" s="6"/>
      <c r="D28" s="6"/>
      <c r="E28" s="285"/>
      <c r="F28" s="6"/>
      <c r="G28" s="6"/>
      <c r="H28" s="6"/>
      <c r="M28" s="6"/>
      <c r="N28" s="6"/>
      <c r="O28" s="6"/>
      <c r="P28" s="285"/>
      <c r="Q28" s="6"/>
      <c r="R28" s="6"/>
      <c r="S28" s="6"/>
    </row>
    <row r="29" spans="2:19" x14ac:dyDescent="0.3">
      <c r="B29" s="6"/>
      <c r="C29" s="6"/>
      <c r="D29" s="6"/>
      <c r="E29" s="285"/>
      <c r="F29" s="6"/>
      <c r="G29" s="6"/>
      <c r="H29" s="6"/>
      <c r="M29" s="6"/>
      <c r="N29" s="6"/>
      <c r="O29" s="6"/>
      <c r="P29" s="285"/>
      <c r="Q29" s="6"/>
      <c r="R29" s="6"/>
      <c r="S29" s="6"/>
    </row>
    <row r="30" spans="2:19" x14ac:dyDescent="0.3">
      <c r="B30" s="6"/>
      <c r="C30" s="6"/>
      <c r="D30" s="6"/>
      <c r="E30" s="285"/>
      <c r="F30" s="6"/>
      <c r="G30" s="6"/>
      <c r="H30" s="6"/>
      <c r="M30" s="6"/>
      <c r="N30" s="6"/>
      <c r="O30" s="6"/>
      <c r="P30" s="285"/>
      <c r="Q30" s="6"/>
      <c r="R30" s="6"/>
      <c r="S30" s="6"/>
    </row>
    <row r="31" spans="2:19" x14ac:dyDescent="0.3">
      <c r="B31" s="6"/>
      <c r="C31" s="6"/>
      <c r="D31" s="6"/>
      <c r="E31" s="285"/>
      <c r="F31" s="6"/>
      <c r="G31" s="6"/>
      <c r="H31" s="6"/>
      <c r="M31" s="6"/>
      <c r="N31" s="6"/>
      <c r="O31" s="6"/>
      <c r="P31" s="285"/>
      <c r="Q31" s="6"/>
      <c r="R31" s="6"/>
      <c r="S31" s="6"/>
    </row>
    <row r="32" spans="2:19" x14ac:dyDescent="0.3">
      <c r="B32" s="6"/>
      <c r="C32" s="6"/>
      <c r="D32" s="6"/>
      <c r="E32" s="285"/>
      <c r="F32" s="6"/>
      <c r="G32" s="6"/>
      <c r="H32" s="6"/>
      <c r="M32" s="6"/>
      <c r="N32" s="6"/>
      <c r="O32" s="6"/>
      <c r="P32" s="285"/>
      <c r="Q32" s="6"/>
      <c r="R32" s="6"/>
      <c r="S32" s="6"/>
    </row>
    <row r="34" spans="21:22" x14ac:dyDescent="0.3">
      <c r="U34" s="1">
        <v>1</v>
      </c>
      <c r="V34" s="1">
        <v>0.8</v>
      </c>
    </row>
    <row r="35" spans="21:22" x14ac:dyDescent="0.3">
      <c r="U35" s="1">
        <v>2</v>
      </c>
      <c r="V35" s="1">
        <v>0.8</v>
      </c>
    </row>
    <row r="36" spans="21:22" x14ac:dyDescent="0.3">
      <c r="U36" s="1">
        <v>3</v>
      </c>
      <c r="V36" s="1">
        <v>0.8</v>
      </c>
    </row>
    <row r="37" spans="21:22" x14ac:dyDescent="0.3">
      <c r="U37" s="1">
        <v>4</v>
      </c>
      <c r="V37" s="1">
        <v>0.8</v>
      </c>
    </row>
    <row r="38" spans="21:22" x14ac:dyDescent="0.3">
      <c r="U38" s="1">
        <v>5</v>
      </c>
      <c r="V38" s="1">
        <v>0.8</v>
      </c>
    </row>
    <row r="39" spans="21:22" x14ac:dyDescent="0.3">
      <c r="U39" s="1">
        <v>6</v>
      </c>
      <c r="V39" s="1">
        <v>0.8</v>
      </c>
    </row>
    <row r="40" spans="21:22" x14ac:dyDescent="0.3">
      <c r="U40" s="1">
        <v>7</v>
      </c>
      <c r="V40" s="1">
        <v>0.8</v>
      </c>
    </row>
    <row r="41" spans="21:22" x14ac:dyDescent="0.3">
      <c r="U41" s="1">
        <v>8</v>
      </c>
      <c r="V41" s="1">
        <v>0.8</v>
      </c>
    </row>
    <row r="42" spans="21:22" x14ac:dyDescent="0.3">
      <c r="U42" s="1">
        <v>9</v>
      </c>
      <c r="V42" s="1">
        <v>0.8</v>
      </c>
    </row>
    <row r="43" spans="21:22" x14ac:dyDescent="0.3">
      <c r="U43" s="1">
        <v>10</v>
      </c>
      <c r="V43" s="1">
        <v>0.8</v>
      </c>
    </row>
    <row r="44" spans="21:22" x14ac:dyDescent="0.3">
      <c r="U44" s="1">
        <v>11</v>
      </c>
      <c r="V44" s="1">
        <v>0.8</v>
      </c>
    </row>
    <row r="45" spans="21:22" x14ac:dyDescent="0.3">
      <c r="U45" s="1">
        <v>12</v>
      </c>
      <c r="V45" s="1">
        <v>0.8</v>
      </c>
    </row>
    <row r="46" spans="21:22" x14ac:dyDescent="0.3">
      <c r="U46" s="1">
        <v>13</v>
      </c>
      <c r="V46" s="1">
        <v>0.8</v>
      </c>
    </row>
    <row r="47" spans="21:22" x14ac:dyDescent="0.3">
      <c r="U47" s="1">
        <v>14</v>
      </c>
      <c r="V47" s="1">
        <v>0.8</v>
      </c>
    </row>
    <row r="48" spans="21:22" x14ac:dyDescent="0.3">
      <c r="U48" s="1">
        <v>15</v>
      </c>
      <c r="V48" s="1">
        <v>0.8</v>
      </c>
    </row>
    <row r="49" spans="21:22" x14ac:dyDescent="0.3">
      <c r="U49" s="1">
        <v>16</v>
      </c>
      <c r="V49" s="1">
        <v>0.8</v>
      </c>
    </row>
    <row r="50" spans="21:22" x14ac:dyDescent="0.3">
      <c r="U50" s="1">
        <v>17</v>
      </c>
      <c r="V50" s="1">
        <v>0.8</v>
      </c>
    </row>
    <row r="51" spans="21:22" x14ac:dyDescent="0.3">
      <c r="U51" s="1">
        <v>18</v>
      </c>
      <c r="V51" s="1">
        <v>0.8</v>
      </c>
    </row>
    <row r="52" spans="21:22" x14ac:dyDescent="0.3">
      <c r="U52" s="1">
        <v>19</v>
      </c>
      <c r="V52" s="1">
        <v>0.8</v>
      </c>
    </row>
  </sheetData>
  <mergeCells count="1">
    <mergeCell ref="B2:H2"/>
  </mergeCells>
  <phoneticPr fontId="46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E98"/>
  <sheetViews>
    <sheetView topLeftCell="H1" zoomScale="82" zoomScaleNormal="80" workbookViewId="0">
      <pane ySplit="4" topLeftCell="A5" activePane="bottomLeft" state="frozen"/>
      <selection pane="bottomLeft" activeCell="V7" sqref="V7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" bestFit="1" customWidth="1"/>
    <col min="17" max="17" width="14.21875" style="1" bestFit="1" customWidth="1"/>
    <col min="18" max="18" width="14.6640625" style="1" bestFit="1" customWidth="1"/>
    <col min="19" max="21" width="14.77734375" style="1" bestFit="1" customWidth="1"/>
    <col min="22" max="24" width="14.77734375" style="1" customWidth="1"/>
    <col min="25" max="25" width="8.77734375" style="1"/>
    <col min="26" max="26" width="35.6640625" style="1" bestFit="1" customWidth="1"/>
    <col min="27" max="27" width="8.77734375" style="1"/>
    <col min="28" max="28" width="11.5546875" style="1" bestFit="1" customWidth="1"/>
    <col min="29" max="30" width="8.77734375" style="1"/>
    <col min="31" max="31" width="14.109375" style="1" bestFit="1" customWidth="1"/>
    <col min="32" max="16384" width="8.77734375" style="1"/>
  </cols>
  <sheetData>
    <row r="2" spans="2:31" ht="21" x14ac:dyDescent="0.4">
      <c r="B2" s="142" t="s">
        <v>169</v>
      </c>
      <c r="C2" s="142" t="s">
        <v>170</v>
      </c>
      <c r="D2" s="142"/>
      <c r="E2" s="142"/>
      <c r="H2" s="643" t="s">
        <v>33</v>
      </c>
      <c r="I2" s="643"/>
      <c r="J2" s="643"/>
      <c r="K2" s="643"/>
    </row>
    <row r="4" spans="2:31" ht="29.4" thickBot="1" x14ac:dyDescent="0.35">
      <c r="B4" s="698" t="s">
        <v>1</v>
      </c>
      <c r="C4" s="699"/>
      <c r="D4" s="25" t="s">
        <v>2</v>
      </c>
      <c r="E4" s="25" t="s">
        <v>178</v>
      </c>
      <c r="F4" s="26" t="s">
        <v>27</v>
      </c>
      <c r="G4" s="26" t="s">
        <v>34</v>
      </c>
      <c r="H4" s="521" t="s">
        <v>284</v>
      </c>
      <c r="I4" s="521" t="s">
        <v>453</v>
      </c>
      <c r="J4" s="521" t="s">
        <v>458</v>
      </c>
      <c r="K4" s="26" t="s">
        <v>35</v>
      </c>
      <c r="L4" s="521" t="s">
        <v>36</v>
      </c>
      <c r="M4" s="26" t="s">
        <v>452</v>
      </c>
      <c r="N4" s="26" t="s">
        <v>209</v>
      </c>
      <c r="O4" s="26" t="s">
        <v>37</v>
      </c>
      <c r="P4" s="26" t="s">
        <v>38</v>
      </c>
      <c r="Q4" s="26" t="s">
        <v>128</v>
      </c>
      <c r="R4" s="26" t="s">
        <v>306</v>
      </c>
      <c r="S4" s="26" t="s">
        <v>154</v>
      </c>
      <c r="T4" s="18" t="s">
        <v>155</v>
      </c>
      <c r="U4" s="170" t="s">
        <v>156</v>
      </c>
      <c r="V4" s="18" t="s">
        <v>221</v>
      </c>
      <c r="W4" s="18" t="s">
        <v>222</v>
      </c>
      <c r="X4" s="18" t="s">
        <v>223</v>
      </c>
    </row>
    <row r="5" spans="2:31" ht="16.2" thickBot="1" x14ac:dyDescent="0.35">
      <c r="B5" s="665">
        <v>46265</v>
      </c>
      <c r="C5" s="666"/>
      <c r="D5" s="523" t="s">
        <v>455</v>
      </c>
      <c r="E5" s="523" t="s">
        <v>454</v>
      </c>
      <c r="F5" s="27" t="s">
        <v>13</v>
      </c>
      <c r="G5" s="28">
        <v>0.2271</v>
      </c>
      <c r="H5" s="239">
        <v>116.84</v>
      </c>
      <c r="I5" s="29">
        <f t="shared" ref="I5:I11" si="0">H5/((720-Q5)/60)</f>
        <v>11.198722044728434</v>
      </c>
      <c r="J5" s="29">
        <f>H5</f>
        <v>116.84</v>
      </c>
      <c r="K5" s="527">
        <v>1.135</v>
      </c>
      <c r="L5" s="37">
        <v>0.68</v>
      </c>
      <c r="M5" s="29">
        <f>H5*K5*G5</f>
        <v>30.116503140000003</v>
      </c>
      <c r="N5" s="669">
        <f>SUM(M5:M6)</f>
        <v>74.069659139999999</v>
      </c>
      <c r="O5" s="29">
        <f>M5/((720-Q5)/60)</f>
        <v>2.8865657961661344</v>
      </c>
      <c r="P5" s="702">
        <f>'Milling Down Time Hours'!L5</f>
        <v>22.433333333333334</v>
      </c>
      <c r="Q5" s="77">
        <f>'Milling Down Time Hours'!K5</f>
        <v>94</v>
      </c>
      <c r="R5" s="669">
        <f>SUM(M5:M8)</f>
        <v>292.31360000000001</v>
      </c>
      <c r="S5" s="185">
        <f>AVERAGE('LT Ball Mill'!F4:F6)</f>
        <v>0.96699999999999997</v>
      </c>
      <c r="T5" s="185">
        <f>AVERAGE('LT Ball Mill'!G4:G6)</f>
        <v>0.41</v>
      </c>
      <c r="U5" s="185">
        <f>AVERAGE('LT Ball Mill'!H4:H6)</f>
        <v>6.1096666666666666</v>
      </c>
      <c r="V5" s="178">
        <f>S5*M5</f>
        <v>29.122658536380001</v>
      </c>
      <c r="W5" s="129">
        <f>M5*T5</f>
        <v>12.347766287400001</v>
      </c>
      <c r="X5" s="129">
        <f>M5*U5</f>
        <v>184.00179535102001</v>
      </c>
      <c r="Z5" s="31" t="s">
        <v>39</v>
      </c>
      <c r="AA5" s="32"/>
      <c r="AB5" s="32"/>
      <c r="AC5" s="32"/>
    </row>
    <row r="6" spans="2:31" ht="16.2" thickBot="1" x14ac:dyDescent="0.35">
      <c r="B6" s="667"/>
      <c r="C6" s="668"/>
      <c r="D6" s="524" t="s">
        <v>456</v>
      </c>
      <c r="E6" s="523" t="s">
        <v>454</v>
      </c>
      <c r="F6" s="33" t="s">
        <v>14</v>
      </c>
      <c r="G6" s="34">
        <v>0.36</v>
      </c>
      <c r="H6" s="531">
        <f>J6-H5</f>
        <v>98.859999999999985</v>
      </c>
      <c r="I6" s="29">
        <f t="shared" si="0"/>
        <v>8.2383333333333315</v>
      </c>
      <c r="J6" s="526">
        <v>215.7</v>
      </c>
      <c r="K6" s="525">
        <v>1.2350000000000001</v>
      </c>
      <c r="L6" s="40">
        <v>0.68</v>
      </c>
      <c r="M6" s="29">
        <f>H6*K6*G6</f>
        <v>43.953155999999993</v>
      </c>
      <c r="N6" s="678"/>
      <c r="O6" s="29">
        <f>M6/((720-Q6)/60)</f>
        <v>3.6627629999999995</v>
      </c>
      <c r="P6" s="671"/>
      <c r="Q6" s="77">
        <v>0</v>
      </c>
      <c r="R6" s="670"/>
      <c r="S6" s="171">
        <f>AVERAGE('LT Ball Mill'!F7:F9)</f>
        <v>0.60899999999999999</v>
      </c>
      <c r="T6" s="171">
        <f>AVERAGE('LT Ball Mill'!G7:G9)</f>
        <v>0.52833333333333343</v>
      </c>
      <c r="U6" s="171">
        <f>AVERAGE('LT Ball Mill'!H7:H9)</f>
        <v>7.623333333333334</v>
      </c>
      <c r="V6" s="178">
        <f>S6*M6</f>
        <v>26.767472003999995</v>
      </c>
      <c r="W6" s="129">
        <f>M6*T6</f>
        <v>23.22191742</v>
      </c>
      <c r="X6" s="129">
        <f>M6*U6</f>
        <v>335.06955923999999</v>
      </c>
      <c r="Z6" s="31"/>
      <c r="AA6" s="32"/>
      <c r="AB6" s="32"/>
      <c r="AC6" s="32"/>
    </row>
    <row r="7" spans="2:31" s="544" customFormat="1" ht="16.2" thickBot="1" x14ac:dyDescent="0.35">
      <c r="B7" s="680">
        <v>46266</v>
      </c>
      <c r="C7" s="681"/>
      <c r="D7" s="532" t="s">
        <v>455</v>
      </c>
      <c r="E7" s="532" t="s">
        <v>454</v>
      </c>
      <c r="F7" s="533" t="s">
        <v>13</v>
      </c>
      <c r="G7" s="534">
        <v>0.38790000000000002</v>
      </c>
      <c r="H7" s="535">
        <f>J7-SUM(H5:H6)</f>
        <v>143.30000000000001</v>
      </c>
      <c r="I7" s="536">
        <f t="shared" si="0"/>
        <v>12.371223021582734</v>
      </c>
      <c r="J7" s="536">
        <v>359</v>
      </c>
      <c r="K7" s="537">
        <v>1.2549999999999999</v>
      </c>
      <c r="L7" s="534">
        <v>0.7</v>
      </c>
      <c r="M7" s="536">
        <f>(K7*J7*G7)-(SUM(M5:M6))</f>
        <v>100.69674635999999</v>
      </c>
      <c r="N7" s="672">
        <f>SUM(M7:M8)</f>
        <v>218.24394086000001</v>
      </c>
      <c r="O7" s="536">
        <f>M7/((720-Q7)/60)</f>
        <v>8.6932442900719415</v>
      </c>
      <c r="P7" s="700">
        <f>'Milling Down Time Hours'!L6</f>
        <v>22.9</v>
      </c>
      <c r="Q7" s="539">
        <v>25</v>
      </c>
      <c r="R7" s="670"/>
      <c r="S7" s="560">
        <f>AVERAGE('LT Ball Mill'!F10:F12)</f>
        <v>0.64699999999999991</v>
      </c>
      <c r="T7" s="560">
        <f>AVERAGE('LT Ball Mill'!G10:G12)</f>
        <v>0.67433333333333334</v>
      </c>
      <c r="U7" s="560">
        <f>AVERAGE('LT Ball Mill'!H10:H12)</f>
        <v>7.5333333333333341</v>
      </c>
      <c r="V7" s="540">
        <f t="shared" ref="V7:V70" si="1">S7*M7</f>
        <v>65.150794894919983</v>
      </c>
      <c r="W7" s="541">
        <f t="shared" ref="W7:W70" si="2">M7*T7</f>
        <v>67.903172628759989</v>
      </c>
      <c r="X7" s="541">
        <f t="shared" ref="X7:X70" si="3">M7*U7</f>
        <v>758.58215591199996</v>
      </c>
      <c r="Y7" s="542"/>
      <c r="Z7" s="543"/>
      <c r="AA7" s="543"/>
      <c r="AB7" s="543"/>
      <c r="AC7" s="543"/>
    </row>
    <row r="8" spans="2:31" s="544" customFormat="1" ht="16.2" thickBot="1" x14ac:dyDescent="0.35">
      <c r="B8" s="682"/>
      <c r="C8" s="683"/>
      <c r="D8" s="545" t="s">
        <v>456</v>
      </c>
      <c r="E8" s="546" t="s">
        <v>457</v>
      </c>
      <c r="F8" s="547" t="s">
        <v>14</v>
      </c>
      <c r="G8" s="548">
        <v>0.41</v>
      </c>
      <c r="H8" s="549">
        <f>J8-SUM(H5:H7)</f>
        <v>198</v>
      </c>
      <c r="I8" s="536">
        <f t="shared" si="0"/>
        <v>17.496318114874818</v>
      </c>
      <c r="J8" s="538">
        <v>557</v>
      </c>
      <c r="K8" s="550">
        <v>1.28</v>
      </c>
      <c r="L8" s="548">
        <v>0.7</v>
      </c>
      <c r="M8" s="536">
        <f>(K8*J8*G8)-(SUM(M5:M7))</f>
        <v>117.54719450000002</v>
      </c>
      <c r="N8" s="673"/>
      <c r="O8" s="536">
        <f>M8/((720-Q8)/60)</f>
        <v>10.387086406480119</v>
      </c>
      <c r="P8" s="701"/>
      <c r="Q8" s="539">
        <v>41</v>
      </c>
      <c r="R8" s="678"/>
      <c r="S8" s="551">
        <f>AVERAGE('LT Ball Mill'!F13:F15)</f>
        <v>0.60899999999999999</v>
      </c>
      <c r="T8" s="551">
        <f>AVERAGE('LT Ball Mill'!G13:G15)</f>
        <v>0.52833333333333343</v>
      </c>
      <c r="U8" s="551">
        <f>AVERAGE('LT Ball Mill'!H13:H15)</f>
        <v>7.623333333333334</v>
      </c>
      <c r="V8" s="540">
        <f t="shared" si="1"/>
        <v>71.586241450500012</v>
      </c>
      <c r="W8" s="541">
        <f t="shared" si="2"/>
        <v>62.104101094166687</v>
      </c>
      <c r="X8" s="541">
        <f t="shared" si="3"/>
        <v>896.10144607166683</v>
      </c>
      <c r="Y8" s="542"/>
      <c r="Z8" s="543"/>
      <c r="AA8" s="543" t="s">
        <v>40</v>
      </c>
      <c r="AB8" s="552">
        <v>1265</v>
      </c>
      <c r="AC8" s="543" t="s">
        <v>41</v>
      </c>
    </row>
    <row r="9" spans="2:31" ht="16.2" thickBot="1" x14ac:dyDescent="0.35">
      <c r="B9" s="665">
        <v>46267</v>
      </c>
      <c r="C9" s="666"/>
      <c r="D9" s="529" t="s">
        <v>455</v>
      </c>
      <c r="E9" s="529" t="s">
        <v>460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669">
        <f>SUM(M9:M10)</f>
        <v>209.804</v>
      </c>
      <c r="O9" s="29">
        <f>M9/((720-Q9)/60)</f>
        <v>10.565099999999999</v>
      </c>
      <c r="P9" s="674">
        <f>'Milling Down Time Hours'!L7</f>
        <v>22</v>
      </c>
      <c r="Q9" s="50">
        <f>'Milling Down Time Hours'!K7</f>
        <v>120.00000000000001</v>
      </c>
      <c r="R9" s="669">
        <f>SUM(M9:M11)</f>
        <v>300.14215000000002</v>
      </c>
      <c r="S9" s="185">
        <f>AVERAGE('LT Ball Mill'!F16:F18)</f>
        <v>0.7446666666666667</v>
      </c>
      <c r="T9" s="185">
        <f>AVERAGE('LT Ball Mill'!G16:G18)</f>
        <v>0.59</v>
      </c>
      <c r="U9" s="185">
        <f>AVERAGE('LT Ball Mill'!H16:H18)</f>
        <v>9.8400000000000016</v>
      </c>
      <c r="V9" s="178">
        <f t="shared" si="1"/>
        <v>78.674778000000003</v>
      </c>
      <c r="W9" s="129">
        <f t="shared" si="2"/>
        <v>62.334089999999996</v>
      </c>
      <c r="X9" s="129">
        <f t="shared" si="3"/>
        <v>1039.6058400000002</v>
      </c>
      <c r="Y9" s="38"/>
      <c r="Z9" s="39"/>
      <c r="AA9" s="39" t="s">
        <v>42</v>
      </c>
      <c r="AB9" s="41">
        <v>1000</v>
      </c>
      <c r="AC9" s="39" t="s">
        <v>43</v>
      </c>
    </row>
    <row r="10" spans="2:31" ht="16.2" thickBot="1" x14ac:dyDescent="0.35">
      <c r="B10" s="667"/>
      <c r="C10" s="668"/>
      <c r="D10" s="528" t="s">
        <v>459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678"/>
      <c r="O10" s="29">
        <f t="shared" ref="O10" si="4">M10/((720-Q10)/60)</f>
        <v>8.6794166666666666</v>
      </c>
      <c r="P10" s="675"/>
      <c r="Q10" s="50">
        <v>0</v>
      </c>
      <c r="R10" s="670"/>
      <c r="S10" s="171">
        <f>AVERAGE('LT Ball Mill'!F19:F21)</f>
        <v>1.0233333333333332</v>
      </c>
      <c r="T10" s="171">
        <f>AVERAGE('LT Ball Mill'!G19:G21)</f>
        <v>0.59</v>
      </c>
      <c r="U10" s="171">
        <f>AVERAGE('LT Ball Mill'!H19:H21)</f>
        <v>8.6433333333333326</v>
      </c>
      <c r="V10" s="178">
        <f t="shared" si="1"/>
        <v>106.58323666666666</v>
      </c>
      <c r="W10" s="129">
        <f t="shared" si="2"/>
        <v>61.450270000000003</v>
      </c>
      <c r="X10" s="129">
        <f t="shared" si="3"/>
        <v>900.22909666666669</v>
      </c>
      <c r="Z10" s="39"/>
      <c r="AA10" s="39" t="s">
        <v>44</v>
      </c>
      <c r="AB10" s="42">
        <f>+AB8/AB9</f>
        <v>1.2649999999999999</v>
      </c>
      <c r="AC10" s="39" t="s">
        <v>45</v>
      </c>
    </row>
    <row r="11" spans="2:31" s="544" customFormat="1" ht="16.2" thickBot="1" x14ac:dyDescent="0.35">
      <c r="B11" s="680">
        <v>46268</v>
      </c>
      <c r="C11" s="681"/>
      <c r="D11" s="546" t="s">
        <v>455</v>
      </c>
      <c r="E11" s="576" t="s">
        <v>486</v>
      </c>
      <c r="F11" s="533" t="s">
        <v>13</v>
      </c>
      <c r="G11" s="534">
        <v>0.43</v>
      </c>
      <c r="H11" s="550">
        <f>J11-H10-H9</f>
        <v>126</v>
      </c>
      <c r="I11" s="536">
        <f t="shared" si="0"/>
        <v>11.454545454545455</v>
      </c>
      <c r="J11" s="537">
        <v>539</v>
      </c>
      <c r="K11" s="537">
        <v>1.2949999999999999</v>
      </c>
      <c r="L11" s="564"/>
      <c r="M11" s="565">
        <f>J11*K11*G11-SUM(M9:M10)</f>
        <v>90.338150000000013</v>
      </c>
      <c r="N11" s="672">
        <f>SUM(M11:M12)</f>
        <v>90.338150000000013</v>
      </c>
      <c r="O11" s="29">
        <f>M11/((720-Q11)/60)</f>
        <v>8.2125590909090924</v>
      </c>
      <c r="P11" s="684">
        <f>'Milling Down Time Hours'!L8</f>
        <v>11.016666666666667</v>
      </c>
      <c r="Q11" s="566">
        <v>60</v>
      </c>
      <c r="R11" s="670"/>
      <c r="S11" s="559">
        <f>AVERAGE('LT Ball Mill'!F22:F24)</f>
        <v>0.66133333333333333</v>
      </c>
      <c r="T11" s="559">
        <f>AVERAGE('LT Ball Mill'!G22:G24)</f>
        <v>0.72333333333333327</v>
      </c>
      <c r="U11" s="559">
        <f>AVERAGE('LT Ball Mill'!H22:H24)</f>
        <v>8.0566666666666666</v>
      </c>
      <c r="V11" s="540">
        <f t="shared" si="1"/>
        <v>59.743629866666673</v>
      </c>
      <c r="W11" s="541">
        <f t="shared" si="2"/>
        <v>65.344595166666664</v>
      </c>
      <c r="X11" s="541">
        <f t="shared" si="3"/>
        <v>727.82436183333346</v>
      </c>
      <c r="Z11" s="543"/>
      <c r="AA11" s="543" t="s">
        <v>46</v>
      </c>
      <c r="AB11" s="567">
        <f>2.1</f>
        <v>2.1</v>
      </c>
      <c r="AC11" s="543" t="s">
        <v>45</v>
      </c>
    </row>
    <row r="12" spans="2:31" s="544" customFormat="1" ht="16.2" thickBot="1" x14ac:dyDescent="0.35">
      <c r="B12" s="682"/>
      <c r="C12" s="683"/>
      <c r="D12" s="545" t="s">
        <v>459</v>
      </c>
      <c r="E12" s="568" t="s">
        <v>482</v>
      </c>
      <c r="F12" s="547" t="s">
        <v>14</v>
      </c>
      <c r="G12" s="569"/>
      <c r="H12" s="550"/>
      <c r="I12" s="550"/>
      <c r="J12" s="550"/>
      <c r="K12" s="550"/>
      <c r="L12" s="548"/>
      <c r="M12" s="565">
        <f t="shared" ref="M12:M40" si="5">H12*K12*G12</f>
        <v>0</v>
      </c>
      <c r="N12" s="673"/>
      <c r="O12" s="29"/>
      <c r="P12" s="685"/>
      <c r="Q12" s="570">
        <v>720</v>
      </c>
      <c r="R12" s="671"/>
      <c r="S12" s="571"/>
      <c r="T12" s="571"/>
      <c r="U12" s="572"/>
      <c r="V12" s="540">
        <f t="shared" si="1"/>
        <v>0</v>
      </c>
      <c r="W12" s="541">
        <f t="shared" si="2"/>
        <v>0</v>
      </c>
      <c r="X12" s="541">
        <f t="shared" si="3"/>
        <v>0</v>
      </c>
      <c r="Z12" s="543"/>
      <c r="AA12" s="543" t="s">
        <v>47</v>
      </c>
      <c r="AB12" s="567" t="e">
        <f>SG_Soln</f>
        <v>#NAME?</v>
      </c>
      <c r="AC12" s="543" t="s">
        <v>45</v>
      </c>
    </row>
    <row r="13" spans="2:31" ht="16.2" thickBot="1" x14ac:dyDescent="0.35">
      <c r="B13" s="665">
        <v>46269</v>
      </c>
      <c r="C13" s="666"/>
      <c r="D13" s="43"/>
      <c r="E13" s="43"/>
      <c r="F13" s="44" t="s">
        <v>13</v>
      </c>
      <c r="G13" s="183"/>
      <c r="H13" s="45"/>
      <c r="I13" s="45"/>
      <c r="J13" s="45"/>
      <c r="K13" s="45"/>
      <c r="L13" s="46"/>
      <c r="M13" s="35">
        <f t="shared" si="5"/>
        <v>0</v>
      </c>
      <c r="N13" s="35"/>
      <c r="O13" s="45"/>
      <c r="P13" s="674">
        <f>'Milling Down Time Hours'!L9</f>
        <v>3.3333333333333333E-2</v>
      </c>
      <c r="Q13" s="674">
        <f>'Milling Down Time Hours'!K9</f>
        <v>1438</v>
      </c>
      <c r="R13" s="50"/>
      <c r="S13" s="185"/>
      <c r="T13" s="185"/>
      <c r="U13" s="186"/>
      <c r="V13" s="178">
        <f t="shared" si="1"/>
        <v>0</v>
      </c>
      <c r="W13" s="129">
        <f t="shared" si="2"/>
        <v>0</v>
      </c>
      <c r="X13" s="129">
        <f t="shared" si="3"/>
        <v>0</v>
      </c>
      <c r="Z13" s="39"/>
      <c r="AA13" s="39" t="s">
        <v>48</v>
      </c>
      <c r="AB13" s="52">
        <f>+(AB10-1)/(AB10-AB10/AB11)</f>
        <v>0.39992813510600062</v>
      </c>
      <c r="AC13" s="39"/>
      <c r="AD13" s="12"/>
      <c r="AE13" s="8"/>
    </row>
    <row r="14" spans="2:31" ht="16.2" thickBot="1" x14ac:dyDescent="0.35">
      <c r="B14" s="667"/>
      <c r="C14" s="668"/>
      <c r="D14" s="231"/>
      <c r="E14" s="231"/>
      <c r="F14" s="232" t="s">
        <v>14</v>
      </c>
      <c r="G14" s="233"/>
      <c r="H14" s="108"/>
      <c r="I14" s="16"/>
      <c r="J14" s="108"/>
      <c r="K14" s="108"/>
      <c r="L14" s="233"/>
      <c r="M14" s="35">
        <f t="shared" si="5"/>
        <v>0</v>
      </c>
      <c r="N14" s="234"/>
      <c r="O14" s="234">
        <f>(N14/SUM(P5:P14))</f>
        <v>0</v>
      </c>
      <c r="P14" s="679"/>
      <c r="Q14" s="679"/>
      <c r="R14" s="108"/>
      <c r="S14" s="236"/>
      <c r="T14" s="236"/>
      <c r="U14" s="237"/>
      <c r="V14" s="178">
        <f t="shared" si="1"/>
        <v>0</v>
      </c>
      <c r="W14" s="129">
        <f t="shared" si="2"/>
        <v>0</v>
      </c>
      <c r="X14" s="129">
        <f t="shared" si="3"/>
        <v>0</v>
      </c>
      <c r="Z14" s="39"/>
      <c r="AA14" s="39" t="s">
        <v>49</v>
      </c>
      <c r="AB14" s="53">
        <f>+AB13*AB8</f>
        <v>505.90909090909076</v>
      </c>
      <c r="AC14" s="39" t="s">
        <v>41</v>
      </c>
      <c r="AD14" s="12"/>
      <c r="AE14" s="8"/>
    </row>
    <row r="15" spans="2:31" ht="16.2" thickBot="1" x14ac:dyDescent="0.35">
      <c r="B15" s="665">
        <v>46270</v>
      </c>
      <c r="C15" s="666"/>
      <c r="D15" s="496"/>
      <c r="E15" s="497"/>
      <c r="F15" s="27" t="s">
        <v>13</v>
      </c>
      <c r="G15" s="30"/>
      <c r="H15" s="30"/>
      <c r="I15" s="16"/>
      <c r="J15" s="16"/>
      <c r="K15" s="16"/>
      <c r="L15" s="37"/>
      <c r="M15" s="35">
        <f t="shared" si="5"/>
        <v>0</v>
      </c>
      <c r="N15" s="30"/>
      <c r="O15" s="30"/>
      <c r="P15" s="674">
        <f>'Milling Down Time Hours'!L10</f>
        <v>24</v>
      </c>
      <c r="Q15" s="674">
        <f>'Milling Down Time Hours'!K10</f>
        <v>0</v>
      </c>
      <c r="R15" s="30"/>
      <c r="S15" s="185"/>
      <c r="T15" s="185"/>
      <c r="U15" s="186"/>
      <c r="V15" s="178">
        <f t="shared" si="1"/>
        <v>0</v>
      </c>
      <c r="W15" s="129">
        <f t="shared" si="2"/>
        <v>0</v>
      </c>
      <c r="X15" s="129">
        <f t="shared" si="3"/>
        <v>0</v>
      </c>
      <c r="Z15" s="39"/>
      <c r="AA15" s="39" t="s">
        <v>50</v>
      </c>
      <c r="AB15" s="53">
        <f>(AB8-AB14)</f>
        <v>759.09090909090924</v>
      </c>
      <c r="AC15" s="39" t="s">
        <v>41</v>
      </c>
      <c r="AD15" s="12"/>
      <c r="AE15" s="8"/>
    </row>
    <row r="16" spans="2:31" ht="16.2" thickBot="1" x14ac:dyDescent="0.35">
      <c r="B16" s="667"/>
      <c r="C16" s="668"/>
      <c r="D16" s="498"/>
      <c r="E16" s="498"/>
      <c r="F16" s="48" t="s">
        <v>14</v>
      </c>
      <c r="G16" s="51"/>
      <c r="H16" s="16"/>
      <c r="I16" s="15"/>
      <c r="J16" s="15"/>
      <c r="L16" s="51"/>
      <c r="M16" s="35">
        <f t="shared" si="5"/>
        <v>0</v>
      </c>
      <c r="N16" s="50"/>
      <c r="O16" s="50">
        <f>N16/P15</f>
        <v>0</v>
      </c>
      <c r="P16" s="675"/>
      <c r="Q16" s="675"/>
      <c r="R16" s="16"/>
      <c r="S16" s="171"/>
      <c r="T16" s="171"/>
      <c r="U16" s="177"/>
      <c r="V16" s="178">
        <f t="shared" si="1"/>
        <v>0</v>
      </c>
      <c r="W16" s="129">
        <f t="shared" si="2"/>
        <v>0</v>
      </c>
      <c r="X16" s="129">
        <f t="shared" si="3"/>
        <v>0</v>
      </c>
      <c r="Z16" s="39"/>
      <c r="AA16" s="39"/>
      <c r="AB16" s="39"/>
      <c r="AC16" s="39"/>
      <c r="AD16" s="12"/>
      <c r="AE16" s="8"/>
    </row>
    <row r="17" spans="2:31" ht="15" thickBot="1" x14ac:dyDescent="0.35">
      <c r="B17" s="665">
        <v>46271</v>
      </c>
      <c r="C17" s="666"/>
      <c r="D17" s="220"/>
      <c r="E17" s="47"/>
      <c r="F17" s="48" t="s">
        <v>13</v>
      </c>
      <c r="G17" s="16"/>
      <c r="H17" s="16"/>
      <c r="I17" s="16"/>
      <c r="J17" s="16"/>
      <c r="K17" s="16"/>
      <c r="L17" s="51"/>
      <c r="M17" s="35">
        <f t="shared" si="5"/>
        <v>0</v>
      </c>
      <c r="N17" s="50"/>
      <c r="O17" s="16"/>
      <c r="P17" s="674">
        <f>'Milling Down Time Hours'!L11</f>
        <v>24</v>
      </c>
      <c r="Q17" s="674">
        <f>'Milling Down Time Hours'!K11</f>
        <v>0</v>
      </c>
      <c r="R17" s="16"/>
      <c r="S17" s="185"/>
      <c r="T17" s="185"/>
      <c r="U17" s="186"/>
      <c r="V17" s="178">
        <f t="shared" si="1"/>
        <v>0</v>
      </c>
      <c r="W17" s="129">
        <f t="shared" si="2"/>
        <v>0</v>
      </c>
      <c r="X17" s="129">
        <f t="shared" si="3"/>
        <v>0</v>
      </c>
      <c r="AD17" s="54"/>
      <c r="AE17" s="8"/>
    </row>
    <row r="18" spans="2:31" ht="15" thickBot="1" x14ac:dyDescent="0.35">
      <c r="B18" s="667"/>
      <c r="C18" s="668"/>
      <c r="D18" s="240"/>
      <c r="E18" s="240"/>
      <c r="F18" s="33" t="s">
        <v>14</v>
      </c>
      <c r="G18" s="34"/>
      <c r="H18" s="36"/>
      <c r="I18" s="36"/>
      <c r="J18" s="36"/>
      <c r="K18" s="36"/>
      <c r="L18" s="40"/>
      <c r="M18" s="35">
        <f t="shared" si="5"/>
        <v>0</v>
      </c>
      <c r="N18" s="35"/>
      <c r="O18" s="35">
        <f>N18/39</f>
        <v>0</v>
      </c>
      <c r="P18" s="675"/>
      <c r="Q18" s="675"/>
      <c r="R18" s="35"/>
      <c r="S18" s="171"/>
      <c r="T18" s="171"/>
      <c r="U18" s="177"/>
      <c r="V18" s="178">
        <f t="shared" si="1"/>
        <v>0</v>
      </c>
      <c r="W18" s="129">
        <f t="shared" si="2"/>
        <v>0</v>
      </c>
      <c r="X18" s="129">
        <f t="shared" si="3"/>
        <v>0</v>
      </c>
      <c r="Y18" s="194"/>
      <c r="Z18" s="131"/>
      <c r="AB18" s="1">
        <f>1490-180</f>
        <v>1310</v>
      </c>
    </row>
    <row r="19" spans="2:31" ht="15" thickBot="1" x14ac:dyDescent="0.35">
      <c r="B19" s="665">
        <v>46272</v>
      </c>
      <c r="C19" s="666"/>
      <c r="D19" s="43"/>
      <c r="E19" s="43"/>
      <c r="F19" s="44" t="s">
        <v>13</v>
      </c>
      <c r="G19" s="183"/>
      <c r="H19" s="45"/>
      <c r="I19" s="45"/>
      <c r="J19" s="45"/>
      <c r="K19" s="45"/>
      <c r="L19" s="45"/>
      <c r="M19" s="35">
        <f t="shared" si="5"/>
        <v>0</v>
      </c>
      <c r="N19" s="45"/>
      <c r="O19" s="238"/>
      <c r="P19" s="679">
        <v>0</v>
      </c>
      <c r="Q19" s="679">
        <f>'Milling Down Time Hours'!K19</f>
        <v>0</v>
      </c>
      <c r="R19" s="238"/>
      <c r="S19" s="709"/>
      <c r="T19" s="709"/>
      <c r="U19" s="710"/>
      <c r="V19" s="178">
        <f t="shared" si="1"/>
        <v>0</v>
      </c>
      <c r="W19" s="129">
        <f t="shared" si="2"/>
        <v>0</v>
      </c>
      <c r="X19" s="129">
        <f t="shared" si="3"/>
        <v>0</v>
      </c>
      <c r="AB19" s="12">
        <f>(AB10-1)/(AB10-AB10/AB11)</f>
        <v>0.39992813510600062</v>
      </c>
    </row>
    <row r="20" spans="2:31" ht="15" thickBot="1" x14ac:dyDescent="0.35">
      <c r="B20" s="667"/>
      <c r="C20" s="668"/>
      <c r="D20" s="47"/>
      <c r="E20" s="47"/>
      <c r="F20" s="48" t="s">
        <v>14</v>
      </c>
      <c r="G20" s="51"/>
      <c r="H20" s="16"/>
      <c r="I20" s="16"/>
      <c r="J20" s="16"/>
      <c r="K20" s="16"/>
      <c r="L20" s="16"/>
      <c r="M20" s="35">
        <f t="shared" si="5"/>
        <v>0</v>
      </c>
      <c r="N20" s="16"/>
      <c r="O20" s="50"/>
      <c r="P20" s="675"/>
      <c r="Q20" s="675"/>
      <c r="R20" s="16"/>
      <c r="S20" s="697"/>
      <c r="T20" s="697"/>
      <c r="U20" s="708"/>
      <c r="V20" s="178">
        <f t="shared" si="1"/>
        <v>0</v>
      </c>
      <c r="W20" s="129">
        <f t="shared" si="2"/>
        <v>0</v>
      </c>
      <c r="X20" s="129">
        <f t="shared" si="3"/>
        <v>0</v>
      </c>
    </row>
    <row r="21" spans="2:31" ht="15" thickBot="1" x14ac:dyDescent="0.35">
      <c r="B21" s="665">
        <v>46273</v>
      </c>
      <c r="C21" s="666"/>
      <c r="D21" s="47"/>
      <c r="E21" s="47"/>
      <c r="F21" s="48" t="s">
        <v>13</v>
      </c>
      <c r="G21" s="16"/>
      <c r="H21" s="16"/>
      <c r="I21" s="16"/>
      <c r="J21" s="16"/>
      <c r="K21" s="16"/>
      <c r="L21" s="16"/>
      <c r="M21" s="35">
        <f t="shared" si="5"/>
        <v>0</v>
      </c>
      <c r="N21" s="16"/>
      <c r="O21" s="16"/>
      <c r="P21" s="674">
        <v>0</v>
      </c>
      <c r="Q21" s="674">
        <f>'Milling Down Time Hours'!K21</f>
        <v>0</v>
      </c>
      <c r="R21" s="16"/>
      <c r="S21" s="696"/>
      <c r="T21" s="696"/>
      <c r="U21" s="707"/>
      <c r="V21" s="178">
        <f t="shared" si="1"/>
        <v>0</v>
      </c>
      <c r="W21" s="129">
        <f t="shared" si="2"/>
        <v>0</v>
      </c>
      <c r="X21" s="129">
        <f t="shared" si="3"/>
        <v>0</v>
      </c>
      <c r="Z21" s="16" t="s">
        <v>216</v>
      </c>
      <c r="AA21" s="16">
        <v>10.7</v>
      </c>
      <c r="AB21" s="6" t="s">
        <v>218</v>
      </c>
    </row>
    <row r="22" spans="2:31" ht="15" thickBot="1" x14ac:dyDescent="0.35">
      <c r="B22" s="667"/>
      <c r="C22" s="668"/>
      <c r="D22" s="251"/>
      <c r="E22" s="251"/>
      <c r="F22" s="232" t="s">
        <v>14</v>
      </c>
      <c r="G22" s="108"/>
      <c r="H22" s="108"/>
      <c r="I22" s="108"/>
      <c r="J22" s="108"/>
      <c r="K22" s="108"/>
      <c r="L22" s="108"/>
      <c r="M22" s="35">
        <f t="shared" si="5"/>
        <v>0</v>
      </c>
      <c r="N22" s="108"/>
      <c r="O22" s="108"/>
      <c r="P22" s="679"/>
      <c r="Q22" s="679"/>
      <c r="R22" s="108"/>
      <c r="S22" s="711"/>
      <c r="T22" s="711"/>
      <c r="U22" s="712"/>
      <c r="V22" s="178">
        <f t="shared" si="1"/>
        <v>0</v>
      </c>
      <c r="W22" s="129">
        <f t="shared" si="2"/>
        <v>0</v>
      </c>
      <c r="X22" s="129">
        <f t="shared" si="3"/>
        <v>0</v>
      </c>
      <c r="Z22" s="16" t="s">
        <v>217</v>
      </c>
      <c r="AA22" s="16">
        <v>1.8</v>
      </c>
      <c r="AB22" s="6" t="s">
        <v>218</v>
      </c>
    </row>
    <row r="23" spans="2:31" ht="15" thickBot="1" x14ac:dyDescent="0.35">
      <c r="B23" s="665">
        <v>46274</v>
      </c>
      <c r="C23" s="666"/>
      <c r="D23" s="499"/>
      <c r="E23" s="500"/>
      <c r="F23" s="27" t="s">
        <v>13</v>
      </c>
      <c r="G23" s="37"/>
      <c r="H23" s="30"/>
      <c r="I23" s="30"/>
      <c r="J23" s="30"/>
      <c r="K23" s="30"/>
      <c r="L23" s="37"/>
      <c r="M23" s="35">
        <f t="shared" si="5"/>
        <v>0</v>
      </c>
      <c r="N23" s="239"/>
      <c r="O23" s="669">
        <f>R23/(P23+P25)</f>
        <v>0</v>
      </c>
      <c r="P23" s="703">
        <f>'Milling Down Time Hours'!L14</f>
        <v>24</v>
      </c>
      <c r="Q23" s="669">
        <f>'Milling Down Time Hours'!K23</f>
        <v>0</v>
      </c>
      <c r="R23" s="669">
        <f>SUM(N23:N25)</f>
        <v>0</v>
      </c>
      <c r="S23" s="185"/>
      <c r="T23" s="185"/>
      <c r="U23" s="186"/>
      <c r="V23" s="178">
        <f t="shared" si="1"/>
        <v>0</v>
      </c>
      <c r="W23" s="129">
        <f t="shared" si="2"/>
        <v>0</v>
      </c>
      <c r="X23" s="129">
        <f t="shared" si="3"/>
        <v>0</v>
      </c>
      <c r="Z23" s="16" t="s">
        <v>219</v>
      </c>
      <c r="AA23" s="16">
        <f>AA21*0.5</f>
        <v>5.35</v>
      </c>
      <c r="AB23" s="6"/>
    </row>
    <row r="24" spans="2:31" ht="15" thickBot="1" x14ac:dyDescent="0.35">
      <c r="B24" s="667"/>
      <c r="C24" s="668"/>
      <c r="D24" s="251"/>
      <c r="E24" s="251"/>
      <c r="F24" s="232" t="s">
        <v>14</v>
      </c>
      <c r="G24" s="233"/>
      <c r="H24" s="108"/>
      <c r="I24" s="108"/>
      <c r="J24" s="108"/>
      <c r="K24" s="108"/>
      <c r="L24" s="233"/>
      <c r="M24" s="35">
        <f t="shared" si="5"/>
        <v>0</v>
      </c>
      <c r="N24" s="235"/>
      <c r="O24" s="670"/>
      <c r="P24" s="704"/>
      <c r="Q24" s="670"/>
      <c r="R24" s="670"/>
      <c r="S24" s="236"/>
      <c r="T24" s="236"/>
      <c r="U24" s="237"/>
      <c r="V24" s="178">
        <f t="shared" si="1"/>
        <v>0</v>
      </c>
      <c r="W24" s="129">
        <f t="shared" si="2"/>
        <v>0</v>
      </c>
      <c r="X24" s="129">
        <f t="shared" si="3"/>
        <v>0</v>
      </c>
      <c r="Z24" s="16" t="s">
        <v>220</v>
      </c>
      <c r="AA24" s="519">
        <f>3.14*AA23*AA23*AA22</f>
        <v>161.77436999999998</v>
      </c>
      <c r="AB24" s="6"/>
    </row>
    <row r="25" spans="2:31" ht="15" thickBot="1" x14ac:dyDescent="0.35">
      <c r="B25" s="665">
        <v>46275</v>
      </c>
      <c r="C25" s="666"/>
      <c r="D25" s="10"/>
      <c r="E25" s="261"/>
      <c r="F25" s="262" t="s">
        <v>13</v>
      </c>
      <c r="G25" s="40"/>
      <c r="H25" s="36"/>
      <c r="I25" s="36"/>
      <c r="J25" s="36"/>
      <c r="K25" s="36"/>
      <c r="L25" s="40"/>
      <c r="M25" s="35">
        <f t="shared" si="5"/>
        <v>0</v>
      </c>
      <c r="N25" s="241"/>
      <c r="O25" s="678"/>
      <c r="P25" s="35">
        <v>6</v>
      </c>
      <c r="Q25" s="678"/>
      <c r="R25" s="678"/>
      <c r="S25" s="263"/>
      <c r="T25" s="263"/>
      <c r="U25" s="263"/>
      <c r="V25" s="178">
        <f t="shared" si="1"/>
        <v>0</v>
      </c>
      <c r="W25" s="129">
        <f t="shared" si="2"/>
        <v>0</v>
      </c>
      <c r="X25" s="129">
        <f t="shared" si="3"/>
        <v>0</v>
      </c>
      <c r="Z25" s="15" t="s">
        <v>451</v>
      </c>
      <c r="AA25" s="258">
        <f>AA24*AB10*41%</f>
        <v>83.904277000499974</v>
      </c>
    </row>
    <row r="26" spans="2:31" ht="15" thickBot="1" x14ac:dyDescent="0.35">
      <c r="B26" s="667"/>
      <c r="C26" s="668"/>
      <c r="D26" s="9"/>
      <c r="E26" s="501"/>
      <c r="F26" s="502" t="s">
        <v>13</v>
      </c>
      <c r="G26" s="37"/>
      <c r="H26" s="30"/>
      <c r="I26" s="30"/>
      <c r="J26" s="30"/>
      <c r="K26" s="30"/>
      <c r="L26" s="37"/>
      <c r="M26" s="35">
        <f t="shared" si="5"/>
        <v>0</v>
      </c>
      <c r="N26" s="268"/>
      <c r="O26" s="669">
        <f>SUM(N26:N29)/SUM(P26:P29)</f>
        <v>0</v>
      </c>
      <c r="P26" s="29">
        <v>6</v>
      </c>
      <c r="Q26" s="29"/>
      <c r="R26" s="269"/>
      <c r="S26" s="263"/>
      <c r="T26" s="263"/>
      <c r="U26" s="263"/>
      <c r="V26" s="178">
        <f t="shared" si="1"/>
        <v>0</v>
      </c>
      <c r="W26" s="129">
        <f t="shared" si="2"/>
        <v>0</v>
      </c>
      <c r="X26" s="129">
        <f t="shared" si="3"/>
        <v>0</v>
      </c>
      <c r="Z26" s="15"/>
      <c r="AA26" s="258">
        <f>AA25-33.43</f>
        <v>50.474277000499974</v>
      </c>
    </row>
    <row r="27" spans="2:31" ht="15" thickBot="1" x14ac:dyDescent="0.35">
      <c r="B27" s="665">
        <v>46276</v>
      </c>
      <c r="C27" s="666"/>
      <c r="D27" s="10"/>
      <c r="E27" s="503"/>
      <c r="F27" s="33" t="s">
        <v>14</v>
      </c>
      <c r="G27" s="37"/>
      <c r="H27" s="36"/>
      <c r="I27" s="36"/>
      <c r="J27" s="36"/>
      <c r="K27" s="36"/>
      <c r="L27" s="40"/>
      <c r="M27" s="35">
        <f t="shared" si="5"/>
        <v>0</v>
      </c>
      <c r="N27" s="268"/>
      <c r="O27" s="670"/>
      <c r="P27" s="264">
        <v>12</v>
      </c>
      <c r="Q27" s="264"/>
      <c r="R27" s="218"/>
      <c r="S27" s="171"/>
      <c r="T27" s="171"/>
      <c r="U27" s="177"/>
      <c r="V27" s="178">
        <f t="shared" si="1"/>
        <v>0</v>
      </c>
      <c r="W27" s="129">
        <f t="shared" si="2"/>
        <v>0</v>
      </c>
      <c r="X27" s="129">
        <f t="shared" si="3"/>
        <v>0</v>
      </c>
    </row>
    <row r="28" spans="2:31" ht="15" thickBot="1" x14ac:dyDescent="0.35">
      <c r="B28" s="667"/>
      <c r="C28" s="668"/>
      <c r="D28" s="9"/>
      <c r="E28" s="9"/>
      <c r="F28" s="27" t="s">
        <v>13</v>
      </c>
      <c r="G28" s="37"/>
      <c r="H28" s="30"/>
      <c r="I28" s="30"/>
      <c r="J28" s="30"/>
      <c r="K28" s="30"/>
      <c r="L28" s="184"/>
      <c r="M28" s="35">
        <f t="shared" si="5"/>
        <v>0</v>
      </c>
      <c r="N28" s="268"/>
      <c r="O28" s="670"/>
      <c r="P28" s="674">
        <f>'Milling Down Time Hours'!L16</f>
        <v>24</v>
      </c>
      <c r="Q28" s="674">
        <f>'Milling Down Time Hours'!K16</f>
        <v>0</v>
      </c>
      <c r="R28" s="184"/>
      <c r="S28" s="185"/>
      <c r="T28" s="185"/>
      <c r="U28" s="185"/>
      <c r="V28" s="178">
        <f t="shared" si="1"/>
        <v>0</v>
      </c>
      <c r="W28" s="129">
        <f t="shared" si="2"/>
        <v>0</v>
      </c>
      <c r="X28" s="129">
        <f t="shared" si="3"/>
        <v>0</v>
      </c>
    </row>
    <row r="29" spans="2:31" ht="15" thickBot="1" x14ac:dyDescent="0.35">
      <c r="B29" s="665">
        <v>46277</v>
      </c>
      <c r="C29" s="666"/>
      <c r="D29" s="10"/>
      <c r="E29" s="278"/>
      <c r="F29" s="33" t="s">
        <v>14</v>
      </c>
      <c r="G29" s="40"/>
      <c r="H29" s="36"/>
      <c r="I29" s="36"/>
      <c r="J29" s="36"/>
      <c r="K29" s="36"/>
      <c r="L29" s="218"/>
      <c r="M29" s="35">
        <f t="shared" si="5"/>
        <v>0</v>
      </c>
      <c r="N29" s="268"/>
      <c r="O29" s="678"/>
      <c r="P29" s="675"/>
      <c r="Q29" s="675"/>
      <c r="R29" s="218"/>
      <c r="S29" s="171"/>
      <c r="T29" s="185"/>
      <c r="U29" s="185"/>
      <c r="V29" s="178">
        <f t="shared" si="1"/>
        <v>0</v>
      </c>
      <c r="W29" s="129">
        <f t="shared" si="2"/>
        <v>0</v>
      </c>
      <c r="X29" s="129">
        <f t="shared" si="3"/>
        <v>0</v>
      </c>
    </row>
    <row r="30" spans="2:31" ht="15" thickBot="1" x14ac:dyDescent="0.35">
      <c r="B30" s="667"/>
      <c r="C30" s="668"/>
      <c r="D30" s="9"/>
      <c r="E30" s="504"/>
      <c r="F30" s="27" t="s">
        <v>13</v>
      </c>
      <c r="G30" s="184"/>
      <c r="H30" s="184"/>
      <c r="I30" s="184"/>
      <c r="J30" s="184"/>
      <c r="K30" s="184"/>
      <c r="L30" s="184"/>
      <c r="M30" s="35">
        <f t="shared" si="5"/>
        <v>0</v>
      </c>
      <c r="N30" s="268"/>
      <c r="O30" s="669">
        <f>N31/P30</f>
        <v>0</v>
      </c>
      <c r="P30" s="674">
        <f>'Milling Down Time Hours'!L17</f>
        <v>24</v>
      </c>
      <c r="Q30" s="674">
        <f>'Milling Down Time Hours'!K17</f>
        <v>0</v>
      </c>
      <c r="R30" s="505"/>
      <c r="S30" s="506"/>
      <c r="T30" s="506"/>
      <c r="U30" s="507"/>
      <c r="V30" s="178">
        <f t="shared" si="1"/>
        <v>0</v>
      </c>
      <c r="W30" s="129">
        <f t="shared" si="2"/>
        <v>0</v>
      </c>
      <c r="X30" s="129">
        <f t="shared" si="3"/>
        <v>0</v>
      </c>
      <c r="Z30" s="153"/>
      <c r="AA30" s="38">
        <f>AA24-SUM(H5:H7)</f>
        <v>-197.22563000000002</v>
      </c>
    </row>
    <row r="31" spans="2:31" ht="15" thickBot="1" x14ac:dyDescent="0.35">
      <c r="B31" s="665">
        <v>46156</v>
      </c>
      <c r="C31" s="666"/>
      <c r="D31" s="10"/>
      <c r="E31" s="10"/>
      <c r="F31" s="33" t="s">
        <v>14</v>
      </c>
      <c r="G31" s="40"/>
      <c r="H31" s="36"/>
      <c r="I31" s="36"/>
      <c r="J31" s="36"/>
      <c r="K31" s="36"/>
      <c r="L31" s="40"/>
      <c r="M31" s="35">
        <f t="shared" si="5"/>
        <v>0</v>
      </c>
      <c r="N31" s="268"/>
      <c r="O31" s="678"/>
      <c r="P31" s="675"/>
      <c r="Q31" s="675"/>
      <c r="R31" s="508"/>
      <c r="S31" s="171"/>
      <c r="T31" s="171"/>
      <c r="U31" s="177"/>
      <c r="V31" s="178">
        <f t="shared" si="1"/>
        <v>0</v>
      </c>
      <c r="W31" s="129">
        <f t="shared" si="2"/>
        <v>0</v>
      </c>
      <c r="X31" s="129">
        <f t="shared" si="3"/>
        <v>0</v>
      </c>
    </row>
    <row r="32" spans="2:31" ht="15" thickBot="1" x14ac:dyDescent="0.35">
      <c r="B32" s="676"/>
      <c r="C32" s="677"/>
      <c r="D32" s="43"/>
      <c r="E32" s="43"/>
      <c r="F32" s="44" t="s">
        <v>13</v>
      </c>
      <c r="G32" s="183"/>
      <c r="H32" s="45"/>
      <c r="I32" s="45"/>
      <c r="J32" s="45"/>
      <c r="K32" s="45"/>
      <c r="L32" s="40"/>
      <c r="M32" s="35">
        <f t="shared" si="5"/>
        <v>0</v>
      </c>
      <c r="N32" s="268"/>
      <c r="O32" s="669">
        <f>SUM(N32:N33)/P32</f>
        <v>0</v>
      </c>
      <c r="P32" s="679">
        <f>'Milling Down Time Hours'!L18</f>
        <v>24</v>
      </c>
      <c r="Q32" s="679">
        <f>'Milling Down Time Hours'!K18</f>
        <v>0</v>
      </c>
      <c r="R32" s="46"/>
      <c r="S32" s="185"/>
      <c r="T32" s="185"/>
      <c r="U32" s="186"/>
      <c r="V32" s="178">
        <f t="shared" si="1"/>
        <v>0</v>
      </c>
      <c r="W32" s="129">
        <f t="shared" si="2"/>
        <v>0</v>
      </c>
      <c r="X32" s="129">
        <f t="shared" si="3"/>
        <v>0</v>
      </c>
      <c r="Z32" s="176"/>
    </row>
    <row r="33" spans="2:26" ht="15" thickBot="1" x14ac:dyDescent="0.35">
      <c r="B33" s="667"/>
      <c r="C33" s="668"/>
      <c r="D33" s="47"/>
      <c r="E33" s="47"/>
      <c r="F33" s="48" t="s">
        <v>14</v>
      </c>
      <c r="G33" s="51"/>
      <c r="H33" s="16"/>
      <c r="I33" s="16"/>
      <c r="J33" s="16"/>
      <c r="K33" s="16"/>
      <c r="L33" s="40"/>
      <c r="M33" s="35">
        <f t="shared" si="5"/>
        <v>0</v>
      </c>
      <c r="N33" s="268"/>
      <c r="O33" s="678"/>
      <c r="P33" s="675"/>
      <c r="Q33" s="675"/>
      <c r="R33" s="6"/>
      <c r="S33" s="171"/>
      <c r="T33" s="171"/>
      <c r="U33" s="177"/>
      <c r="V33" s="178">
        <f t="shared" si="1"/>
        <v>0</v>
      </c>
      <c r="W33" s="129">
        <f t="shared" si="2"/>
        <v>0</v>
      </c>
      <c r="X33" s="129">
        <f t="shared" si="3"/>
        <v>0</v>
      </c>
      <c r="Z33" s="153"/>
    </row>
    <row r="34" spans="2:26" ht="15" thickBot="1" x14ac:dyDescent="0.35">
      <c r="B34" s="665">
        <v>46188</v>
      </c>
      <c r="C34" s="666"/>
      <c r="D34" s="47"/>
      <c r="E34" s="47"/>
      <c r="F34" s="48" t="s">
        <v>13</v>
      </c>
      <c r="G34" s="51"/>
      <c r="H34" s="16"/>
      <c r="I34" s="16"/>
      <c r="J34" s="16"/>
      <c r="K34" s="16"/>
      <c r="L34" s="40"/>
      <c r="M34" s="35">
        <f t="shared" si="5"/>
        <v>0</v>
      </c>
      <c r="N34" s="268"/>
      <c r="O34" s="669">
        <f>SUM(N34:N35)/P34</f>
        <v>0</v>
      </c>
      <c r="P34" s="674">
        <f>'Milling Down Time Hours'!L19</f>
        <v>24</v>
      </c>
      <c r="Q34" s="674">
        <f>'Milling Down Time Hours'!K19</f>
        <v>0</v>
      </c>
      <c r="R34" s="6"/>
      <c r="S34" s="185"/>
      <c r="T34" s="185"/>
      <c r="U34" s="186"/>
      <c r="V34" s="178">
        <f t="shared" si="1"/>
        <v>0</v>
      </c>
      <c r="W34" s="129">
        <f t="shared" si="2"/>
        <v>0</v>
      </c>
      <c r="X34" s="129">
        <f t="shared" si="3"/>
        <v>0</v>
      </c>
    </row>
    <row r="35" spans="2:26" ht="15" thickBot="1" x14ac:dyDescent="0.35">
      <c r="B35" s="667"/>
      <c r="C35" s="668"/>
      <c r="D35" s="47"/>
      <c r="E35" s="292"/>
      <c r="F35" s="48" t="s">
        <v>14</v>
      </c>
      <c r="G35" s="51"/>
      <c r="H35" s="16"/>
      <c r="I35" s="16"/>
      <c r="J35" s="16"/>
      <c r="K35" s="16"/>
      <c r="L35" s="51"/>
      <c r="M35" s="35">
        <f t="shared" si="5"/>
        <v>0</v>
      </c>
      <c r="N35" s="268"/>
      <c r="O35" s="678"/>
      <c r="P35" s="675"/>
      <c r="Q35" s="675"/>
      <c r="R35" s="6"/>
      <c r="S35" s="171"/>
      <c r="T35" s="171"/>
      <c r="U35" s="177"/>
      <c r="V35" s="178">
        <f t="shared" si="1"/>
        <v>0</v>
      </c>
      <c r="W35" s="129">
        <f t="shared" si="2"/>
        <v>0</v>
      </c>
      <c r="X35" s="129">
        <f t="shared" si="3"/>
        <v>0</v>
      </c>
    </row>
    <row r="36" spans="2:26" ht="15" thickBot="1" x14ac:dyDescent="0.35">
      <c r="B36" s="686">
        <v>46188</v>
      </c>
      <c r="C36" s="687"/>
      <c r="D36" s="509"/>
      <c r="E36" s="509"/>
      <c r="F36" s="510" t="s">
        <v>13</v>
      </c>
      <c r="G36" s="511"/>
      <c r="H36" s="510"/>
      <c r="I36" s="510"/>
      <c r="J36" s="510"/>
      <c r="K36" s="510"/>
      <c r="L36" s="511"/>
      <c r="M36" s="35">
        <f t="shared" si="5"/>
        <v>0</v>
      </c>
      <c r="N36" s="512"/>
      <c r="O36" s="692">
        <f>SUM(N36:N37)/P36</f>
        <v>0</v>
      </c>
      <c r="P36" s="690">
        <f>'Milling Down Time Hours'!L20</f>
        <v>24</v>
      </c>
      <c r="Q36" s="690">
        <f>'Milling Down Time Hours'!K20</f>
        <v>0</v>
      </c>
      <c r="R36" s="510"/>
      <c r="S36" s="513"/>
      <c r="T36" s="513"/>
      <c r="U36" s="514"/>
      <c r="V36" s="178">
        <f t="shared" si="1"/>
        <v>0</v>
      </c>
      <c r="W36" s="129">
        <f t="shared" si="2"/>
        <v>0</v>
      </c>
      <c r="X36" s="129">
        <f t="shared" si="3"/>
        <v>0</v>
      </c>
    </row>
    <row r="37" spans="2:26" ht="15" thickBot="1" x14ac:dyDescent="0.35">
      <c r="B37" s="688"/>
      <c r="C37" s="689"/>
      <c r="D37" s="509"/>
      <c r="E37" s="509"/>
      <c r="F37" s="510" t="s">
        <v>14</v>
      </c>
      <c r="G37" s="511"/>
      <c r="H37" s="510"/>
      <c r="I37" s="510"/>
      <c r="J37" s="510"/>
      <c r="K37" s="510"/>
      <c r="L37" s="511"/>
      <c r="M37" s="35">
        <f t="shared" si="5"/>
        <v>0</v>
      </c>
      <c r="N37" s="512"/>
      <c r="O37" s="693"/>
      <c r="P37" s="691"/>
      <c r="Q37" s="691"/>
      <c r="R37" s="510"/>
      <c r="S37" s="515"/>
      <c r="T37" s="515"/>
      <c r="U37" s="516"/>
      <c r="V37" s="178">
        <f t="shared" si="1"/>
        <v>0</v>
      </c>
      <c r="W37" s="129">
        <f t="shared" si="2"/>
        <v>0</v>
      </c>
      <c r="X37" s="129">
        <f t="shared" si="3"/>
        <v>0</v>
      </c>
    </row>
    <row r="38" spans="2:26" ht="15" thickBot="1" x14ac:dyDescent="0.35">
      <c r="B38" s="665">
        <v>46189</v>
      </c>
      <c r="C38" s="666"/>
      <c r="D38" s="47"/>
      <c r="E38" s="291"/>
      <c r="F38" s="48" t="s">
        <v>13</v>
      </c>
      <c r="G38" s="6"/>
      <c r="H38" s="6"/>
      <c r="I38" s="6"/>
      <c r="J38" s="6"/>
      <c r="K38" s="6"/>
      <c r="L38" s="6"/>
      <c r="M38" s="35">
        <f t="shared" si="5"/>
        <v>0</v>
      </c>
      <c r="N38" s="6"/>
      <c r="O38" s="692">
        <f t="shared" ref="O38" si="6">SUM(N38:N39)/P38</f>
        <v>0</v>
      </c>
      <c r="P38" s="674">
        <f>'Milling Down Time Hours'!L21</f>
        <v>24</v>
      </c>
      <c r="Q38" s="674">
        <f>'Milling Down Time Hours'!K21</f>
        <v>0</v>
      </c>
      <c r="R38" s="6"/>
      <c r="S38" s="696"/>
      <c r="T38" s="696"/>
      <c r="U38" s="707"/>
      <c r="V38" s="178">
        <f t="shared" si="1"/>
        <v>0</v>
      </c>
      <c r="W38" s="129">
        <f t="shared" si="2"/>
        <v>0</v>
      </c>
      <c r="X38" s="129">
        <f t="shared" si="3"/>
        <v>0</v>
      </c>
    </row>
    <row r="39" spans="2:26" ht="15" thickBot="1" x14ac:dyDescent="0.35">
      <c r="B39" s="667"/>
      <c r="C39" s="668"/>
      <c r="D39" s="6"/>
      <c r="E39" s="16"/>
      <c r="F39" s="48" t="s">
        <v>14</v>
      </c>
      <c r="G39" s="6"/>
      <c r="H39" s="6"/>
      <c r="I39" s="6"/>
      <c r="J39" s="6"/>
      <c r="K39" s="6"/>
      <c r="L39" s="6"/>
      <c r="M39" s="35">
        <f t="shared" si="5"/>
        <v>0</v>
      </c>
      <c r="N39" s="6"/>
      <c r="O39" s="693"/>
      <c r="P39" s="675"/>
      <c r="Q39" s="675"/>
      <c r="R39" s="6"/>
      <c r="S39" s="697"/>
      <c r="T39" s="697"/>
      <c r="U39" s="708"/>
      <c r="V39" s="178">
        <f t="shared" si="1"/>
        <v>0</v>
      </c>
      <c r="W39" s="129">
        <f t="shared" si="2"/>
        <v>0</v>
      </c>
      <c r="X39" s="129">
        <f t="shared" si="3"/>
        <v>0</v>
      </c>
    </row>
    <row r="40" spans="2:26" ht="15" thickBot="1" x14ac:dyDescent="0.35">
      <c r="B40" s="665">
        <v>46190</v>
      </c>
      <c r="C40" s="666"/>
      <c r="D40" s="47"/>
      <c r="E40" s="291"/>
      <c r="F40" s="48" t="s">
        <v>13</v>
      </c>
      <c r="G40" s="51"/>
      <c r="H40" s="50"/>
      <c r="I40" s="50"/>
      <c r="J40" s="50"/>
      <c r="K40" s="16"/>
      <c r="L40" s="51"/>
      <c r="M40" s="35">
        <f t="shared" si="5"/>
        <v>0</v>
      </c>
      <c r="N40" s="50"/>
      <c r="O40" s="692">
        <f>SUM(N40:N41)/P40</f>
        <v>0</v>
      </c>
      <c r="P40" s="674">
        <f>'Milling Down Time Hours'!L22</f>
        <v>24</v>
      </c>
      <c r="Q40" s="674">
        <f>'Milling Down Time Hours'!K22</f>
        <v>0</v>
      </c>
      <c r="R40" s="6"/>
      <c r="S40" s="185"/>
      <c r="T40" s="185"/>
      <c r="U40" s="186"/>
      <c r="V40" s="178">
        <f t="shared" si="1"/>
        <v>0</v>
      </c>
      <c r="W40" s="129">
        <f t="shared" si="2"/>
        <v>0</v>
      </c>
      <c r="X40" s="129">
        <f t="shared" si="3"/>
        <v>0</v>
      </c>
    </row>
    <row r="41" spans="2:26" ht="15" thickBot="1" x14ac:dyDescent="0.35">
      <c r="B41" s="667"/>
      <c r="C41" s="668"/>
      <c r="D41" s="16"/>
      <c r="E41" s="16"/>
      <c r="F41" s="48" t="s">
        <v>14</v>
      </c>
      <c r="G41" s="51"/>
      <c r="H41" s="16"/>
      <c r="I41" s="16"/>
      <c r="J41" s="16"/>
      <c r="K41" s="16"/>
      <c r="L41" s="51"/>
      <c r="M41" s="35">
        <f t="shared" ref="M41:M71" si="7">H41*K41*G41</f>
        <v>0</v>
      </c>
      <c r="N41" s="50"/>
      <c r="O41" s="693"/>
      <c r="P41" s="675"/>
      <c r="Q41" s="675"/>
      <c r="R41" s="6"/>
      <c r="S41" s="195"/>
      <c r="T41" s="195"/>
      <c r="U41" s="295"/>
      <c r="V41" s="178">
        <f t="shared" si="1"/>
        <v>0</v>
      </c>
      <c r="W41" s="129">
        <f t="shared" si="2"/>
        <v>0</v>
      </c>
      <c r="X41" s="129">
        <f t="shared" si="3"/>
        <v>0</v>
      </c>
    </row>
    <row r="42" spans="2:26" ht="15" thickBot="1" x14ac:dyDescent="0.35">
      <c r="B42" s="665">
        <v>46191</v>
      </c>
      <c r="C42" s="666"/>
      <c r="D42" s="47"/>
      <c r="E42" s="47"/>
      <c r="F42" s="48" t="s">
        <v>13</v>
      </c>
      <c r="G42" s="51"/>
      <c r="H42" s="16"/>
      <c r="I42" s="16"/>
      <c r="J42" s="16"/>
      <c r="K42" s="16"/>
      <c r="L42" s="51"/>
      <c r="M42" s="35">
        <f t="shared" si="7"/>
        <v>0</v>
      </c>
      <c r="N42" s="50"/>
      <c r="O42" s="16"/>
      <c r="P42" s="294">
        <f>'Milling Down Time Hours'!L23</f>
        <v>24</v>
      </c>
      <c r="Q42" s="294">
        <f>'Milling Down Time Hours'!K23</f>
        <v>0</v>
      </c>
      <c r="R42" s="16"/>
      <c r="S42" s="185"/>
      <c r="T42" s="185"/>
      <c r="U42" s="186"/>
      <c r="V42" s="178">
        <f t="shared" si="1"/>
        <v>0</v>
      </c>
      <c r="W42" s="129">
        <f t="shared" si="2"/>
        <v>0</v>
      </c>
      <c r="X42" s="129">
        <f t="shared" si="3"/>
        <v>0</v>
      </c>
    </row>
    <row r="43" spans="2:26" ht="15" thickBot="1" x14ac:dyDescent="0.35">
      <c r="B43" s="667"/>
      <c r="C43" s="668"/>
      <c r="D43" s="6"/>
      <c r="E43" s="6"/>
      <c r="F43" s="48" t="s">
        <v>14</v>
      </c>
      <c r="G43" s="51"/>
      <c r="H43" s="16"/>
      <c r="I43" s="16"/>
      <c r="J43" s="16"/>
      <c r="K43" s="16"/>
      <c r="L43" s="51"/>
      <c r="M43" s="35">
        <f t="shared" si="7"/>
        <v>0</v>
      </c>
      <c r="N43" s="50"/>
      <c r="O43" s="16"/>
      <c r="P43" s="305"/>
      <c r="Q43" s="305"/>
      <c r="R43" s="6"/>
      <c r="S43" s="296"/>
      <c r="T43" s="195"/>
      <c r="U43" s="295"/>
      <c r="V43" s="178">
        <f t="shared" si="1"/>
        <v>0</v>
      </c>
      <c r="W43" s="129">
        <f t="shared" si="2"/>
        <v>0</v>
      </c>
      <c r="X43" s="129">
        <f t="shared" si="3"/>
        <v>0</v>
      </c>
    </row>
    <row r="44" spans="2:26" ht="15" thickBot="1" x14ac:dyDescent="0.35">
      <c r="B44" s="665">
        <v>46192</v>
      </c>
      <c r="C44" s="666"/>
      <c r="D44" s="47"/>
      <c r="E44" s="47"/>
      <c r="F44" s="48" t="s">
        <v>13</v>
      </c>
      <c r="G44" s="51"/>
      <c r="H44" s="16"/>
      <c r="I44" s="16"/>
      <c r="J44" s="16"/>
      <c r="K44" s="16"/>
      <c r="L44" s="51"/>
      <c r="M44" s="35">
        <f t="shared" si="7"/>
        <v>0</v>
      </c>
      <c r="N44" s="50"/>
      <c r="O44" s="15"/>
      <c r="P44" s="674">
        <f>'Milling Down Time Hours'!L24</f>
        <v>24</v>
      </c>
      <c r="Q44" s="674">
        <f>'Milling Down Time Hours'!K24</f>
        <v>0</v>
      </c>
      <c r="R44" s="6"/>
      <c r="S44" s="185"/>
      <c r="T44" s="185"/>
      <c r="U44" s="186"/>
      <c r="V44" s="178">
        <f t="shared" si="1"/>
        <v>0</v>
      </c>
      <c r="W44" s="129">
        <f t="shared" si="2"/>
        <v>0</v>
      </c>
      <c r="X44" s="129">
        <f t="shared" si="3"/>
        <v>0</v>
      </c>
    </row>
    <row r="45" spans="2:26" ht="15" thickBot="1" x14ac:dyDescent="0.35">
      <c r="B45" s="667"/>
      <c r="C45" s="668"/>
      <c r="D45" s="6"/>
      <c r="E45" s="6"/>
      <c r="F45" s="48" t="s">
        <v>14</v>
      </c>
      <c r="G45" s="6"/>
      <c r="H45" s="6"/>
      <c r="I45" s="6"/>
      <c r="J45" s="6"/>
      <c r="K45" s="16"/>
      <c r="L45" s="16"/>
      <c r="M45" s="35">
        <f t="shared" si="7"/>
        <v>0</v>
      </c>
      <c r="N45" s="50"/>
      <c r="O45" s="16"/>
      <c r="P45" s="675"/>
      <c r="Q45" s="675"/>
      <c r="R45" s="6"/>
      <c r="S45" s="296"/>
      <c r="T45" s="296"/>
      <c r="U45" s="297"/>
      <c r="V45" s="178">
        <f t="shared" si="1"/>
        <v>0</v>
      </c>
      <c r="W45" s="129">
        <f t="shared" si="2"/>
        <v>0</v>
      </c>
      <c r="X45" s="129">
        <f t="shared" si="3"/>
        <v>0</v>
      </c>
    </row>
    <row r="46" spans="2:26" ht="15" thickBot="1" x14ac:dyDescent="0.35">
      <c r="B46" s="665">
        <v>46193</v>
      </c>
      <c r="C46" s="666"/>
      <c r="D46" s="47"/>
      <c r="E46" s="47"/>
      <c r="F46" s="48" t="s">
        <v>13</v>
      </c>
      <c r="G46" s="302"/>
      <c r="H46" s="16"/>
      <c r="I46" s="16"/>
      <c r="J46" s="16"/>
      <c r="K46" s="16"/>
      <c r="L46" s="51"/>
      <c r="M46" s="35">
        <f t="shared" si="7"/>
        <v>0</v>
      </c>
      <c r="N46" s="50"/>
      <c r="O46" s="6"/>
      <c r="P46" s="674">
        <f>'Milling Down Time Hours'!L25</f>
        <v>24</v>
      </c>
      <c r="Q46" s="674">
        <f>'Milling Down Time Hours'!K25</f>
        <v>0</v>
      </c>
      <c r="R46" s="6"/>
      <c r="S46" s="696" t="e">
        <f>SUM(#REF!)</f>
        <v>#REF!</v>
      </c>
      <c r="T46" s="696" t="e">
        <f t="shared" ref="T46" si="8">SUM(S46:S48)</f>
        <v>#REF!</v>
      </c>
      <c r="U46" s="707" t="e">
        <f t="shared" ref="U46" si="9">SUM(T46:T48)</f>
        <v>#REF!</v>
      </c>
      <c r="V46" s="178" t="e">
        <f t="shared" si="1"/>
        <v>#REF!</v>
      </c>
      <c r="W46" s="129" t="e">
        <f t="shared" si="2"/>
        <v>#REF!</v>
      </c>
      <c r="X46" s="129" t="e">
        <f t="shared" si="3"/>
        <v>#REF!</v>
      </c>
    </row>
    <row r="47" spans="2:26" ht="15" thickBot="1" x14ac:dyDescent="0.35">
      <c r="B47" s="667"/>
      <c r="C47" s="668"/>
      <c r="D47" s="6"/>
      <c r="E47" s="6"/>
      <c r="F47" s="48" t="s">
        <v>14</v>
      </c>
      <c r="G47" s="6"/>
      <c r="H47" s="6"/>
      <c r="I47" s="6"/>
      <c r="J47" s="6"/>
      <c r="K47" s="6"/>
      <c r="L47" s="6"/>
      <c r="M47" s="35">
        <f t="shared" si="7"/>
        <v>0</v>
      </c>
      <c r="N47" s="6"/>
      <c r="O47" s="6"/>
      <c r="P47" s="675"/>
      <c r="Q47" s="675"/>
      <c r="R47" s="6"/>
      <c r="S47" s="697"/>
      <c r="T47" s="697"/>
      <c r="U47" s="708"/>
      <c r="V47" s="178">
        <f t="shared" si="1"/>
        <v>0</v>
      </c>
      <c r="W47" s="129">
        <f t="shared" si="2"/>
        <v>0</v>
      </c>
      <c r="X47" s="129">
        <f t="shared" si="3"/>
        <v>0</v>
      </c>
    </row>
    <row r="48" spans="2:26" ht="15" thickBot="1" x14ac:dyDescent="0.35">
      <c r="B48" s="665">
        <v>46194</v>
      </c>
      <c r="C48" s="666"/>
      <c r="D48" s="47"/>
      <c r="E48" s="313"/>
      <c r="F48" s="48" t="s">
        <v>13</v>
      </c>
      <c r="G48" s="6"/>
      <c r="H48" s="6"/>
      <c r="I48" s="6"/>
      <c r="J48" s="6"/>
      <c r="K48" s="6"/>
      <c r="L48" s="6"/>
      <c r="M48" s="35">
        <f t="shared" si="7"/>
        <v>0</v>
      </c>
      <c r="N48" s="6"/>
      <c r="O48" s="6"/>
      <c r="P48" s="674">
        <f>'Milling Down Time Hours'!L53</f>
        <v>0</v>
      </c>
      <c r="Q48" s="674">
        <f>'Milling Down Time Hours'!K53</f>
        <v>0</v>
      </c>
      <c r="R48" s="6"/>
      <c r="S48" s="696" t="e">
        <f>SUM(#REF!)</f>
        <v>#REF!</v>
      </c>
      <c r="T48" s="696" t="e">
        <f t="shared" ref="T48" si="10">SUM(S48:S50)</f>
        <v>#REF!</v>
      </c>
      <c r="U48" s="707" t="e">
        <f t="shared" ref="U48" si="11">SUM(T48:T50)</f>
        <v>#REF!</v>
      </c>
      <c r="V48" s="178" t="e">
        <f t="shared" si="1"/>
        <v>#REF!</v>
      </c>
      <c r="W48" s="129" t="e">
        <f t="shared" si="2"/>
        <v>#REF!</v>
      </c>
      <c r="X48" s="129" t="e">
        <f t="shared" si="3"/>
        <v>#REF!</v>
      </c>
    </row>
    <row r="49" spans="2:27" ht="15" thickBot="1" x14ac:dyDescent="0.35">
      <c r="B49" s="667"/>
      <c r="C49" s="668"/>
      <c r="D49" s="6"/>
      <c r="E49" s="6"/>
      <c r="F49" s="48" t="s">
        <v>14</v>
      </c>
      <c r="G49" s="6"/>
      <c r="H49" s="6"/>
      <c r="I49" s="6"/>
      <c r="J49" s="6"/>
      <c r="K49" s="6"/>
      <c r="L49" s="6"/>
      <c r="M49" s="35">
        <f t="shared" si="7"/>
        <v>0</v>
      </c>
      <c r="N49" s="6"/>
      <c r="O49" s="6"/>
      <c r="P49" s="675"/>
      <c r="Q49" s="675"/>
      <c r="R49" s="6"/>
      <c r="S49" s="697"/>
      <c r="T49" s="697"/>
      <c r="U49" s="708"/>
      <c r="V49" s="178">
        <f t="shared" si="1"/>
        <v>0</v>
      </c>
      <c r="W49" s="129">
        <f t="shared" si="2"/>
        <v>0</v>
      </c>
      <c r="X49" s="129">
        <f t="shared" si="3"/>
        <v>0</v>
      </c>
    </row>
    <row r="50" spans="2:27" ht="15" thickBot="1" x14ac:dyDescent="0.35">
      <c r="B50" s="665">
        <v>46195</v>
      </c>
      <c r="C50" s="666"/>
      <c r="D50" s="47"/>
      <c r="E50" s="313"/>
      <c r="F50" s="48" t="s">
        <v>13</v>
      </c>
      <c r="G50" s="6"/>
      <c r="H50" s="6"/>
      <c r="I50" s="6"/>
      <c r="J50" s="6"/>
      <c r="K50" s="6"/>
      <c r="L50" s="6"/>
      <c r="M50" s="35">
        <f t="shared" si="7"/>
        <v>0</v>
      </c>
      <c r="N50" s="6"/>
      <c r="O50" s="6"/>
      <c r="P50" s="674">
        <f>'Milling Down Time Hours'!L55</f>
        <v>0</v>
      </c>
      <c r="Q50" s="674">
        <f>'Milling Down Time Hours'!K55</f>
        <v>0</v>
      </c>
      <c r="R50" s="6"/>
      <c r="S50" s="696" t="e">
        <f>SUM(#REF!)</f>
        <v>#REF!</v>
      </c>
      <c r="T50" s="696" t="e">
        <f t="shared" ref="T50" si="12">SUM(S50:S52)</f>
        <v>#REF!</v>
      </c>
      <c r="U50" s="707" t="e">
        <f t="shared" ref="U50" si="13">SUM(T50:T52)</f>
        <v>#REF!</v>
      </c>
      <c r="V50" s="178" t="e">
        <f t="shared" si="1"/>
        <v>#REF!</v>
      </c>
      <c r="W50" s="129" t="e">
        <f t="shared" si="2"/>
        <v>#REF!</v>
      </c>
      <c r="X50" s="129" t="e">
        <f t="shared" si="3"/>
        <v>#REF!</v>
      </c>
    </row>
    <row r="51" spans="2:27" ht="15" thickBot="1" x14ac:dyDescent="0.35">
      <c r="B51" s="667"/>
      <c r="C51" s="668"/>
      <c r="D51" s="6"/>
      <c r="E51" s="6"/>
      <c r="F51" s="48" t="s">
        <v>14</v>
      </c>
      <c r="G51" s="6"/>
      <c r="H51" s="6"/>
      <c r="I51" s="6"/>
      <c r="J51" s="6"/>
      <c r="K51" s="6"/>
      <c r="L51" s="6"/>
      <c r="M51" s="35">
        <f t="shared" si="7"/>
        <v>0</v>
      </c>
      <c r="N51" s="6"/>
      <c r="O51" s="6"/>
      <c r="P51" s="675"/>
      <c r="Q51" s="675"/>
      <c r="R51" s="6"/>
      <c r="S51" s="697"/>
      <c r="T51" s="697"/>
      <c r="U51" s="708"/>
      <c r="V51" s="178">
        <f t="shared" si="1"/>
        <v>0</v>
      </c>
      <c r="W51" s="129">
        <f t="shared" si="2"/>
        <v>0</v>
      </c>
      <c r="X51" s="129">
        <f t="shared" si="3"/>
        <v>0</v>
      </c>
    </row>
    <row r="52" spans="2:27" ht="15" thickBot="1" x14ac:dyDescent="0.35">
      <c r="B52" s="665">
        <v>46196</v>
      </c>
      <c r="C52" s="666"/>
      <c r="D52" s="47"/>
      <c r="E52" s="47"/>
      <c r="F52" s="48" t="s">
        <v>13</v>
      </c>
      <c r="G52" s="6"/>
      <c r="H52" s="6"/>
      <c r="I52" s="6"/>
      <c r="J52" s="6"/>
      <c r="K52" s="6"/>
      <c r="L52" s="6"/>
      <c r="M52" s="35">
        <f t="shared" si="7"/>
        <v>0</v>
      </c>
      <c r="N52" s="6"/>
      <c r="O52" s="6"/>
      <c r="P52" s="674"/>
      <c r="Q52" s="674"/>
      <c r="R52" s="6"/>
      <c r="S52" s="696" t="e">
        <f>SUM(#REF!)</f>
        <v>#REF!</v>
      </c>
      <c r="T52" s="696" t="e">
        <f t="shared" ref="T52" si="14">SUM(S52:S54)</f>
        <v>#REF!</v>
      </c>
      <c r="U52" s="707" t="e">
        <f t="shared" ref="U52" si="15">SUM(T52:T54)</f>
        <v>#REF!</v>
      </c>
      <c r="V52" s="178" t="e">
        <f t="shared" si="1"/>
        <v>#REF!</v>
      </c>
      <c r="W52" s="129" t="e">
        <f t="shared" si="2"/>
        <v>#REF!</v>
      </c>
      <c r="X52" s="129" t="e">
        <f t="shared" si="3"/>
        <v>#REF!</v>
      </c>
    </row>
    <row r="53" spans="2:27" ht="15" thickBot="1" x14ac:dyDescent="0.35">
      <c r="B53" s="667"/>
      <c r="C53" s="668"/>
      <c r="D53" s="6"/>
      <c r="E53" s="6"/>
      <c r="F53" s="48" t="s">
        <v>14</v>
      </c>
      <c r="G53" s="6"/>
      <c r="H53" s="6"/>
      <c r="I53" s="6"/>
      <c r="J53" s="6"/>
      <c r="K53" s="6"/>
      <c r="L53" s="6"/>
      <c r="M53" s="35">
        <f t="shared" si="7"/>
        <v>0</v>
      </c>
      <c r="N53" s="6"/>
      <c r="O53" s="6"/>
      <c r="P53" s="675"/>
      <c r="Q53" s="675"/>
      <c r="R53" s="6"/>
      <c r="S53" s="697"/>
      <c r="T53" s="697"/>
      <c r="U53" s="708"/>
      <c r="V53" s="178">
        <f t="shared" si="1"/>
        <v>0</v>
      </c>
      <c r="W53" s="129">
        <f t="shared" si="2"/>
        <v>0</v>
      </c>
      <c r="X53" s="129">
        <f t="shared" si="3"/>
        <v>0</v>
      </c>
      <c r="AA53" s="1">
        <v>9570</v>
      </c>
    </row>
    <row r="54" spans="2:27" ht="15" thickBot="1" x14ac:dyDescent="0.35">
      <c r="B54" s="665">
        <v>46197</v>
      </c>
      <c r="C54" s="666"/>
      <c r="D54" s="47"/>
      <c r="E54" s="47"/>
      <c r="F54" s="48" t="s">
        <v>13</v>
      </c>
      <c r="G54" s="51"/>
      <c r="H54" s="6"/>
      <c r="I54" s="6"/>
      <c r="J54" s="6"/>
      <c r="K54" s="16"/>
      <c r="L54" s="51"/>
      <c r="M54" s="35">
        <f t="shared" si="7"/>
        <v>0</v>
      </c>
      <c r="N54" s="51"/>
      <c r="O54" s="6"/>
      <c r="P54" s="674">
        <f>'Milling Down Time Hours'!L59</f>
        <v>23</v>
      </c>
      <c r="Q54" s="674">
        <f>'Milling Down Time Hours'!K59</f>
        <v>0</v>
      </c>
      <c r="R54" s="6"/>
      <c r="S54" s="696" t="e">
        <f>SUM(#REF!)</f>
        <v>#REF!</v>
      </c>
      <c r="T54" s="696" t="e">
        <f t="shared" ref="T54" si="16">SUM(S54:S56)</f>
        <v>#REF!</v>
      </c>
      <c r="U54" s="707" t="e">
        <f t="shared" ref="U54" si="17">SUM(T54:T56)</f>
        <v>#REF!</v>
      </c>
      <c r="V54" s="178" t="e">
        <f t="shared" si="1"/>
        <v>#REF!</v>
      </c>
      <c r="W54" s="129" t="e">
        <f t="shared" si="2"/>
        <v>#REF!</v>
      </c>
      <c r="X54" s="129" t="e">
        <f t="shared" si="3"/>
        <v>#REF!</v>
      </c>
      <c r="AA54" s="1">
        <v>8795</v>
      </c>
    </row>
    <row r="55" spans="2:27" ht="15" thickBot="1" x14ac:dyDescent="0.35">
      <c r="B55" s="667"/>
      <c r="C55" s="668"/>
      <c r="D55" s="6"/>
      <c r="E55" s="6"/>
      <c r="F55" s="48" t="s">
        <v>14</v>
      </c>
      <c r="G55" s="51"/>
      <c r="H55" s="6"/>
      <c r="I55" s="6"/>
      <c r="J55" s="6"/>
      <c r="K55" s="16"/>
      <c r="L55" s="51"/>
      <c r="M55" s="35">
        <f t="shared" si="7"/>
        <v>0</v>
      </c>
      <c r="N55" s="51"/>
      <c r="O55" s="6"/>
      <c r="P55" s="675"/>
      <c r="Q55" s="675"/>
      <c r="R55" s="6"/>
      <c r="S55" s="697"/>
      <c r="T55" s="697"/>
      <c r="U55" s="708"/>
      <c r="V55" s="178">
        <f t="shared" si="1"/>
        <v>0</v>
      </c>
      <c r="W55" s="129">
        <f t="shared" si="2"/>
        <v>0</v>
      </c>
      <c r="X55" s="129">
        <f t="shared" si="3"/>
        <v>0</v>
      </c>
      <c r="AA55" s="1">
        <f>(AA53-AA54)/AA53</f>
        <v>8.0982236154649945E-2</v>
      </c>
    </row>
    <row r="56" spans="2:27" ht="15" thickBot="1" x14ac:dyDescent="0.35">
      <c r="B56" s="665">
        <v>46198</v>
      </c>
      <c r="C56" s="666"/>
      <c r="D56" s="47"/>
      <c r="E56" s="47"/>
      <c r="F56" s="48" t="s">
        <v>13</v>
      </c>
      <c r="G56" s="51"/>
      <c r="H56" s="6"/>
      <c r="I56" s="6"/>
      <c r="J56" s="6"/>
      <c r="K56" s="6"/>
      <c r="L56" s="51"/>
      <c r="M56" s="35">
        <f t="shared" si="7"/>
        <v>0</v>
      </c>
      <c r="N56" s="51"/>
      <c r="O56" s="6"/>
      <c r="P56" s="674">
        <f>'Milling Down Time Hours'!L61</f>
        <v>0</v>
      </c>
      <c r="Q56" s="674">
        <f>'Milling Down Time Hours'!K61</f>
        <v>0</v>
      </c>
      <c r="R56" s="6"/>
      <c r="S56" s="696" t="e">
        <f>SUM(#REF!)</f>
        <v>#REF!</v>
      </c>
      <c r="T56" s="696" t="e">
        <f t="shared" ref="T56" si="18">SUM(S56:S58)</f>
        <v>#REF!</v>
      </c>
      <c r="U56" s="707" t="e">
        <f t="shared" ref="U56" si="19">SUM(T56:T58)</f>
        <v>#REF!</v>
      </c>
      <c r="V56" s="178" t="e">
        <f t="shared" si="1"/>
        <v>#REF!</v>
      </c>
      <c r="W56" s="129" t="e">
        <f t="shared" si="2"/>
        <v>#REF!</v>
      </c>
      <c r="X56" s="129" t="e">
        <f t="shared" si="3"/>
        <v>#REF!</v>
      </c>
    </row>
    <row r="57" spans="2:27" ht="15" thickBot="1" x14ac:dyDescent="0.35">
      <c r="B57" s="667"/>
      <c r="C57" s="668"/>
      <c r="D57" s="6"/>
      <c r="E57" s="6"/>
      <c r="F57" s="48" t="s">
        <v>14</v>
      </c>
      <c r="G57" s="6"/>
      <c r="H57" s="6"/>
      <c r="I57" s="6"/>
      <c r="J57" s="6"/>
      <c r="K57" s="6"/>
      <c r="L57" s="6"/>
      <c r="M57" s="35">
        <f t="shared" si="7"/>
        <v>0</v>
      </c>
      <c r="N57" s="6"/>
      <c r="O57" s="6"/>
      <c r="P57" s="675"/>
      <c r="Q57" s="675"/>
      <c r="R57" s="6"/>
      <c r="S57" s="697"/>
      <c r="T57" s="697"/>
      <c r="U57" s="708"/>
      <c r="V57" s="178">
        <f t="shared" si="1"/>
        <v>0</v>
      </c>
      <c r="W57" s="129">
        <f t="shared" si="2"/>
        <v>0</v>
      </c>
      <c r="X57" s="129">
        <f t="shared" si="3"/>
        <v>0</v>
      </c>
    </row>
    <row r="58" spans="2:27" ht="15" thickBot="1" x14ac:dyDescent="0.35">
      <c r="B58" s="665">
        <v>46199</v>
      </c>
      <c r="C58" s="666"/>
      <c r="D58" s="47"/>
      <c r="E58" s="47"/>
      <c r="F58" s="48" t="s">
        <v>13</v>
      </c>
      <c r="G58" s="6"/>
      <c r="H58" s="6"/>
      <c r="I58" s="6"/>
      <c r="J58" s="6"/>
      <c r="K58" s="6"/>
      <c r="L58" s="6"/>
      <c r="M58" s="35">
        <f t="shared" si="7"/>
        <v>0</v>
      </c>
      <c r="N58" s="6"/>
      <c r="O58" s="6"/>
      <c r="P58" s="674">
        <f>'Milling Down Time Hours'!L63</f>
        <v>0</v>
      </c>
      <c r="Q58" s="674">
        <f>'Milling Down Time Hours'!K63</f>
        <v>0</v>
      </c>
      <c r="R58" s="6"/>
      <c r="S58" s="696" t="e">
        <f>SUM(#REF!)</f>
        <v>#REF!</v>
      </c>
      <c r="T58" s="696" t="e">
        <f t="shared" ref="T58" si="20">SUM(S58:S60)</f>
        <v>#REF!</v>
      </c>
      <c r="U58" s="707" t="e">
        <f t="shared" ref="U58" si="21">SUM(T58:T60)</f>
        <v>#REF!</v>
      </c>
      <c r="V58" s="178" t="e">
        <f t="shared" si="1"/>
        <v>#REF!</v>
      </c>
      <c r="W58" s="129" t="e">
        <f t="shared" si="2"/>
        <v>#REF!</v>
      </c>
      <c r="X58" s="129" t="e">
        <f t="shared" si="3"/>
        <v>#REF!</v>
      </c>
    </row>
    <row r="59" spans="2:27" ht="15" thickBot="1" x14ac:dyDescent="0.35">
      <c r="B59" s="667"/>
      <c r="C59" s="668"/>
      <c r="D59" s="6"/>
      <c r="E59" s="6"/>
      <c r="F59" s="48" t="s">
        <v>14</v>
      </c>
      <c r="G59" s="6"/>
      <c r="H59" s="6"/>
      <c r="I59" s="6"/>
      <c r="J59" s="6"/>
      <c r="K59" s="6"/>
      <c r="L59" s="6"/>
      <c r="M59" s="35">
        <f t="shared" si="7"/>
        <v>0</v>
      </c>
      <c r="N59" s="6"/>
      <c r="O59" s="6"/>
      <c r="P59" s="675"/>
      <c r="Q59" s="675"/>
      <c r="R59" s="6"/>
      <c r="S59" s="697"/>
      <c r="T59" s="697"/>
      <c r="U59" s="708"/>
      <c r="V59" s="178">
        <f t="shared" si="1"/>
        <v>0</v>
      </c>
      <c r="W59" s="129">
        <f t="shared" si="2"/>
        <v>0</v>
      </c>
      <c r="X59" s="129">
        <f t="shared" si="3"/>
        <v>0</v>
      </c>
    </row>
    <row r="60" spans="2:27" ht="15" thickBot="1" x14ac:dyDescent="0.35">
      <c r="B60" s="665">
        <v>46200</v>
      </c>
      <c r="C60" s="666"/>
      <c r="D60" s="47"/>
      <c r="E60" s="47"/>
      <c r="F60" s="48" t="s">
        <v>13</v>
      </c>
      <c r="G60" s="6"/>
      <c r="H60" s="6"/>
      <c r="I60" s="6"/>
      <c r="J60" s="6"/>
      <c r="K60" s="6"/>
      <c r="L60" s="6"/>
      <c r="M60" s="35">
        <f t="shared" si="7"/>
        <v>0</v>
      </c>
      <c r="N60" s="6"/>
      <c r="O60" s="6"/>
      <c r="P60" s="674">
        <f>'Milling Down Time Hours'!L65</f>
        <v>0</v>
      </c>
      <c r="Q60" s="674">
        <f>'Milling Down Time Hours'!K65</f>
        <v>0</v>
      </c>
      <c r="R60" s="6"/>
      <c r="S60" s="696" t="e">
        <f>SUM(#REF!)</f>
        <v>#REF!</v>
      </c>
      <c r="T60" s="696" t="e">
        <f t="shared" ref="T60" si="22">SUM(S60:S62)</f>
        <v>#REF!</v>
      </c>
      <c r="U60" s="707" t="e">
        <f t="shared" ref="U60" si="23">SUM(T60:T62)</f>
        <v>#REF!</v>
      </c>
      <c r="V60" s="178" t="e">
        <f t="shared" si="1"/>
        <v>#REF!</v>
      </c>
      <c r="W60" s="129" t="e">
        <f t="shared" si="2"/>
        <v>#REF!</v>
      </c>
      <c r="X60" s="129" t="e">
        <f t="shared" si="3"/>
        <v>#REF!</v>
      </c>
    </row>
    <row r="61" spans="2:27" ht="15" thickBot="1" x14ac:dyDescent="0.35">
      <c r="B61" s="667"/>
      <c r="C61" s="668"/>
      <c r="D61" s="6"/>
      <c r="E61" s="6"/>
      <c r="F61" s="48" t="s">
        <v>14</v>
      </c>
      <c r="G61" s="6"/>
      <c r="H61" s="6"/>
      <c r="I61" s="6"/>
      <c r="J61" s="6"/>
      <c r="K61" s="6"/>
      <c r="L61" s="6"/>
      <c r="M61" s="35">
        <f t="shared" si="7"/>
        <v>0</v>
      </c>
      <c r="N61" s="6"/>
      <c r="O61" s="6"/>
      <c r="P61" s="675"/>
      <c r="Q61" s="675"/>
      <c r="R61" s="6"/>
      <c r="S61" s="697"/>
      <c r="T61" s="697"/>
      <c r="U61" s="708"/>
      <c r="V61" s="178">
        <f t="shared" si="1"/>
        <v>0</v>
      </c>
      <c r="W61" s="129">
        <f t="shared" si="2"/>
        <v>0</v>
      </c>
      <c r="X61" s="129">
        <f t="shared" si="3"/>
        <v>0</v>
      </c>
    </row>
    <row r="62" spans="2:27" ht="15" thickBot="1" x14ac:dyDescent="0.35">
      <c r="B62" s="665">
        <v>46201</v>
      </c>
      <c r="C62" s="666"/>
      <c r="D62" s="47"/>
      <c r="E62" s="47"/>
      <c r="F62" s="48" t="s">
        <v>13</v>
      </c>
      <c r="G62" s="6"/>
      <c r="H62" s="6"/>
      <c r="I62" s="6"/>
      <c r="J62" s="6"/>
      <c r="K62" s="6"/>
      <c r="L62" s="51"/>
      <c r="M62" s="35">
        <f t="shared" si="7"/>
        <v>0</v>
      </c>
      <c r="N62" s="51"/>
      <c r="O62" s="6"/>
      <c r="P62" s="674">
        <f>'Milling Down Time Hours'!L33</f>
        <v>24</v>
      </c>
      <c r="Q62" s="674">
        <f>'Milling Down Time Hours'!K67</f>
        <v>0</v>
      </c>
      <c r="R62" s="6"/>
      <c r="S62" s="694"/>
      <c r="T62" s="694"/>
      <c r="U62" s="713"/>
      <c r="V62" s="178">
        <f t="shared" si="1"/>
        <v>0</v>
      </c>
      <c r="W62" s="129">
        <f t="shared" si="2"/>
        <v>0</v>
      </c>
      <c r="X62" s="129">
        <f t="shared" si="3"/>
        <v>0</v>
      </c>
    </row>
    <row r="63" spans="2:27" ht="15" thickBot="1" x14ac:dyDescent="0.35">
      <c r="B63" s="667"/>
      <c r="C63" s="668"/>
      <c r="D63" s="6"/>
      <c r="E63" s="6"/>
      <c r="F63" s="48" t="s">
        <v>14</v>
      </c>
      <c r="G63" s="6"/>
      <c r="H63" s="6"/>
      <c r="I63" s="6"/>
      <c r="J63" s="6"/>
      <c r="K63" s="6"/>
      <c r="L63" s="16"/>
      <c r="M63" s="35">
        <f t="shared" si="7"/>
        <v>0</v>
      </c>
      <c r="N63" s="16"/>
      <c r="O63" s="6"/>
      <c r="P63" s="675"/>
      <c r="Q63" s="675"/>
      <c r="R63" s="6"/>
      <c r="S63" s="695"/>
      <c r="T63" s="695"/>
      <c r="U63" s="714"/>
      <c r="V63" s="178">
        <f t="shared" si="1"/>
        <v>0</v>
      </c>
      <c r="W63" s="129">
        <f t="shared" si="2"/>
        <v>0</v>
      </c>
      <c r="X63" s="129">
        <f t="shared" si="3"/>
        <v>0</v>
      </c>
    </row>
    <row r="64" spans="2:27" ht="15" thickBot="1" x14ac:dyDescent="0.35">
      <c r="B64" s="665">
        <v>46202</v>
      </c>
      <c r="C64" s="666"/>
      <c r="D64" s="47"/>
      <c r="E64" s="47"/>
      <c r="F64" s="48" t="s">
        <v>13</v>
      </c>
      <c r="G64" s="6"/>
      <c r="H64" s="6"/>
      <c r="I64" s="6"/>
      <c r="J64" s="6"/>
      <c r="K64" s="6"/>
      <c r="L64" s="16"/>
      <c r="M64" s="35">
        <f t="shared" si="7"/>
        <v>0</v>
      </c>
      <c r="N64" s="16"/>
      <c r="O64" s="6"/>
      <c r="P64" s="674">
        <f>'Milling Down Time Hours'!L34</f>
        <v>24</v>
      </c>
      <c r="Q64" s="674">
        <f>'Milling Down Time Hours'!K69</f>
        <v>0</v>
      </c>
      <c r="R64" s="6"/>
      <c r="S64" s="694"/>
      <c r="T64" s="694"/>
      <c r="U64" s="715"/>
      <c r="V64" s="178">
        <f t="shared" si="1"/>
        <v>0</v>
      </c>
      <c r="W64" s="129">
        <f t="shared" si="2"/>
        <v>0</v>
      </c>
      <c r="X64" s="129">
        <f t="shared" si="3"/>
        <v>0</v>
      </c>
    </row>
    <row r="65" spans="2:29" ht="15" thickBot="1" x14ac:dyDescent="0.35">
      <c r="B65" s="667"/>
      <c r="C65" s="668"/>
      <c r="D65" s="6"/>
      <c r="E65" s="6"/>
      <c r="F65" s="48" t="s">
        <v>14</v>
      </c>
      <c r="G65" s="6"/>
      <c r="H65" s="6"/>
      <c r="I65" s="6"/>
      <c r="J65" s="6"/>
      <c r="K65" s="6"/>
      <c r="L65" s="16"/>
      <c r="M65" s="35">
        <f t="shared" si="7"/>
        <v>0</v>
      </c>
      <c r="N65" s="16"/>
      <c r="O65" s="6"/>
      <c r="P65" s="675"/>
      <c r="Q65" s="675"/>
      <c r="R65" s="6"/>
      <c r="S65" s="695"/>
      <c r="T65" s="695"/>
      <c r="U65" s="716"/>
      <c r="V65" s="178">
        <f t="shared" si="1"/>
        <v>0</v>
      </c>
      <c r="W65" s="129">
        <f t="shared" si="2"/>
        <v>0</v>
      </c>
      <c r="X65" s="129">
        <f t="shared" si="3"/>
        <v>0</v>
      </c>
    </row>
    <row r="66" spans="2:29" ht="15" thickBot="1" x14ac:dyDescent="0.35">
      <c r="B66" s="665">
        <v>46203</v>
      </c>
      <c r="C66" s="666"/>
      <c r="D66" s="47"/>
      <c r="E66" s="47"/>
      <c r="F66" s="48" t="s">
        <v>13</v>
      </c>
      <c r="G66" s="6"/>
      <c r="H66" s="6"/>
      <c r="I66" s="6"/>
      <c r="J66" s="6"/>
      <c r="K66" s="6"/>
      <c r="L66" s="16"/>
      <c r="M66" s="35">
        <f t="shared" si="7"/>
        <v>0</v>
      </c>
      <c r="N66" s="16"/>
      <c r="O66" s="6"/>
      <c r="P66" s="705"/>
      <c r="Q66" s="674">
        <f>'Milling Down Time Hours'!K71</f>
        <v>0</v>
      </c>
      <c r="R66" s="6"/>
      <c r="S66" s="694"/>
      <c r="T66" s="694"/>
      <c r="U66" s="715"/>
      <c r="V66" s="178">
        <f t="shared" si="1"/>
        <v>0</v>
      </c>
      <c r="W66" s="129">
        <f t="shared" si="2"/>
        <v>0</v>
      </c>
      <c r="X66" s="129">
        <f t="shared" si="3"/>
        <v>0</v>
      </c>
    </row>
    <row r="67" spans="2:29" ht="15" thickBot="1" x14ac:dyDescent="0.35">
      <c r="B67" s="667"/>
      <c r="C67" s="668"/>
      <c r="D67" s="6"/>
      <c r="E67" s="6"/>
      <c r="F67" s="48" t="s">
        <v>14</v>
      </c>
      <c r="G67" s="6"/>
      <c r="H67" s="6"/>
      <c r="I67" s="6"/>
      <c r="J67" s="6"/>
      <c r="K67" s="6"/>
      <c r="L67" s="16"/>
      <c r="M67" s="35">
        <f t="shared" si="7"/>
        <v>0</v>
      </c>
      <c r="N67" s="16"/>
      <c r="O67" s="6"/>
      <c r="P67" s="706"/>
      <c r="Q67" s="675"/>
      <c r="R67" s="6"/>
      <c r="S67" s="695"/>
      <c r="T67" s="695"/>
      <c r="U67" s="716"/>
      <c r="V67" s="178">
        <f t="shared" si="1"/>
        <v>0</v>
      </c>
      <c r="W67" s="129">
        <f t="shared" si="2"/>
        <v>0</v>
      </c>
      <c r="X67" s="129">
        <f t="shared" si="3"/>
        <v>0</v>
      </c>
    </row>
    <row r="68" spans="2:29" ht="15" thickBot="1" x14ac:dyDescent="0.35">
      <c r="B68" s="665">
        <v>46173</v>
      </c>
      <c r="C68" s="666"/>
      <c r="D68" s="47"/>
      <c r="E68" s="47"/>
      <c r="F68" s="48" t="s">
        <v>13</v>
      </c>
      <c r="G68" s="6"/>
      <c r="H68" s="6"/>
      <c r="I68" s="6"/>
      <c r="J68" s="6"/>
      <c r="K68" s="6"/>
      <c r="L68" s="16"/>
      <c r="M68" s="35">
        <f t="shared" si="7"/>
        <v>0</v>
      </c>
      <c r="N68" s="16"/>
      <c r="O68" s="6"/>
      <c r="P68" s="674">
        <f>'Milling Down Time Hours'!L36</f>
        <v>24</v>
      </c>
      <c r="Q68" s="674">
        <f>'Milling Down Time Hours'!K73</f>
        <v>0</v>
      </c>
      <c r="R68" s="6"/>
      <c r="S68" s="694"/>
      <c r="T68" s="694"/>
      <c r="U68" s="713"/>
      <c r="V68" s="178">
        <f t="shared" si="1"/>
        <v>0</v>
      </c>
      <c r="W68" s="129">
        <f t="shared" si="2"/>
        <v>0</v>
      </c>
      <c r="X68" s="129">
        <f t="shared" si="3"/>
        <v>0</v>
      </c>
    </row>
    <row r="69" spans="2:29" ht="15" thickBot="1" x14ac:dyDescent="0.35">
      <c r="B69" s="667"/>
      <c r="C69" s="668"/>
      <c r="D69" s="6"/>
      <c r="E69" s="6"/>
      <c r="F69" s="48" t="s">
        <v>14</v>
      </c>
      <c r="G69" s="6"/>
      <c r="H69" s="6"/>
      <c r="I69" s="6"/>
      <c r="J69" s="6"/>
      <c r="K69" s="6"/>
      <c r="L69" s="16"/>
      <c r="M69" s="35">
        <f t="shared" si="7"/>
        <v>0</v>
      </c>
      <c r="N69" s="16"/>
      <c r="O69" s="6"/>
      <c r="P69" s="675"/>
      <c r="Q69" s="675"/>
      <c r="R69" s="6"/>
      <c r="S69" s="695"/>
      <c r="T69" s="695"/>
      <c r="U69" s="714"/>
      <c r="V69" s="178">
        <f t="shared" si="1"/>
        <v>0</v>
      </c>
      <c r="W69" s="129">
        <f t="shared" si="2"/>
        <v>0</v>
      </c>
      <c r="X69" s="129">
        <f t="shared" si="3"/>
        <v>0</v>
      </c>
    </row>
    <row r="70" spans="2:29" ht="15" thickBot="1" x14ac:dyDescent="0.35">
      <c r="B70" s="665">
        <v>46174</v>
      </c>
      <c r="C70" s="666"/>
      <c r="D70" s="47"/>
      <c r="E70" s="47"/>
      <c r="F70" s="48" t="s">
        <v>13</v>
      </c>
      <c r="G70" s="51"/>
      <c r="H70" s="6"/>
      <c r="I70" s="6"/>
      <c r="J70" s="6"/>
      <c r="K70" s="16"/>
      <c r="L70" s="51"/>
      <c r="M70" s="35">
        <f t="shared" si="7"/>
        <v>0</v>
      </c>
      <c r="N70" s="51"/>
      <c r="O70" s="6"/>
      <c r="P70" s="674">
        <f>'Milling Down Time Hours'!L37</f>
        <v>24</v>
      </c>
      <c r="Q70" s="674">
        <f>'Milling Down Time Hours'!K75</f>
        <v>0</v>
      </c>
      <c r="R70" s="6"/>
      <c r="S70" s="694"/>
      <c r="T70" s="694"/>
      <c r="U70" s="713"/>
      <c r="V70" s="178">
        <f t="shared" si="1"/>
        <v>0</v>
      </c>
      <c r="W70" s="129">
        <f t="shared" si="2"/>
        <v>0</v>
      </c>
      <c r="X70" s="129">
        <f t="shared" si="3"/>
        <v>0</v>
      </c>
    </row>
    <row r="71" spans="2:29" ht="15" thickBot="1" x14ac:dyDescent="0.35">
      <c r="B71" s="667"/>
      <c r="C71" s="668"/>
      <c r="D71" s="6"/>
      <c r="E71" s="6"/>
      <c r="F71" s="48" t="s">
        <v>14</v>
      </c>
      <c r="G71" s="16"/>
      <c r="H71" s="6"/>
      <c r="I71" s="6"/>
      <c r="J71" s="6"/>
      <c r="K71" s="16"/>
      <c r="L71" s="16"/>
      <c r="M71" s="35">
        <f t="shared" si="7"/>
        <v>0</v>
      </c>
      <c r="N71" s="16"/>
      <c r="O71" s="6"/>
      <c r="P71" s="675"/>
      <c r="Q71" s="675"/>
      <c r="R71" s="6"/>
      <c r="S71" s="695"/>
      <c r="T71" s="695"/>
      <c r="U71" s="714"/>
      <c r="V71" s="178">
        <f t="shared" ref="V71:V97" si="24">S71*M71</f>
        <v>0</v>
      </c>
      <c r="W71" s="129">
        <f t="shared" ref="W71:W97" si="25">M71*T71</f>
        <v>0</v>
      </c>
      <c r="X71" s="129">
        <f t="shared" ref="X71:X97" si="26">M71*U71</f>
        <v>0</v>
      </c>
    </row>
    <row r="72" spans="2:29" ht="15" thickBot="1" x14ac:dyDescent="0.35">
      <c r="B72" s="665">
        <v>46175</v>
      </c>
      <c r="C72" s="666"/>
      <c r="D72" s="47"/>
      <c r="E72" s="47"/>
      <c r="F72" s="48" t="s">
        <v>13</v>
      </c>
      <c r="G72" s="51"/>
      <c r="H72" s="6"/>
      <c r="I72" s="6"/>
      <c r="J72" s="6"/>
      <c r="K72" s="16"/>
      <c r="L72" s="51"/>
      <c r="M72" s="35">
        <f t="shared" ref="M72:M97" si="27">H72*K72*G72</f>
        <v>0</v>
      </c>
      <c r="N72" s="51"/>
      <c r="O72" s="6"/>
      <c r="P72" s="674">
        <f>'Milling Down Time Hours'!L38</f>
        <v>24</v>
      </c>
      <c r="Q72" s="674">
        <f>'Milling Down Time Hours'!K77</f>
        <v>0</v>
      </c>
      <c r="R72" s="6"/>
      <c r="S72" s="694"/>
      <c r="T72" s="694"/>
      <c r="U72" s="713"/>
      <c r="V72" s="178">
        <f t="shared" si="24"/>
        <v>0</v>
      </c>
      <c r="W72" s="129">
        <f t="shared" si="25"/>
        <v>0</v>
      </c>
      <c r="X72" s="129">
        <f t="shared" si="26"/>
        <v>0</v>
      </c>
    </row>
    <row r="73" spans="2:29" ht="15" thickBot="1" x14ac:dyDescent="0.35">
      <c r="B73" s="667"/>
      <c r="C73" s="668"/>
      <c r="D73" s="6"/>
      <c r="E73" s="6"/>
      <c r="F73" s="48" t="s">
        <v>14</v>
      </c>
      <c r="G73" s="16"/>
      <c r="H73" s="6"/>
      <c r="I73" s="6"/>
      <c r="J73" s="6"/>
      <c r="K73" s="16"/>
      <c r="L73" s="16"/>
      <c r="M73" s="35">
        <f t="shared" si="27"/>
        <v>0</v>
      </c>
      <c r="N73" s="16"/>
      <c r="O73" s="6"/>
      <c r="P73" s="675"/>
      <c r="Q73" s="675"/>
      <c r="R73" s="6"/>
      <c r="S73" s="695"/>
      <c r="T73" s="695"/>
      <c r="U73" s="714"/>
      <c r="V73" s="178">
        <f t="shared" si="24"/>
        <v>0</v>
      </c>
      <c r="W73" s="129">
        <f t="shared" si="25"/>
        <v>0</v>
      </c>
      <c r="X73" s="129">
        <f t="shared" si="26"/>
        <v>0</v>
      </c>
      <c r="AC73" s="1">
        <v>0.41899999999999998</v>
      </c>
    </row>
    <row r="74" spans="2:29" ht="15" thickBot="1" x14ac:dyDescent="0.35">
      <c r="B74" s="665">
        <v>46176</v>
      </c>
      <c r="C74" s="666"/>
      <c r="D74" s="47"/>
      <c r="E74" s="47"/>
      <c r="F74" s="48" t="s">
        <v>13</v>
      </c>
      <c r="G74" s="16"/>
      <c r="H74" s="6"/>
      <c r="I74" s="6"/>
      <c r="J74" s="6"/>
      <c r="K74" s="16"/>
      <c r="L74" s="16"/>
      <c r="M74" s="35">
        <f t="shared" si="27"/>
        <v>0</v>
      </c>
      <c r="N74" s="16"/>
      <c r="O74" s="6"/>
      <c r="P74" s="674">
        <f>'Milling Down Time Hours'!L39</f>
        <v>24</v>
      </c>
      <c r="Q74" s="674">
        <f>'Milling Down Time Hours'!K79</f>
        <v>0</v>
      </c>
      <c r="R74" s="6"/>
      <c r="S74" s="696"/>
      <c r="T74" s="696"/>
      <c r="U74" s="707"/>
      <c r="V74" s="178">
        <f t="shared" si="24"/>
        <v>0</v>
      </c>
      <c r="W74" s="129">
        <f t="shared" si="25"/>
        <v>0</v>
      </c>
      <c r="X74" s="129">
        <f t="shared" si="26"/>
        <v>0</v>
      </c>
      <c r="AC74" s="1">
        <v>0.41299999999999998</v>
      </c>
    </row>
    <row r="75" spans="2:29" ht="15" thickBot="1" x14ac:dyDescent="0.35">
      <c r="B75" s="667"/>
      <c r="C75" s="668"/>
      <c r="D75" s="6"/>
      <c r="E75" s="6"/>
      <c r="F75" s="48" t="s">
        <v>14</v>
      </c>
      <c r="G75" s="16"/>
      <c r="H75" s="6"/>
      <c r="I75" s="6"/>
      <c r="J75" s="6"/>
      <c r="K75" s="16"/>
      <c r="L75" s="16"/>
      <c r="M75" s="35">
        <f t="shared" si="27"/>
        <v>0</v>
      </c>
      <c r="N75" s="16"/>
      <c r="O75" s="6"/>
      <c r="P75" s="675"/>
      <c r="Q75" s="675"/>
      <c r="R75" s="6"/>
      <c r="S75" s="697"/>
      <c r="T75" s="697"/>
      <c r="U75" s="708"/>
      <c r="V75" s="178">
        <f t="shared" si="24"/>
        <v>0</v>
      </c>
      <c r="W75" s="129">
        <f t="shared" si="25"/>
        <v>0</v>
      </c>
      <c r="X75" s="129">
        <f t="shared" si="26"/>
        <v>0</v>
      </c>
      <c r="AC75" s="1">
        <v>0.40400000000000003</v>
      </c>
    </row>
    <row r="76" spans="2:29" ht="15" thickBot="1" x14ac:dyDescent="0.35">
      <c r="B76" s="665">
        <v>45966</v>
      </c>
      <c r="C76" s="666"/>
      <c r="D76" s="47"/>
      <c r="E76" s="47"/>
      <c r="F76" s="48" t="s">
        <v>13</v>
      </c>
      <c r="G76" s="51"/>
      <c r="H76" s="6"/>
      <c r="I76" s="6"/>
      <c r="J76" s="6"/>
      <c r="K76" s="16"/>
      <c r="L76" s="51"/>
      <c r="M76" s="35">
        <f t="shared" si="27"/>
        <v>0</v>
      </c>
      <c r="N76" s="51"/>
      <c r="O76" s="6"/>
      <c r="P76" s="674">
        <f>'Milling Down Time Hours'!L40</f>
        <v>24</v>
      </c>
      <c r="Q76" s="674">
        <f>'Milling Down Time Hours'!K81</f>
        <v>0</v>
      </c>
      <c r="R76" s="6"/>
      <c r="S76" s="694"/>
      <c r="T76" s="694"/>
      <c r="U76" s="713"/>
      <c r="V76" s="178">
        <f t="shared" si="24"/>
        <v>0</v>
      </c>
      <c r="W76" s="129">
        <f t="shared" si="25"/>
        <v>0</v>
      </c>
      <c r="X76" s="129">
        <f t="shared" si="26"/>
        <v>0</v>
      </c>
      <c r="AC76" s="1">
        <v>0.47</v>
      </c>
    </row>
    <row r="77" spans="2:29" ht="15" thickBot="1" x14ac:dyDescent="0.35">
      <c r="B77" s="667"/>
      <c r="C77" s="668"/>
      <c r="D77" s="6"/>
      <c r="E77" s="6"/>
      <c r="F77" s="48" t="s">
        <v>14</v>
      </c>
      <c r="G77" s="16"/>
      <c r="H77" s="6"/>
      <c r="I77" s="6"/>
      <c r="J77" s="6"/>
      <c r="K77" s="6"/>
      <c r="L77" s="16"/>
      <c r="M77" s="35">
        <f t="shared" si="27"/>
        <v>0</v>
      </c>
      <c r="N77" s="16"/>
      <c r="O77" s="6"/>
      <c r="P77" s="675"/>
      <c r="Q77" s="675"/>
      <c r="R77" s="6"/>
      <c r="S77" s="695"/>
      <c r="T77" s="695"/>
      <c r="U77" s="714"/>
      <c r="V77" s="178">
        <f t="shared" si="24"/>
        <v>0</v>
      </c>
      <c r="W77" s="129">
        <f t="shared" si="25"/>
        <v>0</v>
      </c>
      <c r="X77" s="129">
        <f t="shared" si="26"/>
        <v>0</v>
      </c>
      <c r="AC77" s="1">
        <v>0.46500000000000002</v>
      </c>
    </row>
    <row r="78" spans="2:29" ht="14.55" hidden="1" customHeight="1" x14ac:dyDescent="0.3">
      <c r="B78" s="665">
        <v>45967</v>
      </c>
      <c r="C78" s="666"/>
      <c r="D78" s="47"/>
      <c r="E78" s="47"/>
      <c r="F78" s="48" t="s">
        <v>13</v>
      </c>
      <c r="G78" s="51"/>
      <c r="H78" s="6"/>
      <c r="I78" s="6"/>
      <c r="J78" s="6"/>
      <c r="K78" s="16"/>
      <c r="L78" s="16"/>
      <c r="M78" s="35">
        <f t="shared" si="27"/>
        <v>0</v>
      </c>
      <c r="N78" s="16"/>
      <c r="O78" s="6"/>
      <c r="P78" s="674">
        <f>'Milling Down Time Hours'!L41</f>
        <v>24</v>
      </c>
      <c r="Q78" s="674">
        <f>'Milling Down Time Hours'!K83</f>
        <v>0</v>
      </c>
      <c r="R78" s="6"/>
      <c r="S78" s="694">
        <v>0.35699999999999998</v>
      </c>
      <c r="T78" s="694">
        <v>1.056</v>
      </c>
      <c r="U78" s="713">
        <v>32.25</v>
      </c>
      <c r="V78" s="178">
        <f t="shared" si="24"/>
        <v>0</v>
      </c>
      <c r="W78" s="129">
        <f t="shared" si="25"/>
        <v>0</v>
      </c>
      <c r="X78" s="129">
        <f t="shared" si="26"/>
        <v>0</v>
      </c>
      <c r="AC78" s="1">
        <v>0.51600000000000001</v>
      </c>
    </row>
    <row r="79" spans="2:29" ht="15" hidden="1" customHeight="1" x14ac:dyDescent="0.3">
      <c r="B79" s="667"/>
      <c r="C79" s="668"/>
      <c r="D79" s="6"/>
      <c r="E79" s="6"/>
      <c r="F79" s="48" t="s">
        <v>14</v>
      </c>
      <c r="G79" s="6"/>
      <c r="H79" s="6"/>
      <c r="I79" s="6"/>
      <c r="J79" s="6"/>
      <c r="K79" s="6"/>
      <c r="L79" s="16"/>
      <c r="M79" s="35">
        <f t="shared" si="27"/>
        <v>0</v>
      </c>
      <c r="N79" s="16"/>
      <c r="O79" s="6"/>
      <c r="P79" s="675"/>
      <c r="Q79" s="675"/>
      <c r="R79" s="6"/>
      <c r="S79" s="695"/>
      <c r="T79" s="695"/>
      <c r="U79" s="714"/>
      <c r="V79" s="178">
        <f t="shared" si="24"/>
        <v>0</v>
      </c>
      <c r="W79" s="129">
        <f t="shared" si="25"/>
        <v>0</v>
      </c>
      <c r="X79" s="129">
        <f t="shared" si="26"/>
        <v>0</v>
      </c>
      <c r="AC79" s="131">
        <f>AVERAGE(AC73:AC78)</f>
        <v>0.44783333333333331</v>
      </c>
    </row>
    <row r="80" spans="2:29" ht="14.55" hidden="1" customHeight="1" x14ac:dyDescent="0.3">
      <c r="B80" s="665">
        <v>45968</v>
      </c>
      <c r="C80" s="666"/>
      <c r="D80" s="47"/>
      <c r="E80" s="47"/>
      <c r="F80" s="48" t="s">
        <v>13</v>
      </c>
      <c r="G80" s="6"/>
      <c r="H80" s="6"/>
      <c r="I80" s="6"/>
      <c r="J80" s="6"/>
      <c r="K80" s="6"/>
      <c r="L80" s="16"/>
      <c r="M80" s="35">
        <f t="shared" si="27"/>
        <v>0</v>
      </c>
      <c r="N80" s="16"/>
      <c r="O80" s="6"/>
      <c r="P80" s="674">
        <f>'Milling Down Time Hours'!L85</f>
        <v>0</v>
      </c>
      <c r="Q80" s="674">
        <f>'Milling Down Time Hours'!K85</f>
        <v>0</v>
      </c>
      <c r="R80" s="6"/>
      <c r="S80" s="696" t="e">
        <f>SUM(#REF!)</f>
        <v>#REF!</v>
      </c>
      <c r="T80" s="696" t="e">
        <f t="shared" ref="T80" si="28">SUM(S80:S82)</f>
        <v>#REF!</v>
      </c>
      <c r="U80" s="707" t="e">
        <f t="shared" ref="U80" si="29">SUM(T80:T82)</f>
        <v>#REF!</v>
      </c>
      <c r="V80" s="178" t="e">
        <f t="shared" si="24"/>
        <v>#REF!</v>
      </c>
      <c r="W80" s="129" t="e">
        <f t="shared" si="25"/>
        <v>#REF!</v>
      </c>
      <c r="X80" s="129" t="e">
        <f t="shared" si="26"/>
        <v>#REF!</v>
      </c>
    </row>
    <row r="81" spans="2:24" ht="15" hidden="1" customHeight="1" x14ac:dyDescent="0.3">
      <c r="B81" s="667"/>
      <c r="C81" s="668"/>
      <c r="D81" s="6"/>
      <c r="E81" s="6"/>
      <c r="F81" s="48" t="s">
        <v>14</v>
      </c>
      <c r="G81" s="6"/>
      <c r="H81" s="6"/>
      <c r="I81" s="6"/>
      <c r="J81" s="6"/>
      <c r="K81" s="6"/>
      <c r="L81" s="16"/>
      <c r="M81" s="35">
        <f t="shared" si="27"/>
        <v>0</v>
      </c>
      <c r="N81" s="16"/>
      <c r="O81" s="6"/>
      <c r="P81" s="675"/>
      <c r="Q81" s="675"/>
      <c r="R81" s="6"/>
      <c r="S81" s="697"/>
      <c r="T81" s="697"/>
      <c r="U81" s="708"/>
      <c r="V81" s="178">
        <f t="shared" si="24"/>
        <v>0</v>
      </c>
      <c r="W81" s="129">
        <f t="shared" si="25"/>
        <v>0</v>
      </c>
      <c r="X81" s="129">
        <f t="shared" si="26"/>
        <v>0</v>
      </c>
    </row>
    <row r="82" spans="2:24" ht="14.55" hidden="1" customHeight="1" x14ac:dyDescent="0.3">
      <c r="B82" s="665">
        <v>45969</v>
      </c>
      <c r="C82" s="666"/>
      <c r="D82" s="47"/>
      <c r="E82" s="47"/>
      <c r="F82" s="48" t="s">
        <v>13</v>
      </c>
      <c r="G82" s="6"/>
      <c r="H82" s="6"/>
      <c r="I82" s="6"/>
      <c r="J82" s="6"/>
      <c r="K82" s="6"/>
      <c r="L82" s="16"/>
      <c r="M82" s="35">
        <f t="shared" si="27"/>
        <v>0</v>
      </c>
      <c r="N82" s="16"/>
      <c r="O82" s="6"/>
      <c r="P82" s="674">
        <f>'Milling Down Time Hours'!L87</f>
        <v>0</v>
      </c>
      <c r="Q82" s="674">
        <f>'Milling Down Time Hours'!K87</f>
        <v>0</v>
      </c>
      <c r="R82" s="6"/>
      <c r="S82" s="696" t="e">
        <f>SUM(#REF!)</f>
        <v>#REF!</v>
      </c>
      <c r="T82" s="696" t="e">
        <f t="shared" ref="T82" si="30">SUM(S82:S84)</f>
        <v>#REF!</v>
      </c>
      <c r="U82" s="707" t="e">
        <f t="shared" ref="U82" si="31">SUM(T82:T84)</f>
        <v>#REF!</v>
      </c>
      <c r="V82" s="178" t="e">
        <f t="shared" si="24"/>
        <v>#REF!</v>
      </c>
      <c r="W82" s="129" t="e">
        <f t="shared" si="25"/>
        <v>#REF!</v>
      </c>
      <c r="X82" s="129" t="e">
        <f t="shared" si="26"/>
        <v>#REF!</v>
      </c>
    </row>
    <row r="83" spans="2:24" ht="15" hidden="1" customHeight="1" x14ac:dyDescent="0.3">
      <c r="B83" s="667"/>
      <c r="C83" s="668"/>
      <c r="D83" s="6"/>
      <c r="E83" s="6"/>
      <c r="F83" s="48" t="s">
        <v>14</v>
      </c>
      <c r="G83" s="6"/>
      <c r="H83" s="6"/>
      <c r="I83" s="6"/>
      <c r="J83" s="6"/>
      <c r="K83" s="6"/>
      <c r="L83" s="16"/>
      <c r="M83" s="35">
        <f t="shared" si="27"/>
        <v>0</v>
      </c>
      <c r="N83" s="16"/>
      <c r="O83" s="6"/>
      <c r="P83" s="675"/>
      <c r="Q83" s="675"/>
      <c r="R83" s="6"/>
      <c r="S83" s="697"/>
      <c r="T83" s="697"/>
      <c r="U83" s="708"/>
      <c r="V83" s="178">
        <f t="shared" si="24"/>
        <v>0</v>
      </c>
      <c r="W83" s="129">
        <f t="shared" si="25"/>
        <v>0</v>
      </c>
      <c r="X83" s="129">
        <f t="shared" si="26"/>
        <v>0</v>
      </c>
    </row>
    <row r="84" spans="2:24" ht="14.55" hidden="1" customHeight="1" x14ac:dyDescent="0.3">
      <c r="B84" s="665">
        <v>45970</v>
      </c>
      <c r="C84" s="666"/>
      <c r="D84" s="47"/>
      <c r="E84" s="47"/>
      <c r="F84" s="48" t="s">
        <v>13</v>
      </c>
      <c r="G84" s="6"/>
      <c r="H84" s="6"/>
      <c r="I84" s="6"/>
      <c r="J84" s="6"/>
      <c r="K84" s="6"/>
      <c r="L84" s="16"/>
      <c r="M84" s="35">
        <f t="shared" si="27"/>
        <v>0</v>
      </c>
      <c r="N84" s="16"/>
      <c r="O84" s="6"/>
      <c r="P84" s="674">
        <f>'Milling Down Time Hours'!L89</f>
        <v>0</v>
      </c>
      <c r="Q84" s="674">
        <f>'Milling Down Time Hours'!K89</f>
        <v>0</v>
      </c>
      <c r="R84" s="6"/>
      <c r="S84" s="696" t="e">
        <f>SUM(#REF!)</f>
        <v>#REF!</v>
      </c>
      <c r="T84" s="696" t="e">
        <f t="shared" ref="T84" si="32">SUM(S84:S86)</f>
        <v>#REF!</v>
      </c>
      <c r="U84" s="707" t="e">
        <f t="shared" ref="U84" si="33">SUM(T84:T86)</f>
        <v>#REF!</v>
      </c>
      <c r="V84" s="178" t="e">
        <f t="shared" si="24"/>
        <v>#REF!</v>
      </c>
      <c r="W84" s="129" t="e">
        <f t="shared" si="25"/>
        <v>#REF!</v>
      </c>
      <c r="X84" s="129" t="e">
        <f t="shared" si="26"/>
        <v>#REF!</v>
      </c>
    </row>
    <row r="85" spans="2:24" ht="15" hidden="1" customHeight="1" x14ac:dyDescent="0.3">
      <c r="B85" s="667"/>
      <c r="C85" s="668"/>
      <c r="D85" s="6"/>
      <c r="E85" s="6"/>
      <c r="F85" s="48" t="s">
        <v>14</v>
      </c>
      <c r="G85" s="6"/>
      <c r="H85" s="6"/>
      <c r="I85" s="6"/>
      <c r="J85" s="6"/>
      <c r="K85" s="6"/>
      <c r="L85" s="16"/>
      <c r="M85" s="35">
        <f t="shared" si="27"/>
        <v>0</v>
      </c>
      <c r="N85" s="16"/>
      <c r="O85" s="6"/>
      <c r="P85" s="675"/>
      <c r="Q85" s="675"/>
      <c r="R85" s="6"/>
      <c r="S85" s="697"/>
      <c r="T85" s="697"/>
      <c r="U85" s="708"/>
      <c r="V85" s="178">
        <f t="shared" si="24"/>
        <v>0</v>
      </c>
      <c r="W85" s="129">
        <f t="shared" si="25"/>
        <v>0</v>
      </c>
      <c r="X85" s="129">
        <f t="shared" si="26"/>
        <v>0</v>
      </c>
    </row>
    <row r="86" spans="2:24" ht="14.55" hidden="1" customHeight="1" x14ac:dyDescent="0.3">
      <c r="B86" s="665">
        <v>45971</v>
      </c>
      <c r="C86" s="666"/>
      <c r="D86" s="47"/>
      <c r="E86" s="47"/>
      <c r="F86" s="48" t="s">
        <v>13</v>
      </c>
      <c r="G86" s="6"/>
      <c r="H86" s="6"/>
      <c r="I86" s="6"/>
      <c r="J86" s="6"/>
      <c r="K86" s="6"/>
      <c r="L86" s="16"/>
      <c r="M86" s="35">
        <f t="shared" si="27"/>
        <v>0</v>
      </c>
      <c r="N86" s="16"/>
      <c r="O86" s="6"/>
      <c r="P86" s="674">
        <f>'Milling Down Time Hours'!L91</f>
        <v>0</v>
      </c>
      <c r="Q86" s="674">
        <f>'Milling Down Time Hours'!K91</f>
        <v>0</v>
      </c>
      <c r="R86" s="6"/>
      <c r="S86" s="696" t="e">
        <f>SUM(#REF!)</f>
        <v>#REF!</v>
      </c>
      <c r="T86" s="696" t="e">
        <f t="shared" ref="T86" si="34">SUM(S86:S88)</f>
        <v>#REF!</v>
      </c>
      <c r="U86" s="707" t="e">
        <f t="shared" ref="U86" si="35">SUM(T86:T88)</f>
        <v>#REF!</v>
      </c>
      <c r="V86" s="178" t="e">
        <f t="shared" si="24"/>
        <v>#REF!</v>
      </c>
      <c r="W86" s="129" t="e">
        <f t="shared" si="25"/>
        <v>#REF!</v>
      </c>
      <c r="X86" s="129" t="e">
        <f t="shared" si="26"/>
        <v>#REF!</v>
      </c>
    </row>
    <row r="87" spans="2:24" ht="15" hidden="1" customHeight="1" x14ac:dyDescent="0.3">
      <c r="B87" s="667"/>
      <c r="C87" s="668"/>
      <c r="D87" s="6"/>
      <c r="E87" s="6"/>
      <c r="F87" s="48" t="s">
        <v>14</v>
      </c>
      <c r="G87" s="6"/>
      <c r="H87" s="6"/>
      <c r="I87" s="6"/>
      <c r="J87" s="6"/>
      <c r="K87" s="6"/>
      <c r="L87" s="16"/>
      <c r="M87" s="35">
        <f t="shared" si="27"/>
        <v>0</v>
      </c>
      <c r="N87" s="16"/>
      <c r="O87" s="6"/>
      <c r="P87" s="675"/>
      <c r="Q87" s="675"/>
      <c r="R87" s="6"/>
      <c r="S87" s="697"/>
      <c r="T87" s="697"/>
      <c r="U87" s="708"/>
      <c r="V87" s="178">
        <f t="shared" si="24"/>
        <v>0</v>
      </c>
      <c r="W87" s="129">
        <f t="shared" si="25"/>
        <v>0</v>
      </c>
      <c r="X87" s="129">
        <f t="shared" si="26"/>
        <v>0</v>
      </c>
    </row>
    <row r="88" spans="2:24" ht="14.55" hidden="1" customHeight="1" x14ac:dyDescent="0.3">
      <c r="B88" s="665">
        <v>45972</v>
      </c>
      <c r="C88" s="666"/>
      <c r="D88" s="47"/>
      <c r="E88" s="47"/>
      <c r="F88" s="48" t="s">
        <v>13</v>
      </c>
      <c r="G88" s="6"/>
      <c r="H88" s="6"/>
      <c r="I88" s="6"/>
      <c r="J88" s="6"/>
      <c r="K88" s="6"/>
      <c r="L88" s="16"/>
      <c r="M88" s="35">
        <f t="shared" si="27"/>
        <v>0</v>
      </c>
      <c r="N88" s="16"/>
      <c r="O88" s="6"/>
      <c r="P88" s="674">
        <f>'Milling Down Time Hours'!L93</f>
        <v>0</v>
      </c>
      <c r="Q88" s="674">
        <f>'Milling Down Time Hours'!K93</f>
        <v>0</v>
      </c>
      <c r="R88" s="6"/>
      <c r="S88" s="696" t="e">
        <f>SUM(#REF!)</f>
        <v>#REF!</v>
      </c>
      <c r="T88" s="696" t="e">
        <f t="shared" ref="T88" si="36">SUM(S88:S90)</f>
        <v>#REF!</v>
      </c>
      <c r="U88" s="707" t="e">
        <f t="shared" ref="U88" si="37">SUM(T88:T90)</f>
        <v>#REF!</v>
      </c>
      <c r="V88" s="178" t="e">
        <f t="shared" si="24"/>
        <v>#REF!</v>
      </c>
      <c r="W88" s="129" t="e">
        <f t="shared" si="25"/>
        <v>#REF!</v>
      </c>
      <c r="X88" s="129" t="e">
        <f t="shared" si="26"/>
        <v>#REF!</v>
      </c>
    </row>
    <row r="89" spans="2:24" ht="15" hidden="1" customHeight="1" x14ac:dyDescent="0.3">
      <c r="B89" s="667"/>
      <c r="C89" s="668"/>
      <c r="D89" s="6"/>
      <c r="E89" s="6"/>
      <c r="F89" s="48" t="s">
        <v>14</v>
      </c>
      <c r="G89" s="6"/>
      <c r="H89" s="6"/>
      <c r="I89" s="6"/>
      <c r="J89" s="6"/>
      <c r="K89" s="6"/>
      <c r="L89" s="16"/>
      <c r="M89" s="35">
        <f t="shared" si="27"/>
        <v>0</v>
      </c>
      <c r="N89" s="16"/>
      <c r="O89" s="6"/>
      <c r="P89" s="675"/>
      <c r="Q89" s="675"/>
      <c r="R89" s="6"/>
      <c r="S89" s="697"/>
      <c r="T89" s="697"/>
      <c r="U89" s="708"/>
      <c r="V89" s="178">
        <f t="shared" si="24"/>
        <v>0</v>
      </c>
      <c r="W89" s="129">
        <f t="shared" si="25"/>
        <v>0</v>
      </c>
      <c r="X89" s="129">
        <f t="shared" si="26"/>
        <v>0</v>
      </c>
    </row>
    <row r="90" spans="2:24" ht="14.55" hidden="1" customHeight="1" x14ac:dyDescent="0.3">
      <c r="B90" s="665">
        <v>45973</v>
      </c>
      <c r="C90" s="666"/>
      <c r="D90" s="47"/>
      <c r="E90" s="47"/>
      <c r="F90" s="48" t="s">
        <v>13</v>
      </c>
      <c r="G90" s="6"/>
      <c r="H90" s="6"/>
      <c r="I90" s="6"/>
      <c r="J90" s="6"/>
      <c r="K90" s="6"/>
      <c r="L90" s="16"/>
      <c r="M90" s="35">
        <f t="shared" si="27"/>
        <v>0</v>
      </c>
      <c r="N90" s="16"/>
      <c r="O90" s="6"/>
      <c r="P90" s="674">
        <f>'Milling Down Time Hours'!L95</f>
        <v>0</v>
      </c>
      <c r="Q90" s="674">
        <f>'Milling Down Time Hours'!K95</f>
        <v>0</v>
      </c>
      <c r="R90" s="6"/>
      <c r="S90" s="696" t="e">
        <f>SUM(#REF!)</f>
        <v>#REF!</v>
      </c>
      <c r="T90" s="696" t="e">
        <f t="shared" ref="T90" si="38">SUM(S90:S92)</f>
        <v>#REF!</v>
      </c>
      <c r="U90" s="707" t="e">
        <f t="shared" ref="U90" si="39">SUM(T90:T92)</f>
        <v>#REF!</v>
      </c>
      <c r="V90" s="178" t="e">
        <f t="shared" si="24"/>
        <v>#REF!</v>
      </c>
      <c r="W90" s="129" t="e">
        <f t="shared" si="25"/>
        <v>#REF!</v>
      </c>
      <c r="X90" s="129" t="e">
        <f t="shared" si="26"/>
        <v>#REF!</v>
      </c>
    </row>
    <row r="91" spans="2:24" ht="15" hidden="1" customHeight="1" x14ac:dyDescent="0.3">
      <c r="B91" s="667"/>
      <c r="C91" s="668"/>
      <c r="D91" s="6"/>
      <c r="E91" s="6"/>
      <c r="F91" s="48" t="s">
        <v>14</v>
      </c>
      <c r="G91" s="6"/>
      <c r="H91" s="6"/>
      <c r="I91" s="6"/>
      <c r="J91" s="6"/>
      <c r="K91" s="6"/>
      <c r="L91" s="16"/>
      <c r="M91" s="35">
        <f t="shared" si="27"/>
        <v>0</v>
      </c>
      <c r="N91" s="16"/>
      <c r="O91" s="6"/>
      <c r="P91" s="675"/>
      <c r="Q91" s="675"/>
      <c r="R91" s="6"/>
      <c r="S91" s="697"/>
      <c r="T91" s="697"/>
      <c r="U91" s="708"/>
      <c r="V91" s="178">
        <f t="shared" si="24"/>
        <v>0</v>
      </c>
      <c r="W91" s="129">
        <f t="shared" si="25"/>
        <v>0</v>
      </c>
      <c r="X91" s="129">
        <f t="shared" si="26"/>
        <v>0</v>
      </c>
    </row>
    <row r="92" spans="2:24" ht="14.55" hidden="1" customHeight="1" x14ac:dyDescent="0.3">
      <c r="B92" s="665">
        <v>45974</v>
      </c>
      <c r="C92" s="666"/>
      <c r="D92" s="47"/>
      <c r="E92" s="47"/>
      <c r="F92" s="48" t="s">
        <v>13</v>
      </c>
      <c r="G92" s="6"/>
      <c r="H92" s="6"/>
      <c r="I92" s="6"/>
      <c r="J92" s="6"/>
      <c r="K92" s="6"/>
      <c r="L92" s="16"/>
      <c r="M92" s="35">
        <f t="shared" si="27"/>
        <v>0</v>
      </c>
      <c r="N92" s="16"/>
      <c r="O92" s="6"/>
      <c r="P92" s="674">
        <f>'Milling Down Time Hours'!L97</f>
        <v>0</v>
      </c>
      <c r="Q92" s="674">
        <f>'Milling Down Time Hours'!K97</f>
        <v>0</v>
      </c>
      <c r="R92" s="6"/>
      <c r="S92" s="696" t="e">
        <f>SUM(#REF!)</f>
        <v>#REF!</v>
      </c>
      <c r="T92" s="696" t="e">
        <f t="shared" ref="T92" si="40">SUM(S92:S94)</f>
        <v>#REF!</v>
      </c>
      <c r="U92" s="707" t="e">
        <f t="shared" ref="U92" si="41">SUM(T92:T94)</f>
        <v>#REF!</v>
      </c>
      <c r="V92" s="178" t="e">
        <f t="shared" si="24"/>
        <v>#REF!</v>
      </c>
      <c r="W92" s="129" t="e">
        <f t="shared" si="25"/>
        <v>#REF!</v>
      </c>
      <c r="X92" s="129" t="e">
        <f t="shared" si="26"/>
        <v>#REF!</v>
      </c>
    </row>
    <row r="93" spans="2:24" ht="15" hidden="1" customHeight="1" x14ac:dyDescent="0.3">
      <c r="B93" s="667"/>
      <c r="C93" s="668"/>
      <c r="D93" s="6"/>
      <c r="E93" s="6"/>
      <c r="F93" s="48" t="s">
        <v>14</v>
      </c>
      <c r="G93" s="6"/>
      <c r="H93" s="6"/>
      <c r="I93" s="6"/>
      <c r="J93" s="6"/>
      <c r="K93" s="6"/>
      <c r="L93" s="16"/>
      <c r="M93" s="35">
        <f t="shared" si="27"/>
        <v>0</v>
      </c>
      <c r="N93" s="16"/>
      <c r="O93" s="6"/>
      <c r="P93" s="675"/>
      <c r="Q93" s="675"/>
      <c r="R93" s="6"/>
      <c r="S93" s="697"/>
      <c r="T93" s="697"/>
      <c r="U93" s="708"/>
      <c r="V93" s="178">
        <f t="shared" si="24"/>
        <v>0</v>
      </c>
      <c r="W93" s="129">
        <f t="shared" si="25"/>
        <v>0</v>
      </c>
      <c r="X93" s="129">
        <f t="shared" si="26"/>
        <v>0</v>
      </c>
    </row>
    <row r="94" spans="2:24" ht="14.55" hidden="1" customHeight="1" x14ac:dyDescent="0.3">
      <c r="B94" s="665">
        <v>45975</v>
      </c>
      <c r="C94" s="666"/>
      <c r="D94" s="47"/>
      <c r="E94" s="47"/>
      <c r="F94" s="48" t="s">
        <v>13</v>
      </c>
      <c r="G94" s="6"/>
      <c r="H94" s="6"/>
      <c r="I94" s="6"/>
      <c r="J94" s="6"/>
      <c r="K94" s="6"/>
      <c r="L94" s="16"/>
      <c r="M94" s="35">
        <f t="shared" si="27"/>
        <v>0</v>
      </c>
      <c r="N94" s="16"/>
      <c r="O94" s="6"/>
      <c r="P94" s="674">
        <f>'Milling Down Time Hours'!L99</f>
        <v>0</v>
      </c>
      <c r="Q94" s="674">
        <f>'Milling Down Time Hours'!K99</f>
        <v>0</v>
      </c>
      <c r="R94" s="6"/>
      <c r="S94" s="696" t="e">
        <f>SUM(#REF!)</f>
        <v>#REF!</v>
      </c>
      <c r="T94" s="696" t="e">
        <f>SUM(S94:S98)</f>
        <v>#REF!</v>
      </c>
      <c r="U94" s="707" t="e">
        <f>SUM(T94:T98)</f>
        <v>#REF!</v>
      </c>
      <c r="V94" s="178" t="e">
        <f t="shared" si="24"/>
        <v>#REF!</v>
      </c>
      <c r="W94" s="129" t="e">
        <f t="shared" si="25"/>
        <v>#REF!</v>
      </c>
      <c r="X94" s="129" t="e">
        <f t="shared" si="26"/>
        <v>#REF!</v>
      </c>
    </row>
    <row r="95" spans="2:24" ht="14.55" hidden="1" customHeight="1" x14ac:dyDescent="0.3">
      <c r="B95" s="667"/>
      <c r="C95" s="668"/>
      <c r="D95" s="198"/>
      <c r="E95" s="198"/>
      <c r="F95" s="232" t="s">
        <v>14</v>
      </c>
      <c r="G95" s="198"/>
      <c r="H95" s="198"/>
      <c r="I95" s="198"/>
      <c r="J95" s="198"/>
      <c r="K95" s="198"/>
      <c r="L95" s="108"/>
      <c r="M95" s="35">
        <f t="shared" si="27"/>
        <v>0</v>
      </c>
      <c r="N95" s="108"/>
      <c r="O95" s="198"/>
      <c r="P95" s="679"/>
      <c r="Q95" s="679"/>
      <c r="R95" s="198"/>
      <c r="S95" s="711"/>
      <c r="T95" s="711"/>
      <c r="U95" s="712"/>
      <c r="V95" s="178">
        <f t="shared" si="24"/>
        <v>0</v>
      </c>
      <c r="W95" s="129">
        <f t="shared" si="25"/>
        <v>0</v>
      </c>
      <c r="X95" s="129">
        <f t="shared" si="26"/>
        <v>0</v>
      </c>
    </row>
    <row r="96" spans="2:24" ht="15" thickBot="1" x14ac:dyDescent="0.35">
      <c r="B96" s="665">
        <v>45967</v>
      </c>
      <c r="C96" s="666"/>
      <c r="D96" s="517"/>
      <c r="E96" s="517"/>
      <c r="F96" s="48" t="s">
        <v>168</v>
      </c>
      <c r="G96" s="51"/>
      <c r="H96" s="6"/>
      <c r="I96" s="6"/>
      <c r="J96" s="6"/>
      <c r="K96" s="16"/>
      <c r="L96" s="51"/>
      <c r="M96" s="35">
        <f t="shared" si="27"/>
        <v>0</v>
      </c>
      <c r="N96" s="51"/>
      <c r="O96" s="6"/>
      <c r="P96" s="50">
        <f>'Milling Down Time Hours'!L41</f>
        <v>24</v>
      </c>
      <c r="Q96" s="50"/>
      <c r="R96" s="6"/>
      <c r="S96" s="172"/>
      <c r="T96" s="172"/>
      <c r="U96" s="518"/>
      <c r="V96" s="178">
        <f t="shared" si="24"/>
        <v>0</v>
      </c>
      <c r="W96" s="129">
        <f t="shared" si="25"/>
        <v>0</v>
      </c>
      <c r="X96" s="129">
        <f t="shared" si="26"/>
        <v>0</v>
      </c>
    </row>
    <row r="97" spans="2:24" ht="15" thickBot="1" x14ac:dyDescent="0.35">
      <c r="B97" s="667"/>
      <c r="C97" s="668"/>
      <c r="D97" s="517"/>
      <c r="E97" s="517"/>
      <c r="F97" s="48" t="s">
        <v>14</v>
      </c>
      <c r="G97" s="6"/>
      <c r="H97" s="6"/>
      <c r="I97" s="6"/>
      <c r="J97" s="6"/>
      <c r="K97" s="6"/>
      <c r="L97" s="16"/>
      <c r="M97" s="35">
        <f t="shared" si="27"/>
        <v>0</v>
      </c>
      <c r="N97" s="16"/>
      <c r="O97" s="6"/>
      <c r="P97" s="50"/>
      <c r="Q97" s="50"/>
      <c r="R97" s="6"/>
      <c r="S97" s="172"/>
      <c r="T97" s="172"/>
      <c r="U97" s="518"/>
      <c r="V97" s="178">
        <f t="shared" si="24"/>
        <v>0</v>
      </c>
      <c r="W97" s="129">
        <f t="shared" si="25"/>
        <v>0</v>
      </c>
      <c r="X97" s="129">
        <f t="shared" si="26"/>
        <v>0</v>
      </c>
    </row>
    <row r="98" spans="2:24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0.69999999999999984</v>
      </c>
      <c r="M98" s="160"/>
      <c r="N98" s="160"/>
      <c r="O98" s="140"/>
      <c r="P98" s="141">
        <f>'Milling Down Time Hours'!L57</f>
        <v>510.38333333333333</v>
      </c>
      <c r="Q98" s="140"/>
      <c r="R98" s="140"/>
      <c r="S98" s="132">
        <f>AVERAGE(S5:S26)*0.9</f>
        <v>0.67645714285714276</v>
      </c>
      <c r="T98" s="132">
        <f>AVERAGE(T5:T26)*0.9</f>
        <v>0.51998571428571438</v>
      </c>
      <c r="U98" s="132">
        <f>AVERAGE(U5:U26)*0.9</f>
        <v>7.126671428571429</v>
      </c>
      <c r="V98" s="133"/>
      <c r="W98" s="133"/>
      <c r="X98" s="133"/>
    </row>
  </sheetData>
  <mergeCells count="229">
    <mergeCell ref="R5:R8"/>
    <mergeCell ref="N9:N10"/>
    <mergeCell ref="B96:C97"/>
    <mergeCell ref="B92:C93"/>
    <mergeCell ref="P92:P93"/>
    <mergeCell ref="Q92:Q93"/>
    <mergeCell ref="S92:S93"/>
    <mergeCell ref="T92:T93"/>
    <mergeCell ref="U92:U93"/>
    <mergeCell ref="B94:C95"/>
    <mergeCell ref="P94:P95"/>
    <mergeCell ref="Q94:Q95"/>
    <mergeCell ref="S94:S95"/>
    <mergeCell ref="T94:T95"/>
    <mergeCell ref="U94:U95"/>
    <mergeCell ref="B90:C91"/>
    <mergeCell ref="P90:P91"/>
    <mergeCell ref="Q90:Q91"/>
    <mergeCell ref="S90:S91"/>
    <mergeCell ref="T90:T91"/>
    <mergeCell ref="U90:U91"/>
    <mergeCell ref="B86:C87"/>
    <mergeCell ref="P86:P87"/>
    <mergeCell ref="Q86:Q87"/>
    <mergeCell ref="S86:S87"/>
    <mergeCell ref="T86:T87"/>
    <mergeCell ref="U86:U87"/>
    <mergeCell ref="B88:C89"/>
    <mergeCell ref="P88:P89"/>
    <mergeCell ref="Q88:Q89"/>
    <mergeCell ref="S88:S89"/>
    <mergeCell ref="T88:T89"/>
    <mergeCell ref="U88:U89"/>
    <mergeCell ref="T82:T83"/>
    <mergeCell ref="U82:U83"/>
    <mergeCell ref="T84:T85"/>
    <mergeCell ref="U84:U85"/>
    <mergeCell ref="B80:C81"/>
    <mergeCell ref="P80:P81"/>
    <mergeCell ref="Q80:Q81"/>
    <mergeCell ref="Q84:Q85"/>
    <mergeCell ref="S80:S81"/>
    <mergeCell ref="P82:P83"/>
    <mergeCell ref="Q82:Q83"/>
    <mergeCell ref="S82:S83"/>
    <mergeCell ref="P84:P85"/>
    <mergeCell ref="B82:C83"/>
    <mergeCell ref="B84:C85"/>
    <mergeCell ref="T72:T73"/>
    <mergeCell ref="U72:U73"/>
    <mergeCell ref="T74:T75"/>
    <mergeCell ref="U74:U75"/>
    <mergeCell ref="U76:U77"/>
    <mergeCell ref="T78:T79"/>
    <mergeCell ref="U78:U79"/>
    <mergeCell ref="T80:T81"/>
    <mergeCell ref="U80:U81"/>
    <mergeCell ref="T62:T63"/>
    <mergeCell ref="U62:U63"/>
    <mergeCell ref="T64:T65"/>
    <mergeCell ref="U64:U65"/>
    <mergeCell ref="U66:U67"/>
    <mergeCell ref="T68:T69"/>
    <mergeCell ref="U68:U69"/>
    <mergeCell ref="T70:T71"/>
    <mergeCell ref="U70:U71"/>
    <mergeCell ref="T52:T53"/>
    <mergeCell ref="U52:U53"/>
    <mergeCell ref="T54:T55"/>
    <mergeCell ref="U54:U55"/>
    <mergeCell ref="U56:U57"/>
    <mergeCell ref="T58:T59"/>
    <mergeCell ref="U58:U59"/>
    <mergeCell ref="T60:T61"/>
    <mergeCell ref="U60:U61"/>
    <mergeCell ref="T38:T39"/>
    <mergeCell ref="U38:U39"/>
    <mergeCell ref="S84:S85"/>
    <mergeCell ref="T46:T47"/>
    <mergeCell ref="T56:T57"/>
    <mergeCell ref="T66:T67"/>
    <mergeCell ref="T76:T77"/>
    <mergeCell ref="S78:S79"/>
    <mergeCell ref="S19:S20"/>
    <mergeCell ref="T19:T20"/>
    <mergeCell ref="U19:U20"/>
    <mergeCell ref="T21:T22"/>
    <mergeCell ref="U21:U22"/>
    <mergeCell ref="S74:S75"/>
    <mergeCell ref="S21:S22"/>
    <mergeCell ref="U46:U47"/>
    <mergeCell ref="T48:T49"/>
    <mergeCell ref="U48:U49"/>
    <mergeCell ref="S76:S77"/>
    <mergeCell ref="S64:S65"/>
    <mergeCell ref="S66:S67"/>
    <mergeCell ref="S60:S61"/>
    <mergeCell ref="T50:T51"/>
    <mergeCell ref="U50:U51"/>
    <mergeCell ref="B68:C69"/>
    <mergeCell ref="B70:C71"/>
    <mergeCell ref="B72:C73"/>
    <mergeCell ref="P78:P79"/>
    <mergeCell ref="S68:S69"/>
    <mergeCell ref="P70:P71"/>
    <mergeCell ref="Q70:Q71"/>
    <mergeCell ref="S70:S71"/>
    <mergeCell ref="P72:P73"/>
    <mergeCell ref="S72:S73"/>
    <mergeCell ref="Q78:Q79"/>
    <mergeCell ref="B74:C75"/>
    <mergeCell ref="B76:C77"/>
    <mergeCell ref="B78:C79"/>
    <mergeCell ref="P68:P69"/>
    <mergeCell ref="Q68:Q69"/>
    <mergeCell ref="Q74:Q75"/>
    <mergeCell ref="P74:P75"/>
    <mergeCell ref="P76:P77"/>
    <mergeCell ref="Q76:Q77"/>
    <mergeCell ref="Q72:Q73"/>
    <mergeCell ref="B60:C61"/>
    <mergeCell ref="P60:P61"/>
    <mergeCell ref="B62:C63"/>
    <mergeCell ref="P62:P63"/>
    <mergeCell ref="Q60:Q61"/>
    <mergeCell ref="Q62:Q63"/>
    <mergeCell ref="B64:C65"/>
    <mergeCell ref="P64:P65"/>
    <mergeCell ref="B66:C67"/>
    <mergeCell ref="P66:P67"/>
    <mergeCell ref="Q64:Q65"/>
    <mergeCell ref="Q66:Q67"/>
    <mergeCell ref="B50:C51"/>
    <mergeCell ref="B54:C55"/>
    <mergeCell ref="P54:P55"/>
    <mergeCell ref="B56:C57"/>
    <mergeCell ref="P56:P57"/>
    <mergeCell ref="B58:C59"/>
    <mergeCell ref="P58:P59"/>
    <mergeCell ref="Q56:Q57"/>
    <mergeCell ref="Q58:Q59"/>
    <mergeCell ref="Q54:Q55"/>
    <mergeCell ref="B52:C53"/>
    <mergeCell ref="H2:K2"/>
    <mergeCell ref="B4:C4"/>
    <mergeCell ref="B5:C6"/>
    <mergeCell ref="B7:C8"/>
    <mergeCell ref="P7:P8"/>
    <mergeCell ref="N5:N6"/>
    <mergeCell ref="P5:P6"/>
    <mergeCell ref="B40:C41"/>
    <mergeCell ref="P40:P41"/>
    <mergeCell ref="P19:P20"/>
    <mergeCell ref="B21:C22"/>
    <mergeCell ref="B23:C24"/>
    <mergeCell ref="P21:P22"/>
    <mergeCell ref="P23:P24"/>
    <mergeCell ref="B29:C30"/>
    <mergeCell ref="P28:P29"/>
    <mergeCell ref="Q21:Q22"/>
    <mergeCell ref="Q23:Q25"/>
    <mergeCell ref="B15:C16"/>
    <mergeCell ref="B17:C18"/>
    <mergeCell ref="B19:C20"/>
    <mergeCell ref="P15:P16"/>
    <mergeCell ref="P17:P18"/>
    <mergeCell ref="B25:C26"/>
    <mergeCell ref="R23:R25"/>
    <mergeCell ref="O23:O25"/>
    <mergeCell ref="S62:S63"/>
    <mergeCell ref="Q48:Q49"/>
    <mergeCell ref="Q50:Q51"/>
    <mergeCell ref="S38:S39"/>
    <mergeCell ref="P52:P53"/>
    <mergeCell ref="S46:S47"/>
    <mergeCell ref="S48:S49"/>
    <mergeCell ref="S50:S51"/>
    <mergeCell ref="S52:S53"/>
    <mergeCell ref="S54:S55"/>
    <mergeCell ref="S56:S57"/>
    <mergeCell ref="S58:S59"/>
    <mergeCell ref="Q28:Q29"/>
    <mergeCell ref="Q52:Q53"/>
    <mergeCell ref="P48:P49"/>
    <mergeCell ref="B44:C45"/>
    <mergeCell ref="P44:P45"/>
    <mergeCell ref="B46:C47"/>
    <mergeCell ref="P46:P47"/>
    <mergeCell ref="Q40:Q41"/>
    <mergeCell ref="O26:O29"/>
    <mergeCell ref="P50:P51"/>
    <mergeCell ref="B34:C35"/>
    <mergeCell ref="B36:C37"/>
    <mergeCell ref="B38:C39"/>
    <mergeCell ref="P34:P35"/>
    <mergeCell ref="P36:P37"/>
    <mergeCell ref="Q34:Q35"/>
    <mergeCell ref="Q36:Q37"/>
    <mergeCell ref="O36:O37"/>
    <mergeCell ref="O38:O39"/>
    <mergeCell ref="O40:O41"/>
    <mergeCell ref="P38:P39"/>
    <mergeCell ref="Q38:Q39"/>
    <mergeCell ref="Q46:Q47"/>
    <mergeCell ref="B27:C28"/>
    <mergeCell ref="B48:C49"/>
    <mergeCell ref="R9:R12"/>
    <mergeCell ref="N11:N12"/>
    <mergeCell ref="Q44:Q45"/>
    <mergeCell ref="N7:N8"/>
    <mergeCell ref="B31:C33"/>
    <mergeCell ref="B42:C43"/>
    <mergeCell ref="O30:O31"/>
    <mergeCell ref="O32:O33"/>
    <mergeCell ref="O34:O35"/>
    <mergeCell ref="Q32:Q33"/>
    <mergeCell ref="P30:P31"/>
    <mergeCell ref="P32:P33"/>
    <mergeCell ref="Q30:Q31"/>
    <mergeCell ref="Q15:Q16"/>
    <mergeCell ref="Q17:Q18"/>
    <mergeCell ref="Q19:Q20"/>
    <mergeCell ref="B9:C10"/>
    <mergeCell ref="B11:C12"/>
    <mergeCell ref="B13:C14"/>
    <mergeCell ref="P9:P10"/>
    <mergeCell ref="P11:P12"/>
    <mergeCell ref="P13:P14"/>
    <mergeCell ref="Q13:Q14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G29" sqref="G29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21" t="s">
        <v>123</v>
      </c>
      <c r="C1" s="721"/>
      <c r="D1" s="721"/>
      <c r="E1" s="721"/>
      <c r="F1" s="721"/>
      <c r="G1" s="721"/>
      <c r="H1" s="721"/>
      <c r="I1" s="721"/>
      <c r="J1" s="721"/>
      <c r="K1" s="721"/>
      <c r="L1" s="721"/>
    </row>
    <row r="2" spans="1:27" ht="18" x14ac:dyDescent="0.35">
      <c r="F2" s="725" t="s">
        <v>433</v>
      </c>
      <c r="G2" s="725"/>
      <c r="H2" s="725"/>
      <c r="I2" s="725"/>
      <c r="J2" s="725"/>
    </row>
    <row r="3" spans="1:27" ht="15" thickBot="1" x14ac:dyDescent="0.35">
      <c r="A3" s="698" t="s">
        <v>200</v>
      </c>
      <c r="B3" s="722"/>
      <c r="C3" s="722"/>
      <c r="D3" s="722"/>
      <c r="E3" s="722"/>
      <c r="F3" s="722"/>
      <c r="G3" s="699"/>
    </row>
    <row r="4" spans="1:27" ht="15" thickBot="1" x14ac:dyDescent="0.35">
      <c r="A4" s="723" t="s">
        <v>1</v>
      </c>
      <c r="B4" s="724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210</v>
      </c>
      <c r="M4" s="18" t="s">
        <v>424</v>
      </c>
      <c r="N4" s="161" t="s">
        <v>142</v>
      </c>
    </row>
    <row r="5" spans="1:27" x14ac:dyDescent="0.3">
      <c r="A5" s="325"/>
      <c r="B5" s="326"/>
      <c r="C5" s="327"/>
      <c r="D5" s="328"/>
      <c r="E5" s="328"/>
      <c r="F5" s="328"/>
      <c r="G5" s="329"/>
      <c r="J5" s="18"/>
      <c r="K5" s="18"/>
      <c r="L5" s="18"/>
      <c r="M5" s="18"/>
      <c r="N5" s="161"/>
    </row>
    <row r="6" spans="1:27" x14ac:dyDescent="0.3">
      <c r="A6" s="717">
        <v>46252</v>
      </c>
      <c r="B6" s="718"/>
      <c r="C6" s="158" t="s">
        <v>171</v>
      </c>
      <c r="D6" s="71">
        <v>6.9444444444444447E-4</v>
      </c>
      <c r="E6" s="71">
        <v>0.91597222222222219</v>
      </c>
      <c r="F6" s="72">
        <f>(E6-D6)*1440</f>
        <v>1318</v>
      </c>
      <c r="G6" s="330" t="s">
        <v>399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17">
        <v>46253</v>
      </c>
      <c r="B7" s="718"/>
      <c r="C7" s="158" t="s">
        <v>171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31" t="s">
        <v>400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17">
        <v>46254</v>
      </c>
      <c r="B8" s="718"/>
      <c r="C8" s="158" t="s">
        <v>171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19" t="s">
        <v>211</v>
      </c>
      <c r="AA8" s="720"/>
    </row>
    <row r="9" spans="1:27" x14ac:dyDescent="0.3">
      <c r="A9" s="717">
        <v>46255</v>
      </c>
      <c r="B9" s="718"/>
      <c r="C9" s="158" t="s">
        <v>171</v>
      </c>
      <c r="D9" s="71">
        <v>6.9444444444444447E-4</v>
      </c>
      <c r="E9" s="71">
        <v>0.60763888888888884</v>
      </c>
      <c r="F9" s="72">
        <f t="shared" si="0"/>
        <v>873.99999999999989</v>
      </c>
      <c r="G9" s="454" t="s">
        <v>434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212</v>
      </c>
      <c r="AA9" s="165">
        <f>L43</f>
        <v>65.95</v>
      </c>
    </row>
    <row r="10" spans="1:27" x14ac:dyDescent="0.3">
      <c r="A10" s="717">
        <v>46256</v>
      </c>
      <c r="B10" s="718"/>
      <c r="C10" s="158" t="s">
        <v>171</v>
      </c>
      <c r="D10" s="71">
        <v>6.9444444444444447E-4</v>
      </c>
      <c r="E10" s="71">
        <v>0.625</v>
      </c>
      <c r="F10" s="72">
        <f>(E10-D10)*1440</f>
        <v>899</v>
      </c>
      <c r="G10" s="449" t="s">
        <v>427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213</v>
      </c>
      <c r="AA10" s="165">
        <f>N43</f>
        <v>66.05</v>
      </c>
    </row>
    <row r="11" spans="1:27" x14ac:dyDescent="0.3">
      <c r="A11" s="717">
        <v>46257</v>
      </c>
      <c r="B11" s="718"/>
      <c r="C11" s="158" t="s">
        <v>171</v>
      </c>
      <c r="D11" s="71">
        <v>6.9444444444444447E-4</v>
      </c>
      <c r="E11" s="71">
        <v>0.99930555555555556</v>
      </c>
      <c r="F11" s="72">
        <f>(E11-D11)*1440</f>
        <v>1438</v>
      </c>
      <c r="G11" s="449" t="s">
        <v>428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215</v>
      </c>
      <c r="AA11" s="166">
        <f>L44</f>
        <v>0.61064814814814816</v>
      </c>
    </row>
    <row r="12" spans="1:27" x14ac:dyDescent="0.3">
      <c r="A12" s="717">
        <v>46258</v>
      </c>
      <c r="B12" s="718"/>
      <c r="C12" s="158" t="s">
        <v>171</v>
      </c>
      <c r="D12" s="71">
        <v>6.9444444444444447E-4</v>
      </c>
      <c r="E12" s="71">
        <v>0.58333333333333337</v>
      </c>
      <c r="F12" s="72">
        <f>(E12-D12)*1440</f>
        <v>839</v>
      </c>
      <c r="G12" s="450" t="s">
        <v>429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214</v>
      </c>
      <c r="AA12" s="166">
        <f>N44</f>
        <v>0</v>
      </c>
    </row>
    <row r="13" spans="1:27" x14ac:dyDescent="0.3">
      <c r="A13" s="717">
        <v>46259</v>
      </c>
      <c r="B13" s="718"/>
      <c r="C13" s="158" t="s">
        <v>171</v>
      </c>
      <c r="D13" s="71">
        <v>6.9444444444444447E-4</v>
      </c>
      <c r="E13" s="71">
        <v>0.99930555555555556</v>
      </c>
      <c r="F13" s="72">
        <f t="shared" si="0"/>
        <v>1438</v>
      </c>
      <c r="G13" s="451" t="s">
        <v>428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17">
        <v>46260</v>
      </c>
      <c r="B14" s="718"/>
      <c r="C14" s="158" t="s">
        <v>171</v>
      </c>
      <c r="D14" s="71">
        <v>6.9444444444444447E-4</v>
      </c>
      <c r="E14" s="71">
        <v>0.99930555555555556</v>
      </c>
      <c r="F14" s="72">
        <f t="shared" si="0"/>
        <v>1438</v>
      </c>
      <c r="G14" s="451" t="s">
        <v>428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17">
        <v>46261</v>
      </c>
      <c r="B15" s="718"/>
      <c r="C15" s="158" t="s">
        <v>171</v>
      </c>
      <c r="D15" s="71">
        <v>6.9444444444444447E-4</v>
      </c>
      <c r="E15" s="71">
        <v>0.78125</v>
      </c>
      <c r="F15" s="72">
        <f t="shared" si="0"/>
        <v>1124</v>
      </c>
      <c r="G15" s="457" t="s">
        <v>435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17">
        <v>46262</v>
      </c>
      <c r="B16" s="718"/>
      <c r="C16" s="158" t="s">
        <v>171</v>
      </c>
      <c r="D16" s="71">
        <v>6.9444444444444447E-4</v>
      </c>
      <c r="E16" s="71">
        <v>0.66666666666666663</v>
      </c>
      <c r="F16" s="72">
        <f t="shared" si="0"/>
        <v>959</v>
      </c>
      <c r="G16" s="455" t="s">
        <v>436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17">
        <v>46263</v>
      </c>
      <c r="B17" s="718"/>
      <c r="C17" s="465" t="s">
        <v>171</v>
      </c>
      <c r="D17" s="71">
        <v>6.9444444444444447E-4</v>
      </c>
      <c r="E17" s="71">
        <v>0.58333333333333337</v>
      </c>
      <c r="F17" s="72">
        <f>(E17-D17)*1440</f>
        <v>839</v>
      </c>
      <c r="G17" s="466" t="s">
        <v>445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17">
        <v>46264</v>
      </c>
      <c r="B18" s="718"/>
      <c r="C18" s="475" t="s">
        <v>171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17">
        <v>46265</v>
      </c>
      <c r="B19" s="718"/>
      <c r="C19" s="75"/>
      <c r="D19" s="71"/>
      <c r="E19" s="71"/>
      <c r="F19" s="72">
        <f t="shared" si="0"/>
        <v>0</v>
      </c>
      <c r="G19" s="476" t="s">
        <v>447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17">
        <v>46266</v>
      </c>
      <c r="B20" s="718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17">
        <v>46267</v>
      </c>
      <c r="B21" s="718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17">
        <v>46268</v>
      </c>
      <c r="B22" s="718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17">
        <v>46269</v>
      </c>
      <c r="B23" s="718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17">
        <v>46270</v>
      </c>
      <c r="B24" s="718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17">
        <v>46271</v>
      </c>
      <c r="B25" s="718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17">
        <v>46272</v>
      </c>
      <c r="B26" s="718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17">
        <v>46273</v>
      </c>
      <c r="B27" s="718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17">
        <v>46274</v>
      </c>
      <c r="B28" s="718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17">
        <v>46275</v>
      </c>
      <c r="B29" s="718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17">
        <v>46276</v>
      </c>
      <c r="B30" s="718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17">
        <v>46277</v>
      </c>
      <c r="B31" s="718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17">
        <v>46278</v>
      </c>
      <c r="B32" s="718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17">
        <v>46279</v>
      </c>
      <c r="B33" s="718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17">
        <v>46280</v>
      </c>
      <c r="B34" s="718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17">
        <v>46281</v>
      </c>
      <c r="B35" s="718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17">
        <v>46282</v>
      </c>
      <c r="B36" s="718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17">
        <v>46283</v>
      </c>
      <c r="B37" s="718"/>
      <c r="C37" s="75"/>
      <c r="D37" s="71"/>
      <c r="E37" s="71"/>
      <c r="F37" s="72"/>
      <c r="G37" s="76"/>
      <c r="J37" s="320"/>
      <c r="K37" s="77"/>
      <c r="L37" s="129"/>
      <c r="M37" s="130"/>
      <c r="N37" s="6"/>
    </row>
    <row r="38" spans="1:15" x14ac:dyDescent="0.3">
      <c r="A38" s="717">
        <v>46284</v>
      </c>
      <c r="B38" s="718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17">
        <v>46285</v>
      </c>
      <c r="B39" s="718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17">
        <v>46286</v>
      </c>
      <c r="B40" s="718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17">
        <v>46287</v>
      </c>
      <c r="B41" s="718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17">
        <v>46288</v>
      </c>
      <c r="B42" s="718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430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R65"/>
  <sheetViews>
    <sheetView zoomScale="82" zoomScaleNormal="70" workbookViewId="0">
      <pane ySplit="4" topLeftCell="A5" activePane="bottomLeft" state="frozen"/>
      <selection pane="bottomLeft" activeCell="M7" sqref="M7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52.4414062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4" width="13.44140625" style="1" bestFit="1" customWidth="1"/>
    <col min="15" max="16384" width="8.77734375" style="1"/>
  </cols>
  <sheetData>
    <row r="3" spans="1:14" ht="15" thickBot="1" x14ac:dyDescent="0.35">
      <c r="A3" s="698" t="s">
        <v>64</v>
      </c>
      <c r="B3" s="722"/>
      <c r="C3" s="722"/>
      <c r="D3" s="722"/>
      <c r="E3" s="722"/>
      <c r="F3" s="722"/>
      <c r="G3" s="699"/>
    </row>
    <row r="4" spans="1:14" ht="15" thickBot="1" x14ac:dyDescent="0.35">
      <c r="A4" s="723" t="s">
        <v>1</v>
      </c>
      <c r="B4" s="724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61" t="s">
        <v>304</v>
      </c>
    </row>
    <row r="5" spans="1:14" ht="43.2" x14ac:dyDescent="0.3">
      <c r="A5" s="726">
        <v>46265</v>
      </c>
      <c r="B5" s="718"/>
      <c r="C5" s="174" t="s">
        <v>171</v>
      </c>
      <c r="D5" s="175">
        <v>6.9444444444444447E-4</v>
      </c>
      <c r="E5" s="71">
        <v>6.5972222222222224E-2</v>
      </c>
      <c r="F5" s="72">
        <f>(E5-D5)*1440</f>
        <v>94</v>
      </c>
      <c r="G5" s="554" t="s">
        <v>461</v>
      </c>
      <c r="J5" s="73">
        <v>46265</v>
      </c>
      <c r="K5" s="6">
        <f>F5</f>
        <v>94</v>
      </c>
      <c r="L5" s="77">
        <f>(1440-K5)/60</f>
        <v>22.433333333333334</v>
      </c>
      <c r="M5" s="74">
        <f>L5/24</f>
        <v>0.93472222222222223</v>
      </c>
      <c r="N5" s="77">
        <f>K5/60</f>
        <v>1.5666666666666667</v>
      </c>
    </row>
    <row r="6" spans="1:14" ht="28.8" x14ac:dyDescent="0.3">
      <c r="A6" s="726">
        <v>46266</v>
      </c>
      <c r="B6" s="718"/>
      <c r="C6" s="179" t="s">
        <v>171</v>
      </c>
      <c r="D6" s="71">
        <v>6.9444444444444447E-4</v>
      </c>
      <c r="E6" s="71">
        <v>4.6527777777777779E-2</v>
      </c>
      <c r="F6" s="72">
        <f t="shared" ref="F6:F38" si="0">(E6-D6)*1440</f>
        <v>66</v>
      </c>
      <c r="G6" s="574" t="s">
        <v>492</v>
      </c>
      <c r="J6" s="73">
        <v>46266</v>
      </c>
      <c r="K6" s="77">
        <f>F6</f>
        <v>66</v>
      </c>
      <c r="L6" s="77">
        <f>(1440-K6)/60</f>
        <v>22.9</v>
      </c>
      <c r="M6" s="74">
        <f>L6/24</f>
        <v>0.95416666666666661</v>
      </c>
      <c r="N6" s="77">
        <f t="shared" ref="N6:N28" si="1">K6/60</f>
        <v>1.1000000000000001</v>
      </c>
    </row>
    <row r="7" spans="1:14" ht="28.8" x14ac:dyDescent="0.3">
      <c r="A7" s="726">
        <v>46267</v>
      </c>
      <c r="B7" s="718"/>
      <c r="C7" s="179" t="s">
        <v>224</v>
      </c>
      <c r="D7" s="71">
        <v>6.9444444444444447E-4</v>
      </c>
      <c r="E7" s="71">
        <v>8.4027777777777785E-2</v>
      </c>
      <c r="F7" s="72">
        <f t="shared" si="0"/>
        <v>120.00000000000001</v>
      </c>
      <c r="G7" s="574" t="s">
        <v>493</v>
      </c>
      <c r="J7" s="73">
        <v>46267</v>
      </c>
      <c r="K7" s="6">
        <f t="shared" ref="K7:K32" si="2">F7</f>
        <v>120.00000000000001</v>
      </c>
      <c r="L7" s="77">
        <f t="shared" ref="L7:L37" si="3">(1440-K7)/60</f>
        <v>22</v>
      </c>
      <c r="M7" s="74">
        <f t="shared" ref="M7:M56" si="4">L7/24</f>
        <v>0.91666666666666663</v>
      </c>
      <c r="N7" s="77">
        <f t="shared" si="1"/>
        <v>2.0000000000000004</v>
      </c>
    </row>
    <row r="8" spans="1:14" ht="28.8" x14ac:dyDescent="0.3">
      <c r="A8" s="726">
        <v>46268</v>
      </c>
      <c r="B8" s="718"/>
      <c r="C8" s="181" t="s">
        <v>171</v>
      </c>
      <c r="D8" s="71">
        <v>6.9444444444444447E-4</v>
      </c>
      <c r="E8" s="71">
        <v>0.54166666666666663</v>
      </c>
      <c r="F8" s="72">
        <f t="shared" si="0"/>
        <v>779</v>
      </c>
      <c r="G8" s="574" t="s">
        <v>483</v>
      </c>
      <c r="J8" s="73">
        <v>46268</v>
      </c>
      <c r="K8" s="6">
        <f t="shared" si="2"/>
        <v>779</v>
      </c>
      <c r="L8" s="77">
        <f t="shared" si="3"/>
        <v>11.016666666666667</v>
      </c>
      <c r="M8" s="74">
        <f t="shared" si="4"/>
        <v>0.45902777777777781</v>
      </c>
      <c r="N8" s="77">
        <f t="shared" si="1"/>
        <v>12.983333333333333</v>
      </c>
    </row>
    <row r="9" spans="1:14" x14ac:dyDescent="0.3">
      <c r="A9" s="726">
        <v>46269</v>
      </c>
      <c r="B9" s="718"/>
      <c r="C9" s="191" t="s">
        <v>224</v>
      </c>
      <c r="D9" s="189">
        <v>6.9444444444444447E-4</v>
      </c>
      <c r="E9" s="71">
        <v>0.99930555555555556</v>
      </c>
      <c r="F9" s="72">
        <f t="shared" si="0"/>
        <v>1438</v>
      </c>
      <c r="G9" s="573" t="s">
        <v>491</v>
      </c>
      <c r="J9" s="73">
        <v>46269</v>
      </c>
      <c r="K9" s="6">
        <f t="shared" si="2"/>
        <v>1438</v>
      </c>
      <c r="L9" s="77">
        <f t="shared" si="3"/>
        <v>3.3333333333333333E-2</v>
      </c>
      <c r="M9" s="74">
        <f t="shared" si="4"/>
        <v>1.3888888888888889E-3</v>
      </c>
      <c r="N9" s="77">
        <f t="shared" si="1"/>
        <v>23.966666666666665</v>
      </c>
    </row>
    <row r="10" spans="1:14" x14ac:dyDescent="0.3">
      <c r="A10" s="726">
        <v>46270</v>
      </c>
      <c r="B10" s="718"/>
      <c r="C10" s="196" t="s">
        <v>171</v>
      </c>
      <c r="D10" s="71"/>
      <c r="E10" s="71"/>
      <c r="F10" s="72">
        <f t="shared" si="0"/>
        <v>0</v>
      </c>
      <c r="G10" s="222"/>
      <c r="J10" s="73">
        <v>46270</v>
      </c>
      <c r="K10" s="6">
        <f t="shared" si="2"/>
        <v>0</v>
      </c>
      <c r="L10" s="77">
        <f t="shared" si="3"/>
        <v>24</v>
      </c>
      <c r="M10" s="74">
        <f t="shared" si="4"/>
        <v>1</v>
      </c>
      <c r="N10" s="77">
        <f t="shared" si="1"/>
        <v>0</v>
      </c>
    </row>
    <row r="11" spans="1:14" x14ac:dyDescent="0.3">
      <c r="A11" s="726">
        <v>46271</v>
      </c>
      <c r="B11" s="718"/>
      <c r="C11" s="221" t="s">
        <v>171</v>
      </c>
      <c r="D11" s="71"/>
      <c r="E11" s="71"/>
      <c r="F11" s="72">
        <f t="shared" si="0"/>
        <v>0</v>
      </c>
      <c r="G11" s="222"/>
      <c r="J11" s="73">
        <v>46271</v>
      </c>
      <c r="K11" s="6">
        <f t="shared" si="2"/>
        <v>0</v>
      </c>
      <c r="L11" s="77">
        <f t="shared" si="3"/>
        <v>24</v>
      </c>
      <c r="M11" s="74">
        <f t="shared" si="4"/>
        <v>1</v>
      </c>
      <c r="N11" s="77">
        <f t="shared" si="1"/>
        <v>0</v>
      </c>
    </row>
    <row r="12" spans="1:14" x14ac:dyDescent="0.3">
      <c r="A12" s="726">
        <v>46272</v>
      </c>
      <c r="B12" s="718"/>
      <c r="C12" s="259" t="s">
        <v>171</v>
      </c>
      <c r="D12" s="71"/>
      <c r="E12" s="71"/>
      <c r="F12" s="72">
        <f t="shared" si="0"/>
        <v>0</v>
      </c>
      <c r="G12" s="222"/>
      <c r="J12" s="73">
        <v>46272</v>
      </c>
      <c r="K12" s="6">
        <f t="shared" si="2"/>
        <v>0</v>
      </c>
      <c r="L12" s="77">
        <f t="shared" si="3"/>
        <v>24</v>
      </c>
      <c r="M12" s="74">
        <f t="shared" si="4"/>
        <v>1</v>
      </c>
      <c r="N12" s="77">
        <f t="shared" si="1"/>
        <v>0</v>
      </c>
    </row>
    <row r="13" spans="1:14" x14ac:dyDescent="0.3">
      <c r="A13" s="726">
        <v>46273</v>
      </c>
      <c r="B13" s="718"/>
      <c r="C13" s="259" t="s">
        <v>171</v>
      </c>
      <c r="D13" s="71"/>
      <c r="E13" s="71"/>
      <c r="F13" s="72">
        <f t="shared" si="0"/>
        <v>0</v>
      </c>
      <c r="G13" s="222"/>
      <c r="J13" s="73">
        <v>46273</v>
      </c>
      <c r="K13" s="6">
        <f t="shared" si="2"/>
        <v>0</v>
      </c>
      <c r="L13" s="77">
        <f t="shared" si="3"/>
        <v>24</v>
      </c>
      <c r="M13" s="74">
        <f t="shared" si="4"/>
        <v>1</v>
      </c>
      <c r="N13" s="77">
        <f t="shared" si="1"/>
        <v>0</v>
      </c>
    </row>
    <row r="14" spans="1:14" x14ac:dyDescent="0.3">
      <c r="A14" s="726">
        <v>46274</v>
      </c>
      <c r="B14" s="718"/>
      <c r="C14" s="259" t="s">
        <v>171</v>
      </c>
      <c r="D14" s="71"/>
      <c r="E14" s="71"/>
      <c r="F14" s="72">
        <f t="shared" si="0"/>
        <v>0</v>
      </c>
      <c r="G14" s="260"/>
      <c r="J14" s="73">
        <v>46274</v>
      </c>
      <c r="K14" s="77">
        <f t="shared" si="2"/>
        <v>0</v>
      </c>
      <c r="L14" s="77">
        <f t="shared" si="3"/>
        <v>24</v>
      </c>
      <c r="M14" s="74">
        <f t="shared" si="4"/>
        <v>1</v>
      </c>
      <c r="N14" s="77">
        <f t="shared" si="1"/>
        <v>0</v>
      </c>
    </row>
    <row r="15" spans="1:14" x14ac:dyDescent="0.3">
      <c r="A15" s="726">
        <v>46275</v>
      </c>
      <c r="B15" s="718"/>
      <c r="C15" s="259" t="s">
        <v>171</v>
      </c>
      <c r="D15" s="71"/>
      <c r="E15" s="71"/>
      <c r="F15" s="72">
        <f>(E15-D15)*1440</f>
        <v>0</v>
      </c>
      <c r="G15" s="277"/>
      <c r="J15" s="73">
        <v>46275</v>
      </c>
      <c r="K15" s="77">
        <f t="shared" si="2"/>
        <v>0</v>
      </c>
      <c r="L15" s="77">
        <f t="shared" si="3"/>
        <v>24</v>
      </c>
      <c r="M15" s="74">
        <f t="shared" si="4"/>
        <v>1</v>
      </c>
      <c r="N15" s="77">
        <f t="shared" si="1"/>
        <v>0</v>
      </c>
    </row>
    <row r="16" spans="1:14" x14ac:dyDescent="0.3">
      <c r="A16" s="726">
        <v>46276</v>
      </c>
      <c r="B16" s="718"/>
      <c r="C16" s="276" t="s">
        <v>171</v>
      </c>
      <c r="D16" s="71"/>
      <c r="E16" s="71"/>
      <c r="F16" s="72">
        <f t="shared" si="0"/>
        <v>0</v>
      </c>
      <c r="G16" s="277"/>
      <c r="J16" s="73">
        <v>46276</v>
      </c>
      <c r="K16" s="6">
        <f t="shared" si="2"/>
        <v>0</v>
      </c>
      <c r="L16" s="77">
        <f t="shared" si="3"/>
        <v>24</v>
      </c>
      <c r="M16" s="74">
        <f t="shared" si="4"/>
        <v>1</v>
      </c>
      <c r="N16" s="77">
        <f t="shared" si="1"/>
        <v>0</v>
      </c>
    </row>
    <row r="17" spans="1:18" x14ac:dyDescent="0.3">
      <c r="A17" s="726">
        <v>46277</v>
      </c>
      <c r="B17" s="718"/>
      <c r="C17" s="276" t="s">
        <v>171</v>
      </c>
      <c r="D17" s="71"/>
      <c r="E17" s="71"/>
      <c r="F17" s="72">
        <f t="shared" si="0"/>
        <v>0</v>
      </c>
      <c r="G17" s="279"/>
      <c r="J17" s="73">
        <v>46277</v>
      </c>
      <c r="K17" s="6">
        <f t="shared" si="2"/>
        <v>0</v>
      </c>
      <c r="L17" s="77">
        <f t="shared" si="3"/>
        <v>24</v>
      </c>
      <c r="M17" s="74">
        <f t="shared" si="4"/>
        <v>1</v>
      </c>
      <c r="N17" s="77">
        <f t="shared" si="1"/>
        <v>0</v>
      </c>
    </row>
    <row r="18" spans="1:18" x14ac:dyDescent="0.3">
      <c r="A18" s="726">
        <v>46278</v>
      </c>
      <c r="B18" s="718"/>
      <c r="C18" s="276" t="s">
        <v>171</v>
      </c>
      <c r="D18" s="71"/>
      <c r="E18" s="71"/>
      <c r="F18" s="72">
        <f t="shared" si="0"/>
        <v>0</v>
      </c>
      <c r="G18" s="281"/>
      <c r="J18" s="73">
        <v>46278</v>
      </c>
      <c r="K18" s="6">
        <f t="shared" si="2"/>
        <v>0</v>
      </c>
      <c r="L18" s="6">
        <f t="shared" si="3"/>
        <v>24</v>
      </c>
      <c r="M18" s="74">
        <f t="shared" si="4"/>
        <v>1</v>
      </c>
      <c r="N18" s="77">
        <f t="shared" si="1"/>
        <v>0</v>
      </c>
    </row>
    <row r="19" spans="1:18" x14ac:dyDescent="0.3">
      <c r="A19" s="726">
        <v>46279</v>
      </c>
      <c r="B19" s="718"/>
      <c r="C19" s="282" t="s">
        <v>171</v>
      </c>
      <c r="D19" s="71"/>
      <c r="E19" s="71"/>
      <c r="F19" s="72">
        <f t="shared" si="0"/>
        <v>0</v>
      </c>
      <c r="G19" s="283"/>
      <c r="J19" s="73">
        <v>46279</v>
      </c>
      <c r="K19" s="6">
        <f t="shared" si="2"/>
        <v>0</v>
      </c>
      <c r="L19" s="6">
        <f t="shared" si="3"/>
        <v>24</v>
      </c>
      <c r="M19" s="74">
        <f t="shared" si="4"/>
        <v>1</v>
      </c>
      <c r="N19" s="77">
        <f t="shared" si="1"/>
        <v>0</v>
      </c>
    </row>
    <row r="20" spans="1:18" x14ac:dyDescent="0.3">
      <c r="A20" s="726">
        <v>46280</v>
      </c>
      <c r="B20" s="718"/>
      <c r="C20" s="287" t="s">
        <v>171</v>
      </c>
      <c r="D20" s="71"/>
      <c r="E20" s="71"/>
      <c r="F20" s="72">
        <f t="shared" si="0"/>
        <v>0</v>
      </c>
      <c r="G20" s="288"/>
      <c r="J20" s="73">
        <v>46280</v>
      </c>
      <c r="K20" s="6">
        <f t="shared" si="2"/>
        <v>0</v>
      </c>
      <c r="L20" s="77">
        <f t="shared" si="3"/>
        <v>24</v>
      </c>
      <c r="M20" s="74">
        <f t="shared" si="4"/>
        <v>1</v>
      </c>
      <c r="N20" s="77">
        <f>K20/60</f>
        <v>0</v>
      </c>
    </row>
    <row r="21" spans="1:18" x14ac:dyDescent="0.3">
      <c r="A21" s="726">
        <v>46281</v>
      </c>
      <c r="B21" s="718"/>
      <c r="C21" s="289" t="s">
        <v>171</v>
      </c>
      <c r="D21" s="71"/>
      <c r="E21" s="71"/>
      <c r="F21" s="72">
        <f t="shared" si="0"/>
        <v>0</v>
      </c>
      <c r="G21" s="290"/>
      <c r="J21" s="73">
        <v>46281</v>
      </c>
      <c r="K21" s="77">
        <f t="shared" si="2"/>
        <v>0</v>
      </c>
      <c r="L21" s="77">
        <f t="shared" si="3"/>
        <v>24</v>
      </c>
      <c r="M21" s="74">
        <f t="shared" si="4"/>
        <v>1</v>
      </c>
      <c r="N21" s="77">
        <f t="shared" si="1"/>
        <v>0</v>
      </c>
    </row>
    <row r="22" spans="1:18" x14ac:dyDescent="0.3">
      <c r="A22" s="726">
        <v>46282</v>
      </c>
      <c r="B22" s="718"/>
      <c r="C22" s="293" t="s">
        <v>171</v>
      </c>
      <c r="D22" s="71"/>
      <c r="E22" s="71"/>
      <c r="F22" s="72">
        <f t="shared" si="0"/>
        <v>0</v>
      </c>
      <c r="G22" s="319"/>
      <c r="J22" s="73">
        <v>46282</v>
      </c>
      <c r="K22" s="6">
        <f t="shared" si="2"/>
        <v>0</v>
      </c>
      <c r="L22" s="77">
        <f t="shared" si="3"/>
        <v>24</v>
      </c>
      <c r="M22" s="74">
        <f t="shared" si="4"/>
        <v>1</v>
      </c>
      <c r="N22" s="77">
        <f t="shared" si="1"/>
        <v>0</v>
      </c>
    </row>
    <row r="23" spans="1:18" x14ac:dyDescent="0.3">
      <c r="A23" s="726">
        <v>46283</v>
      </c>
      <c r="B23" s="718"/>
      <c r="C23" s="293" t="s">
        <v>171</v>
      </c>
      <c r="D23" s="71"/>
      <c r="E23" s="71"/>
      <c r="F23" s="72">
        <f t="shared" si="0"/>
        <v>0</v>
      </c>
      <c r="G23" s="319"/>
      <c r="J23" s="73">
        <v>46283</v>
      </c>
      <c r="K23" s="6">
        <f t="shared" si="2"/>
        <v>0</v>
      </c>
      <c r="L23" s="77">
        <f t="shared" si="3"/>
        <v>24</v>
      </c>
      <c r="M23" s="74">
        <f t="shared" si="4"/>
        <v>1</v>
      </c>
      <c r="N23" s="77">
        <f t="shared" si="1"/>
        <v>0</v>
      </c>
    </row>
    <row r="24" spans="1:18" x14ac:dyDescent="0.3">
      <c r="A24" s="726">
        <v>46284</v>
      </c>
      <c r="B24" s="718"/>
      <c r="C24" s="303" t="s">
        <v>171</v>
      </c>
      <c r="D24" s="71"/>
      <c r="E24" s="71"/>
      <c r="F24" s="72">
        <f t="shared" si="0"/>
        <v>0</v>
      </c>
      <c r="G24" s="304"/>
      <c r="J24" s="73">
        <v>46284</v>
      </c>
      <c r="K24" s="6">
        <f t="shared" si="2"/>
        <v>0</v>
      </c>
      <c r="L24" s="77">
        <f t="shared" si="3"/>
        <v>24</v>
      </c>
      <c r="M24" s="74">
        <f t="shared" si="4"/>
        <v>1</v>
      </c>
      <c r="N24" s="77">
        <f t="shared" si="1"/>
        <v>0</v>
      </c>
    </row>
    <row r="25" spans="1:18" x14ac:dyDescent="0.3">
      <c r="A25" s="726">
        <v>46285</v>
      </c>
      <c r="B25" s="718"/>
      <c r="C25" s="307" t="s">
        <v>171</v>
      </c>
      <c r="D25" s="71"/>
      <c r="E25" s="71"/>
      <c r="F25" s="72">
        <f t="shared" si="0"/>
        <v>0</v>
      </c>
      <c r="G25" s="319"/>
      <c r="J25" s="73">
        <v>46285</v>
      </c>
      <c r="K25" s="6">
        <f t="shared" si="2"/>
        <v>0</v>
      </c>
      <c r="L25" s="77">
        <f t="shared" si="3"/>
        <v>24</v>
      </c>
      <c r="M25" s="74">
        <f t="shared" si="4"/>
        <v>1</v>
      </c>
      <c r="N25" s="77">
        <f t="shared" si="1"/>
        <v>0</v>
      </c>
    </row>
    <row r="26" spans="1:18" x14ac:dyDescent="0.3">
      <c r="A26" s="726">
        <v>46286</v>
      </c>
      <c r="B26" s="718"/>
      <c r="C26" s="309" t="s">
        <v>171</v>
      </c>
      <c r="D26" s="71"/>
      <c r="E26" s="71"/>
      <c r="F26" s="72">
        <f t="shared" si="0"/>
        <v>0</v>
      </c>
      <c r="G26" s="310"/>
      <c r="J26" s="73">
        <v>46286</v>
      </c>
      <c r="K26" s="6">
        <f t="shared" si="2"/>
        <v>0</v>
      </c>
      <c r="L26" s="77">
        <f t="shared" si="3"/>
        <v>24</v>
      </c>
      <c r="M26" s="74">
        <f t="shared" si="4"/>
        <v>1</v>
      </c>
      <c r="N26" s="77">
        <f t="shared" si="1"/>
        <v>0</v>
      </c>
    </row>
    <row r="27" spans="1:18" x14ac:dyDescent="0.3">
      <c r="A27" s="726">
        <v>46287</v>
      </c>
      <c r="B27" s="718"/>
      <c r="C27" s="311" t="s">
        <v>171</v>
      </c>
      <c r="D27" s="71"/>
      <c r="E27" s="71"/>
      <c r="F27" s="72">
        <f t="shared" si="0"/>
        <v>0</v>
      </c>
      <c r="G27" s="312"/>
      <c r="J27" s="73">
        <v>46287</v>
      </c>
      <c r="K27" s="6">
        <f t="shared" si="2"/>
        <v>0</v>
      </c>
      <c r="L27" s="77">
        <f t="shared" si="3"/>
        <v>24</v>
      </c>
      <c r="M27" s="74">
        <f t="shared" si="4"/>
        <v>1</v>
      </c>
      <c r="N27" s="77">
        <f t="shared" si="1"/>
        <v>0</v>
      </c>
    </row>
    <row r="28" spans="1:18" x14ac:dyDescent="0.3">
      <c r="A28" s="726">
        <v>46288</v>
      </c>
      <c r="B28" s="718"/>
      <c r="C28" s="75"/>
      <c r="D28" s="71"/>
      <c r="E28" s="71"/>
      <c r="F28" s="72">
        <f t="shared" si="0"/>
        <v>0</v>
      </c>
      <c r="G28" s="76"/>
      <c r="J28" s="73">
        <v>46288</v>
      </c>
      <c r="K28" s="6">
        <f t="shared" si="2"/>
        <v>0</v>
      </c>
      <c r="L28" s="6">
        <f t="shared" si="3"/>
        <v>24</v>
      </c>
      <c r="M28" s="74">
        <f t="shared" si="4"/>
        <v>1</v>
      </c>
      <c r="N28" s="77">
        <f t="shared" si="1"/>
        <v>0</v>
      </c>
    </row>
    <row r="29" spans="1:18" x14ac:dyDescent="0.3">
      <c r="A29" s="726">
        <v>46289</v>
      </c>
      <c r="B29" s="718"/>
      <c r="C29" s="75"/>
      <c r="D29" s="71"/>
      <c r="E29" s="71"/>
      <c r="F29" s="72">
        <f t="shared" si="0"/>
        <v>0</v>
      </c>
      <c r="G29" s="76"/>
      <c r="J29" s="73">
        <v>46289</v>
      </c>
      <c r="K29" s="6">
        <f t="shared" si="2"/>
        <v>0</v>
      </c>
      <c r="L29" s="6">
        <f t="shared" si="3"/>
        <v>24</v>
      </c>
      <c r="M29" s="74">
        <f t="shared" si="4"/>
        <v>1</v>
      </c>
      <c r="N29" s="6"/>
    </row>
    <row r="30" spans="1:18" x14ac:dyDescent="0.3">
      <c r="A30" s="726">
        <v>46290</v>
      </c>
      <c r="B30" s="718"/>
      <c r="C30" s="75"/>
      <c r="D30" s="78"/>
      <c r="E30" s="78"/>
      <c r="F30" s="72">
        <f t="shared" si="0"/>
        <v>0</v>
      </c>
      <c r="G30" s="76"/>
      <c r="J30" s="73">
        <v>46290</v>
      </c>
      <c r="K30" s="77">
        <f t="shared" si="2"/>
        <v>0</v>
      </c>
      <c r="L30" s="6">
        <f>(1440-K30)/60</f>
        <v>24</v>
      </c>
      <c r="M30" s="74">
        <f t="shared" si="4"/>
        <v>1</v>
      </c>
      <c r="N30" s="6"/>
    </row>
    <row r="31" spans="1:18" x14ac:dyDescent="0.3">
      <c r="A31" s="726">
        <v>46291</v>
      </c>
      <c r="B31" s="718"/>
      <c r="C31" s="75"/>
      <c r="D31" s="78"/>
      <c r="E31" s="78"/>
      <c r="F31" s="72">
        <f t="shared" si="0"/>
        <v>0</v>
      </c>
      <c r="G31" s="76"/>
      <c r="J31" s="73">
        <v>46291</v>
      </c>
      <c r="K31" s="77">
        <f t="shared" si="2"/>
        <v>0</v>
      </c>
      <c r="L31" s="6">
        <f>(1440-K31)/60</f>
        <v>24</v>
      </c>
      <c r="M31" s="74">
        <f t="shared" si="4"/>
        <v>1</v>
      </c>
      <c r="N31" s="6"/>
      <c r="R31" s="38"/>
    </row>
    <row r="32" spans="1:18" x14ac:dyDescent="0.3">
      <c r="A32" s="726">
        <v>46292</v>
      </c>
      <c r="B32" s="718"/>
      <c r="C32" s="75"/>
      <c r="D32" s="78"/>
      <c r="E32" s="78"/>
      <c r="F32" s="72">
        <f t="shared" si="0"/>
        <v>0</v>
      </c>
      <c r="G32" s="76"/>
      <c r="J32" s="73">
        <v>46292</v>
      </c>
      <c r="K32" s="6">
        <f t="shared" si="2"/>
        <v>0</v>
      </c>
      <c r="L32" s="6">
        <f t="shared" si="3"/>
        <v>24</v>
      </c>
      <c r="M32" s="74">
        <f t="shared" si="4"/>
        <v>1</v>
      </c>
      <c r="N32" s="6"/>
    </row>
    <row r="33" spans="1:18" x14ac:dyDescent="0.3">
      <c r="A33" s="726">
        <v>46293</v>
      </c>
      <c r="B33" s="718"/>
      <c r="C33" s="75"/>
      <c r="D33" s="78"/>
      <c r="E33" s="78"/>
      <c r="F33" s="72">
        <f t="shared" si="0"/>
        <v>0</v>
      </c>
      <c r="G33" s="76"/>
      <c r="J33" s="73">
        <v>46293</v>
      </c>
      <c r="K33" s="77">
        <f>SUM(F33:F35)</f>
        <v>0</v>
      </c>
      <c r="L33" s="77">
        <f t="shared" si="3"/>
        <v>24</v>
      </c>
      <c r="M33" s="74">
        <f t="shared" si="4"/>
        <v>1</v>
      </c>
      <c r="N33" s="6"/>
    </row>
    <row r="34" spans="1:18" x14ac:dyDescent="0.3">
      <c r="A34" s="726">
        <v>46294</v>
      </c>
      <c r="B34" s="718"/>
      <c r="C34" s="75"/>
      <c r="D34" s="78"/>
      <c r="E34" s="78"/>
      <c r="F34" s="72">
        <f t="shared" si="0"/>
        <v>0</v>
      </c>
      <c r="G34" s="76"/>
      <c r="J34" s="73">
        <v>46294</v>
      </c>
      <c r="K34" s="77">
        <f>SUM(F36:F38)</f>
        <v>0</v>
      </c>
      <c r="L34" s="77">
        <f>(1440-K34)/60</f>
        <v>24</v>
      </c>
      <c r="M34" s="74">
        <f t="shared" si="4"/>
        <v>1</v>
      </c>
      <c r="N34" s="6"/>
    </row>
    <row r="35" spans="1:18" x14ac:dyDescent="0.3">
      <c r="A35" s="726">
        <v>46295</v>
      </c>
      <c r="B35" s="718"/>
      <c r="C35" s="75"/>
      <c r="D35" s="78"/>
      <c r="E35" s="78"/>
      <c r="F35" s="72">
        <f t="shared" si="0"/>
        <v>0</v>
      </c>
      <c r="G35" s="76"/>
      <c r="J35" s="73">
        <v>46295</v>
      </c>
      <c r="K35" s="6"/>
      <c r="L35" s="6"/>
      <c r="M35" s="74">
        <f t="shared" si="4"/>
        <v>0</v>
      </c>
      <c r="N35" s="6"/>
    </row>
    <row r="36" spans="1:18" x14ac:dyDescent="0.3">
      <c r="A36" s="726">
        <v>46296</v>
      </c>
      <c r="B36" s="718"/>
      <c r="C36" s="75"/>
      <c r="D36" s="78"/>
      <c r="E36" s="78"/>
      <c r="F36" s="72">
        <f t="shared" si="0"/>
        <v>0</v>
      </c>
      <c r="G36" s="76"/>
      <c r="J36" s="73">
        <v>46296</v>
      </c>
      <c r="K36" s="77">
        <f>SUM(F40:F41)</f>
        <v>0</v>
      </c>
      <c r="L36" s="6">
        <f t="shared" si="3"/>
        <v>24</v>
      </c>
      <c r="M36" s="74">
        <f t="shared" si="4"/>
        <v>1</v>
      </c>
      <c r="N36" s="6"/>
    </row>
    <row r="37" spans="1:18" x14ac:dyDescent="0.3">
      <c r="A37" s="726">
        <v>46297</v>
      </c>
      <c r="B37" s="718"/>
      <c r="C37" s="75"/>
      <c r="D37" s="78"/>
      <c r="E37" s="78"/>
      <c r="F37" s="72">
        <f t="shared" si="0"/>
        <v>0</v>
      </c>
      <c r="G37" s="76"/>
      <c r="J37" s="73">
        <v>46297</v>
      </c>
      <c r="K37" s="77">
        <f>SUM(F42:F44)</f>
        <v>0</v>
      </c>
      <c r="L37" s="77">
        <f t="shared" si="3"/>
        <v>24</v>
      </c>
      <c r="M37" s="74">
        <f t="shared" si="4"/>
        <v>1</v>
      </c>
      <c r="N37" s="6"/>
    </row>
    <row r="38" spans="1:18" x14ac:dyDescent="0.3">
      <c r="A38" s="726">
        <v>46298</v>
      </c>
      <c r="B38" s="718"/>
      <c r="C38" s="75"/>
      <c r="D38" s="78"/>
      <c r="E38" s="78"/>
      <c r="F38" s="72">
        <f t="shared" si="0"/>
        <v>0</v>
      </c>
      <c r="G38" s="76"/>
      <c r="J38" s="73">
        <v>46298</v>
      </c>
      <c r="K38" s="77">
        <f>SUM(F45:F47)</f>
        <v>0</v>
      </c>
      <c r="L38" s="77">
        <f>(1440-K38)/60</f>
        <v>24</v>
      </c>
      <c r="M38" s="74">
        <f t="shared" si="4"/>
        <v>1</v>
      </c>
      <c r="N38" s="6"/>
    </row>
    <row r="39" spans="1:18" x14ac:dyDescent="0.3">
      <c r="A39" s="726">
        <v>46299</v>
      </c>
      <c r="B39" s="718"/>
      <c r="C39" s="75"/>
      <c r="D39" s="78"/>
      <c r="E39" s="78"/>
      <c r="F39" s="72">
        <f t="shared" ref="F39:F40" si="5">(E39-D39)*1440</f>
        <v>0</v>
      </c>
      <c r="G39" s="76"/>
      <c r="J39" s="73">
        <v>46299</v>
      </c>
      <c r="K39" s="77">
        <f>SUM(F48:F49)</f>
        <v>0</v>
      </c>
      <c r="L39" s="77">
        <f>(1440-K39)/60</f>
        <v>24</v>
      </c>
      <c r="M39" s="74">
        <f t="shared" si="4"/>
        <v>1</v>
      </c>
      <c r="N39" s="6"/>
    </row>
    <row r="40" spans="1:18" x14ac:dyDescent="0.3">
      <c r="A40" s="726">
        <v>46300</v>
      </c>
      <c r="B40" s="718"/>
      <c r="C40" s="75"/>
      <c r="D40" s="78"/>
      <c r="E40" s="78"/>
      <c r="F40" s="72">
        <f t="shared" si="5"/>
        <v>0</v>
      </c>
      <c r="G40" s="76"/>
      <c r="J40" s="73">
        <v>46300</v>
      </c>
      <c r="K40" s="77">
        <f>SUM(F50:F53)</f>
        <v>0</v>
      </c>
      <c r="L40" s="77">
        <f>(1440-K40)/60</f>
        <v>24</v>
      </c>
      <c r="M40" s="74">
        <f t="shared" si="4"/>
        <v>1</v>
      </c>
      <c r="N40" s="6"/>
    </row>
    <row r="41" spans="1:18" x14ac:dyDescent="0.3">
      <c r="A41" s="726">
        <v>46301</v>
      </c>
      <c r="B41" s="718"/>
      <c r="C41" s="75"/>
      <c r="D41" s="78"/>
      <c r="E41" s="78"/>
      <c r="F41" s="72">
        <f t="shared" ref="F41" si="6">(E41-D41)*1440</f>
        <v>0</v>
      </c>
      <c r="G41" s="76"/>
      <c r="J41" s="73">
        <v>46301</v>
      </c>
      <c r="K41" s="77">
        <f>SUM(F54:F56)</f>
        <v>0</v>
      </c>
      <c r="L41" s="77">
        <f>(1440-K41)/60</f>
        <v>24</v>
      </c>
      <c r="M41" s="74">
        <f t="shared" si="4"/>
        <v>1</v>
      </c>
      <c r="N41" s="6"/>
    </row>
    <row r="42" spans="1:18" ht="13.5" customHeight="1" x14ac:dyDescent="0.3">
      <c r="A42" s="726">
        <v>46302</v>
      </c>
      <c r="B42" s="718"/>
      <c r="C42" s="75"/>
      <c r="D42" s="78"/>
      <c r="E42" s="78"/>
      <c r="F42" s="72">
        <f t="shared" ref="F42:F44" si="7">(E42-D42)*1440</f>
        <v>0</v>
      </c>
      <c r="G42" s="76"/>
      <c r="J42" s="73">
        <v>46302</v>
      </c>
      <c r="K42" s="77"/>
      <c r="L42" s="77"/>
      <c r="M42" s="74">
        <f t="shared" si="4"/>
        <v>0</v>
      </c>
      <c r="N42" s="6"/>
    </row>
    <row r="43" spans="1:18" ht="13.5" customHeight="1" x14ac:dyDescent="0.3">
      <c r="A43" s="726">
        <v>46303</v>
      </c>
      <c r="B43" s="718"/>
      <c r="C43" s="75"/>
      <c r="D43" s="78"/>
      <c r="E43" s="78"/>
      <c r="F43" s="72">
        <f t="shared" si="7"/>
        <v>0</v>
      </c>
      <c r="G43" s="76"/>
      <c r="J43" s="73">
        <v>46303</v>
      </c>
      <c r="K43" s="77"/>
      <c r="L43" s="77"/>
      <c r="M43" s="74">
        <f t="shared" si="4"/>
        <v>0</v>
      </c>
      <c r="N43" s="6"/>
    </row>
    <row r="44" spans="1:18" x14ac:dyDescent="0.3">
      <c r="A44" s="726">
        <v>46304</v>
      </c>
      <c r="B44" s="718"/>
      <c r="C44" s="75"/>
      <c r="D44" s="78"/>
      <c r="E44" s="78"/>
      <c r="F44" s="72">
        <f t="shared" si="7"/>
        <v>0</v>
      </c>
      <c r="G44" s="76"/>
      <c r="J44" s="73">
        <v>46304</v>
      </c>
      <c r="K44" s="77"/>
      <c r="L44" s="77"/>
      <c r="M44" s="74">
        <f t="shared" si="4"/>
        <v>0</v>
      </c>
      <c r="N44" s="6"/>
      <c r="R44" s="1">
        <f>6.4+12</f>
        <v>18.399999999999999</v>
      </c>
    </row>
    <row r="45" spans="1:18" x14ac:dyDescent="0.3">
      <c r="A45" s="726">
        <v>46305</v>
      </c>
      <c r="B45" s="718"/>
      <c r="C45" s="75"/>
      <c r="D45" s="78"/>
      <c r="E45" s="78"/>
      <c r="F45" s="72">
        <f>(E45-D45)*1440</f>
        <v>0</v>
      </c>
      <c r="G45" s="76"/>
      <c r="J45" s="73">
        <v>46305</v>
      </c>
      <c r="K45" s="77"/>
      <c r="L45" s="77"/>
      <c r="M45" s="74">
        <f t="shared" si="4"/>
        <v>0</v>
      </c>
      <c r="N45" s="6"/>
    </row>
    <row r="46" spans="1:18" x14ac:dyDescent="0.3">
      <c r="A46" s="726">
        <v>46306</v>
      </c>
      <c r="B46" s="718"/>
      <c r="C46" s="75"/>
      <c r="D46" s="78"/>
      <c r="E46" s="78"/>
      <c r="F46" s="72">
        <f t="shared" ref="F46:F50" si="8">(E46-D46)*1440</f>
        <v>0</v>
      </c>
      <c r="G46" s="76"/>
      <c r="J46" s="73">
        <v>46306</v>
      </c>
      <c r="K46" s="77"/>
      <c r="L46" s="77"/>
      <c r="M46" s="74">
        <f t="shared" si="4"/>
        <v>0</v>
      </c>
      <c r="N46" s="6"/>
    </row>
    <row r="47" spans="1:18" x14ac:dyDescent="0.3">
      <c r="A47" s="726">
        <v>46307</v>
      </c>
      <c r="B47" s="718"/>
      <c r="C47" s="75"/>
      <c r="D47" s="78"/>
      <c r="E47" s="78"/>
      <c r="F47" s="72">
        <f t="shared" si="8"/>
        <v>0</v>
      </c>
      <c r="G47" s="76"/>
      <c r="J47" s="73">
        <v>46307</v>
      </c>
      <c r="K47" s="77"/>
      <c r="L47" s="77"/>
      <c r="M47" s="74">
        <f t="shared" si="4"/>
        <v>0</v>
      </c>
      <c r="N47" s="6"/>
    </row>
    <row r="48" spans="1:18" x14ac:dyDescent="0.3">
      <c r="A48" s="726">
        <v>46308</v>
      </c>
      <c r="B48" s="718"/>
      <c r="C48" s="75"/>
      <c r="D48" s="78"/>
      <c r="E48" s="78"/>
      <c r="F48" s="72">
        <f t="shared" si="8"/>
        <v>0</v>
      </c>
      <c r="G48" s="76"/>
      <c r="J48" s="73">
        <v>46308</v>
      </c>
      <c r="K48" s="77"/>
      <c r="L48" s="77"/>
      <c r="M48" s="74">
        <f t="shared" si="4"/>
        <v>0</v>
      </c>
      <c r="N48" s="6"/>
    </row>
    <row r="49" spans="1:18" x14ac:dyDescent="0.3">
      <c r="A49" s="726">
        <v>46309</v>
      </c>
      <c r="B49" s="718"/>
      <c r="C49" s="75"/>
      <c r="D49" s="78"/>
      <c r="E49" s="78"/>
      <c r="F49" s="72">
        <f t="shared" si="8"/>
        <v>0</v>
      </c>
      <c r="G49" s="76"/>
      <c r="J49" s="73">
        <v>46309</v>
      </c>
      <c r="K49" s="77"/>
      <c r="L49" s="77"/>
      <c r="M49" s="74">
        <f t="shared" si="4"/>
        <v>0</v>
      </c>
      <c r="N49" s="6"/>
      <c r="R49" s="1">
        <f>8*24</f>
        <v>192</v>
      </c>
    </row>
    <row r="50" spans="1:18" x14ac:dyDescent="0.3">
      <c r="A50" s="726">
        <v>46310</v>
      </c>
      <c r="B50" s="718"/>
      <c r="C50" s="75"/>
      <c r="D50" s="78"/>
      <c r="E50" s="78"/>
      <c r="F50" s="72">
        <f t="shared" si="8"/>
        <v>0</v>
      </c>
      <c r="G50" s="76"/>
      <c r="J50" s="73">
        <v>46310</v>
      </c>
      <c r="K50" s="77"/>
      <c r="L50" s="77"/>
      <c r="M50" s="74">
        <f t="shared" si="4"/>
        <v>0</v>
      </c>
      <c r="N50" s="6"/>
    </row>
    <row r="51" spans="1:18" x14ac:dyDescent="0.3">
      <c r="A51" s="726">
        <v>46311</v>
      </c>
      <c r="B51" s="718"/>
      <c r="C51" s="75"/>
      <c r="D51" s="78"/>
      <c r="E51" s="78"/>
      <c r="F51" s="72">
        <f t="shared" ref="F51:F62" si="9">(E51-D51)*1440</f>
        <v>0</v>
      </c>
      <c r="G51" s="76"/>
      <c r="J51" s="73">
        <v>46311</v>
      </c>
      <c r="K51" s="77"/>
      <c r="L51" s="77"/>
      <c r="M51" s="74">
        <f t="shared" si="4"/>
        <v>0</v>
      </c>
      <c r="N51" s="6"/>
    </row>
    <row r="52" spans="1:18" x14ac:dyDescent="0.3">
      <c r="A52" s="726">
        <v>46312</v>
      </c>
      <c r="B52" s="718"/>
      <c r="C52" s="75"/>
      <c r="D52" s="78"/>
      <c r="E52" s="78"/>
      <c r="F52" s="72">
        <f t="shared" si="9"/>
        <v>0</v>
      </c>
      <c r="G52" s="76"/>
      <c r="J52" s="73">
        <v>46312</v>
      </c>
      <c r="K52" s="77"/>
      <c r="L52" s="77"/>
      <c r="M52" s="74">
        <f t="shared" si="4"/>
        <v>0</v>
      </c>
      <c r="N52" s="6"/>
    </row>
    <row r="53" spans="1:18" x14ac:dyDescent="0.3">
      <c r="A53" s="726">
        <v>46313</v>
      </c>
      <c r="B53" s="718"/>
      <c r="C53" s="75"/>
      <c r="D53" s="78"/>
      <c r="E53" s="78"/>
      <c r="F53" s="72">
        <f t="shared" si="9"/>
        <v>0</v>
      </c>
      <c r="G53" s="76"/>
      <c r="J53" s="73">
        <v>46313</v>
      </c>
      <c r="K53" s="77"/>
      <c r="L53" s="77"/>
      <c r="M53" s="74">
        <f t="shared" si="4"/>
        <v>0</v>
      </c>
      <c r="N53" s="6"/>
    </row>
    <row r="54" spans="1:18" x14ac:dyDescent="0.3">
      <c r="A54" s="726">
        <v>46314</v>
      </c>
      <c r="B54" s="718"/>
      <c r="C54" s="75"/>
      <c r="D54" s="78"/>
      <c r="E54" s="78"/>
      <c r="F54" s="72">
        <f t="shared" si="9"/>
        <v>0</v>
      </c>
      <c r="G54" s="76"/>
      <c r="J54" s="73">
        <v>46314</v>
      </c>
      <c r="K54" s="77"/>
      <c r="L54" s="77"/>
      <c r="M54" s="74">
        <f t="shared" si="4"/>
        <v>0</v>
      </c>
      <c r="N54" s="6"/>
    </row>
    <row r="55" spans="1:18" x14ac:dyDescent="0.3">
      <c r="A55" s="726">
        <v>46315</v>
      </c>
      <c r="B55" s="718"/>
      <c r="C55" s="75"/>
      <c r="D55" s="78"/>
      <c r="E55" s="78"/>
      <c r="F55" s="72">
        <f t="shared" si="9"/>
        <v>0</v>
      </c>
      <c r="G55" s="76"/>
      <c r="J55" s="73">
        <v>46315</v>
      </c>
      <c r="K55" s="77"/>
      <c r="L55" s="77"/>
      <c r="M55" s="74">
        <f t="shared" si="4"/>
        <v>0</v>
      </c>
      <c r="N55" s="6"/>
    </row>
    <row r="56" spans="1:18" x14ac:dyDescent="0.3">
      <c r="A56" s="726">
        <v>46316</v>
      </c>
      <c r="B56" s="718"/>
      <c r="C56" s="75"/>
      <c r="D56" s="78"/>
      <c r="E56" s="78"/>
      <c r="F56" s="72">
        <f t="shared" si="9"/>
        <v>0</v>
      </c>
      <c r="G56" s="76"/>
      <c r="J56" s="73">
        <v>46316</v>
      </c>
      <c r="K56" s="77"/>
      <c r="L56" s="77"/>
      <c r="M56" s="74">
        <f t="shared" si="4"/>
        <v>0</v>
      </c>
      <c r="N56" s="6"/>
    </row>
    <row r="57" spans="1:18" x14ac:dyDescent="0.3">
      <c r="A57" s="726">
        <v>46317</v>
      </c>
      <c r="B57" s="718"/>
      <c r="C57" s="75"/>
      <c r="D57" s="78"/>
      <c r="E57" s="78"/>
      <c r="F57" s="72">
        <f t="shared" si="9"/>
        <v>0</v>
      </c>
      <c r="G57" s="76"/>
      <c r="J57" s="73"/>
      <c r="K57" s="80">
        <f>SUM(K5:K27)</f>
        <v>2497</v>
      </c>
      <c r="L57" s="80">
        <f>SUM(L5:L27)</f>
        <v>510.38333333333333</v>
      </c>
      <c r="M57" s="81">
        <f>AVERAGE(M5:M27)</f>
        <v>0.92460748792270542</v>
      </c>
      <c r="N57" s="77">
        <f>SUM(N5:N56)</f>
        <v>41.61666666666666</v>
      </c>
    </row>
    <row r="58" spans="1:18" x14ac:dyDescent="0.3">
      <c r="A58" s="726">
        <v>46318</v>
      </c>
      <c r="B58" s="718"/>
      <c r="C58" s="75"/>
      <c r="D58" s="78"/>
      <c r="E58" s="78"/>
      <c r="F58" s="72">
        <f t="shared" si="9"/>
        <v>0</v>
      </c>
      <c r="G58" s="76"/>
      <c r="J58" s="73"/>
      <c r="K58" s="82">
        <f>K57/60</f>
        <v>41.616666666666667</v>
      </c>
      <c r="L58" s="54">
        <f>L57/24</f>
        <v>21.265972222222221</v>
      </c>
      <c r="M58" s="12"/>
      <c r="N58" s="13">
        <f>N57/24</f>
        <v>1.7340277777777775</v>
      </c>
    </row>
    <row r="59" spans="1:18" x14ac:dyDescent="0.3">
      <c r="A59" s="726">
        <v>46319</v>
      </c>
      <c r="B59" s="718"/>
      <c r="C59" s="75"/>
      <c r="D59" s="78"/>
      <c r="E59" s="78"/>
      <c r="F59" s="72">
        <f t="shared" si="9"/>
        <v>0</v>
      </c>
      <c r="G59" s="76"/>
      <c r="L59" s="54">
        <f>L58+N58</f>
        <v>23</v>
      </c>
    </row>
    <row r="60" spans="1:18" x14ac:dyDescent="0.3">
      <c r="A60" s="726">
        <v>46320</v>
      </c>
      <c r="B60" s="718"/>
      <c r="C60" s="75"/>
      <c r="D60" s="78"/>
      <c r="E60" s="78"/>
      <c r="F60" s="72">
        <f t="shared" si="9"/>
        <v>0</v>
      </c>
      <c r="G60" s="76"/>
      <c r="M60" s="13">
        <f>'Au Cal Leaching Tank'!K61/238</f>
        <v>2.4893098739495798</v>
      </c>
    </row>
    <row r="61" spans="1:18" x14ac:dyDescent="0.3">
      <c r="A61" s="726">
        <v>46321</v>
      </c>
      <c r="B61" s="718"/>
      <c r="C61" s="75"/>
      <c r="D61" s="78"/>
      <c r="E61" s="78"/>
      <c r="F61" s="72">
        <f t="shared" si="9"/>
        <v>0</v>
      </c>
      <c r="G61" s="76"/>
      <c r="M61" s="1">
        <f>M60*234</f>
        <v>582.4985105042017</v>
      </c>
    </row>
    <row r="62" spans="1:18" x14ac:dyDescent="0.3">
      <c r="A62" s="726">
        <v>46322</v>
      </c>
      <c r="B62" s="718"/>
      <c r="C62" s="75"/>
      <c r="D62" s="78"/>
      <c r="E62" s="78"/>
      <c r="F62" s="72">
        <f t="shared" si="9"/>
        <v>0</v>
      </c>
      <c r="G62" s="76"/>
    </row>
    <row r="65" spans="12:12" x14ac:dyDescent="0.3">
      <c r="L65" s="38"/>
    </row>
  </sheetData>
  <mergeCells count="60">
    <mergeCell ref="A48:B48"/>
    <mergeCell ref="A49:B49"/>
    <mergeCell ref="A50:B50"/>
    <mergeCell ref="A13:B13"/>
    <mergeCell ref="A14:B14"/>
    <mergeCell ref="A45:B45"/>
    <mergeCell ref="A46:B46"/>
    <mergeCell ref="A47:B47"/>
    <mergeCell ref="A32:B32"/>
    <mergeCell ref="A33:B33"/>
    <mergeCell ref="A22:B22"/>
    <mergeCell ref="A23:B23"/>
    <mergeCell ref="A24:B24"/>
    <mergeCell ref="A25:B25"/>
    <mergeCell ref="A26:B26"/>
    <mergeCell ref="A27:B27"/>
    <mergeCell ref="A3:G3"/>
    <mergeCell ref="A5:B5"/>
    <mergeCell ref="A6:B6"/>
    <mergeCell ref="A7:B7"/>
    <mergeCell ref="A8:B8"/>
    <mergeCell ref="A4:B4"/>
    <mergeCell ref="A28:B28"/>
    <mergeCell ref="A29:B29"/>
    <mergeCell ref="A30:B30"/>
    <mergeCell ref="A31:B31"/>
    <mergeCell ref="A16:B16"/>
    <mergeCell ref="A17:B17"/>
    <mergeCell ref="A18:B18"/>
    <mergeCell ref="A19:B19"/>
    <mergeCell ref="A20:B20"/>
    <mergeCell ref="A21:B21"/>
    <mergeCell ref="A15:B15"/>
    <mergeCell ref="A9:B9"/>
    <mergeCell ref="A10:B10"/>
    <mergeCell ref="A11:B11"/>
    <mergeCell ref="A12:B12"/>
    <mergeCell ref="A41:B41"/>
    <mergeCell ref="A42:B42"/>
    <mergeCell ref="A44:B44"/>
    <mergeCell ref="A43:B43"/>
    <mergeCell ref="A34:B34"/>
    <mergeCell ref="A35:B35"/>
    <mergeCell ref="A39:B39"/>
    <mergeCell ref="A40:B40"/>
    <mergeCell ref="A38:B38"/>
    <mergeCell ref="A36:B36"/>
    <mergeCell ref="A37:B37"/>
    <mergeCell ref="A51:B51"/>
    <mergeCell ref="A52:B52"/>
    <mergeCell ref="A53:B53"/>
    <mergeCell ref="A54:B54"/>
    <mergeCell ref="A55:B55"/>
    <mergeCell ref="A61:B61"/>
    <mergeCell ref="A62:B62"/>
    <mergeCell ref="A56:B56"/>
    <mergeCell ref="A57:B57"/>
    <mergeCell ref="A58:B58"/>
    <mergeCell ref="A59:B59"/>
    <mergeCell ref="A60:B60"/>
  </mergeCells>
  <phoneticPr fontId="4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24"/>
  <sheetViews>
    <sheetView zoomScale="79" workbookViewId="0">
      <selection activeCell="U11" sqref="U11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1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652" t="s">
        <v>71</v>
      </c>
      <c r="C3" s="652" t="s">
        <v>294</v>
      </c>
      <c r="D3" s="652" t="s">
        <v>295</v>
      </c>
      <c r="E3" s="255" t="s">
        <v>298</v>
      </c>
      <c r="F3" s="255" t="s">
        <v>299</v>
      </c>
      <c r="G3" s="655" t="s">
        <v>254</v>
      </c>
      <c r="H3" s="656"/>
      <c r="I3" s="656"/>
      <c r="J3" s="657"/>
      <c r="K3" s="654" t="s">
        <v>261</v>
      </c>
    </row>
    <row r="4" spans="2:20" x14ac:dyDescent="0.3">
      <c r="B4" s="661"/>
      <c r="C4" s="661"/>
      <c r="D4" s="661"/>
      <c r="E4" s="256" t="s">
        <v>55</v>
      </c>
      <c r="F4" s="256" t="s">
        <v>300</v>
      </c>
      <c r="G4" s="655" t="s">
        <v>267</v>
      </c>
      <c r="H4" s="656"/>
      <c r="I4" s="657"/>
      <c r="J4" s="147" t="s">
        <v>260</v>
      </c>
      <c r="K4" s="654"/>
      <c r="O4" s="17" t="s">
        <v>494</v>
      </c>
      <c r="P4" s="17" t="s">
        <v>261</v>
      </c>
      <c r="Q4" s="578" t="s">
        <v>1</v>
      </c>
      <c r="R4" s="17" t="s">
        <v>255</v>
      </c>
      <c r="S4" s="17" t="s">
        <v>256</v>
      </c>
      <c r="T4" s="17" t="s">
        <v>257</v>
      </c>
    </row>
    <row r="5" spans="2:20" x14ac:dyDescent="0.3">
      <c r="B5" s="653"/>
      <c r="C5" s="653"/>
      <c r="D5" s="653"/>
      <c r="E5" s="225" t="s">
        <v>71</v>
      </c>
      <c r="F5" s="225" t="s">
        <v>71</v>
      </c>
      <c r="G5" s="147" t="s">
        <v>255</v>
      </c>
      <c r="H5" s="147" t="s">
        <v>256</v>
      </c>
      <c r="I5" s="147" t="s">
        <v>257</v>
      </c>
      <c r="J5" s="147" t="s">
        <v>255</v>
      </c>
      <c r="K5" s="654"/>
      <c r="O5" s="16" t="s">
        <v>495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0.11466666666666665</v>
      </c>
      <c r="H6" s="150">
        <f t="shared" ref="H6:I6" si="0">AVERAGE(S5:S10)</f>
        <v>0.65166666666666662</v>
      </c>
      <c r="I6" s="150">
        <f t="shared" si="0"/>
        <v>8.9816666666666656</v>
      </c>
      <c r="J6" s="16">
        <v>7.0000000000000001E-3</v>
      </c>
      <c r="K6" s="16">
        <v>1</v>
      </c>
      <c r="O6" s="16" t="s">
        <v>496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6"/>
      <c r="H7" s="16"/>
      <c r="I7" s="16"/>
      <c r="J7" s="16"/>
      <c r="K7" s="16">
        <v>2</v>
      </c>
      <c r="O7" s="16" t="s">
        <v>497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/>
      <c r="D8" s="16"/>
      <c r="E8" s="16"/>
      <c r="F8" s="16"/>
      <c r="G8" s="16"/>
      <c r="H8" s="16"/>
      <c r="I8" s="16"/>
      <c r="J8" s="6"/>
      <c r="K8" s="16"/>
      <c r="O8" s="16" t="s">
        <v>498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/>
      <c r="K9" s="16"/>
      <c r="O9" s="16" t="s">
        <v>499</v>
      </c>
      <c r="P9" s="16">
        <v>1</v>
      </c>
      <c r="Q9" s="84">
        <v>46268</v>
      </c>
      <c r="R9" s="16">
        <v>2.8000000000000001E-2</v>
      </c>
      <c r="S9" s="16">
        <v>0.75</v>
      </c>
      <c r="T9" s="16">
        <v>9.19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500</v>
      </c>
      <c r="P10" s="16">
        <v>1</v>
      </c>
      <c r="Q10" s="84">
        <v>46268</v>
      </c>
      <c r="R10" s="16">
        <v>9.5000000000000001E-2</v>
      </c>
      <c r="S10" s="16">
        <v>0.69</v>
      </c>
      <c r="T10" s="16">
        <v>8.93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</row>
    <row r="12" spans="2:20" x14ac:dyDescent="0.3">
      <c r="B12" s="16">
        <v>7</v>
      </c>
      <c r="C12" s="73"/>
      <c r="D12" s="6"/>
      <c r="E12" s="16"/>
      <c r="F12" s="16"/>
      <c r="G12" s="298"/>
      <c r="H12" s="298"/>
      <c r="I12" s="298"/>
      <c r="J12" s="6"/>
      <c r="K12" s="16"/>
    </row>
    <row r="13" spans="2:20" x14ac:dyDescent="0.3">
      <c r="B13" s="16">
        <v>8</v>
      </c>
      <c r="C13" s="73"/>
      <c r="D13" s="6"/>
      <c r="E13" s="16"/>
      <c r="F13" s="16"/>
      <c r="G13" s="298"/>
      <c r="H13" s="298"/>
      <c r="I13" s="298"/>
      <c r="J13" s="6"/>
      <c r="K13" s="16"/>
    </row>
    <row r="14" spans="2:20" x14ac:dyDescent="0.3">
      <c r="B14" s="16">
        <v>9</v>
      </c>
      <c r="C14" s="73"/>
      <c r="D14" s="6"/>
      <c r="E14" s="16"/>
      <c r="F14" s="16"/>
      <c r="G14" s="298"/>
      <c r="H14" s="298"/>
      <c r="I14" s="298"/>
      <c r="J14" s="6"/>
      <c r="K14" s="16"/>
    </row>
    <row r="15" spans="2:20" x14ac:dyDescent="0.3">
      <c r="B15" s="16">
        <v>10</v>
      </c>
      <c r="C15" s="73"/>
      <c r="D15" s="6"/>
      <c r="E15" s="16"/>
      <c r="F15" s="16"/>
      <c r="G15" s="298"/>
      <c r="H15" s="298"/>
      <c r="I15" s="298"/>
      <c r="J15" s="6"/>
      <c r="K15" s="16"/>
    </row>
    <row r="16" spans="2:20" x14ac:dyDescent="0.3">
      <c r="B16" s="16">
        <v>11</v>
      </c>
      <c r="C16" s="73"/>
      <c r="D16" s="6"/>
      <c r="E16" s="16"/>
      <c r="F16" s="16"/>
      <c r="G16" s="298"/>
      <c r="H16" s="298"/>
      <c r="I16" s="298"/>
      <c r="J16" s="6"/>
      <c r="K16" s="16"/>
    </row>
    <row r="17" spans="2:11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</row>
    <row r="18" spans="2:11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</row>
    <row r="19" spans="2:11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</row>
    <row r="20" spans="2:11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</row>
    <row r="21" spans="2:11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</row>
    <row r="22" spans="2:11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</row>
    <row r="23" spans="2:11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</row>
    <row r="24" spans="2:11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</row>
  </sheetData>
  <mergeCells count="6">
    <mergeCell ref="K3:K5"/>
    <mergeCell ref="B3:B5"/>
    <mergeCell ref="C3:C5"/>
    <mergeCell ref="D3:D5"/>
    <mergeCell ref="G3:J3"/>
    <mergeCell ref="G4:I4"/>
  </mergeCells>
  <phoneticPr fontId="4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3:R62"/>
  <sheetViews>
    <sheetView workbookViewId="0">
      <selection activeCell="D9" sqref="D9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1.664062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3" spans="1:14" ht="15" thickBot="1" x14ac:dyDescent="0.35">
      <c r="A3" s="698" t="s">
        <v>273</v>
      </c>
      <c r="B3" s="722"/>
      <c r="C3" s="722"/>
      <c r="D3" s="722"/>
      <c r="E3" s="722"/>
      <c r="F3" s="722"/>
      <c r="G3" s="699"/>
    </row>
    <row r="4" spans="1:14" ht="15" thickBot="1" x14ac:dyDescent="0.35">
      <c r="A4" s="723" t="s">
        <v>1</v>
      </c>
      <c r="B4" s="724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274</v>
      </c>
    </row>
    <row r="5" spans="1:14" x14ac:dyDescent="0.3">
      <c r="A5" s="727">
        <v>46268</v>
      </c>
      <c r="B5" s="718"/>
      <c r="C5" s="174" t="s">
        <v>171</v>
      </c>
      <c r="D5" s="175"/>
      <c r="E5" s="71"/>
      <c r="F5" s="72">
        <f>(E5-D5)*1440</f>
        <v>0</v>
      </c>
      <c r="G5" s="229" t="s">
        <v>272</v>
      </c>
      <c r="J5" s="73">
        <v>46142</v>
      </c>
      <c r="K5" s="6">
        <f>F5</f>
        <v>0</v>
      </c>
      <c r="L5" s="77">
        <f>(1440-K5)/60</f>
        <v>24</v>
      </c>
      <c r="M5" s="74">
        <f>L5/24</f>
        <v>1</v>
      </c>
      <c r="N5" s="1" t="s">
        <v>275</v>
      </c>
    </row>
    <row r="6" spans="1:14" x14ac:dyDescent="0.3">
      <c r="A6" s="727">
        <v>46269</v>
      </c>
      <c r="B6" s="718"/>
      <c r="C6" s="179"/>
      <c r="D6" s="71"/>
      <c r="E6" s="71"/>
      <c r="F6" s="72"/>
      <c r="G6" s="180"/>
      <c r="J6" s="73">
        <v>46143</v>
      </c>
      <c r="K6" s="6">
        <f t="shared" ref="K6:K32" si="0">F6</f>
        <v>0</v>
      </c>
      <c r="L6" s="77">
        <f>(1440-K6)/60</f>
        <v>24</v>
      </c>
      <c r="M6" s="74">
        <f>L6/24</f>
        <v>1</v>
      </c>
    </row>
    <row r="7" spans="1:14" x14ac:dyDescent="0.3">
      <c r="A7" s="727">
        <v>46270</v>
      </c>
      <c r="B7" s="718"/>
      <c r="C7" s="179"/>
      <c r="D7" s="71"/>
      <c r="E7" s="71"/>
      <c r="F7" s="72"/>
      <c r="G7" s="180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27">
        <v>46271</v>
      </c>
      <c r="B8" s="718"/>
      <c r="C8" s="181"/>
      <c r="D8" s="71"/>
      <c r="E8" s="71"/>
      <c r="F8" s="72"/>
      <c r="G8" s="182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27">
        <v>46272</v>
      </c>
      <c r="B9" s="718"/>
      <c r="C9" s="191"/>
      <c r="D9" s="189"/>
      <c r="E9" s="71"/>
      <c r="F9" s="72"/>
      <c r="G9" s="190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27">
        <v>46273</v>
      </c>
      <c r="B10" s="718"/>
      <c r="C10" s="196"/>
      <c r="D10" s="71"/>
      <c r="E10" s="71"/>
      <c r="F10" s="72"/>
      <c r="G10" s="222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27">
        <v>46274</v>
      </c>
      <c r="B11" s="718"/>
      <c r="C11" s="221"/>
      <c r="D11" s="71"/>
      <c r="E11" s="71"/>
      <c r="F11" s="72"/>
      <c r="G11" s="222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27">
        <v>46275</v>
      </c>
      <c r="B12" s="718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27">
        <v>46276</v>
      </c>
      <c r="B13" s="718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27">
        <v>46277</v>
      </c>
      <c r="B14" s="718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27">
        <v>46278</v>
      </c>
      <c r="B15" s="718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27">
        <v>46279</v>
      </c>
      <c r="B16" s="718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27">
        <v>46280</v>
      </c>
      <c r="B17" s="718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27">
        <v>46281</v>
      </c>
      <c r="B18" s="718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27">
        <v>46282</v>
      </c>
      <c r="B19" s="718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27">
        <v>46283</v>
      </c>
      <c r="B20" s="718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27">
        <v>46284</v>
      </c>
      <c r="B21" s="718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27">
        <v>46285</v>
      </c>
      <c r="B22" s="718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27">
        <v>46286</v>
      </c>
      <c r="B23" s="718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27">
        <v>46287</v>
      </c>
      <c r="B24" s="718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27">
        <v>46288</v>
      </c>
      <c r="B25" s="718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27">
        <v>46289</v>
      </c>
      <c r="B26" s="718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27">
        <v>46290</v>
      </c>
      <c r="B27" s="718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27">
        <v>46291</v>
      </c>
      <c r="B28" s="718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27">
        <v>46292</v>
      </c>
      <c r="B29" s="718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27">
        <v>46293</v>
      </c>
      <c r="B30" s="718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27">
        <v>46294</v>
      </c>
      <c r="B31" s="718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27">
        <v>46295</v>
      </c>
      <c r="B32" s="718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27">
        <v>46296</v>
      </c>
      <c r="B33" s="718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27">
        <v>46297</v>
      </c>
      <c r="B34" s="718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27">
        <v>46298</v>
      </c>
      <c r="B35" s="718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27">
        <v>46299</v>
      </c>
      <c r="B36" s="718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27">
        <v>46300</v>
      </c>
      <c r="B37" s="718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27">
        <v>46301</v>
      </c>
      <c r="B38" s="718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27">
        <v>46302</v>
      </c>
      <c r="B39" s="718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27">
        <v>46303</v>
      </c>
      <c r="B40" s="718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27">
        <v>46304</v>
      </c>
      <c r="B41" s="718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27">
        <v>46305</v>
      </c>
      <c r="B42" s="718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27">
        <v>46306</v>
      </c>
      <c r="B43" s="718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27">
        <v>46307</v>
      </c>
      <c r="B44" s="718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27">
        <v>46308</v>
      </c>
      <c r="B45" s="718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27">
        <v>46309</v>
      </c>
      <c r="B46" s="718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27">
        <v>46310</v>
      </c>
      <c r="B47" s="718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27">
        <v>46311</v>
      </c>
      <c r="B48" s="718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27">
        <v>46312</v>
      </c>
      <c r="B49" s="718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27">
        <v>46313</v>
      </c>
      <c r="B50" s="718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27">
        <v>46314</v>
      </c>
      <c r="B51" s="718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27">
        <v>46315</v>
      </c>
      <c r="B52" s="718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27">
        <v>46316</v>
      </c>
      <c r="B53" s="718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27">
        <v>46317</v>
      </c>
      <c r="B54" s="718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27">
        <v>46318</v>
      </c>
      <c r="B55" s="718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27">
        <v>46319</v>
      </c>
      <c r="B56" s="718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27">
        <v>46320</v>
      </c>
      <c r="B57" s="718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27">
        <v>46321</v>
      </c>
      <c r="B58" s="718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27">
        <v>46322</v>
      </c>
      <c r="B59" s="718"/>
      <c r="C59" s="75"/>
      <c r="D59" s="78"/>
      <c r="E59" s="78"/>
      <c r="F59" s="72">
        <f t="shared" si="5"/>
        <v>0</v>
      </c>
      <c r="G59" s="76"/>
    </row>
    <row r="60" spans="1:18" x14ac:dyDescent="0.3">
      <c r="A60" s="727">
        <v>46323</v>
      </c>
      <c r="B60" s="718"/>
      <c r="C60" s="75"/>
      <c r="D60" s="78"/>
      <c r="E60" s="78"/>
      <c r="F60" s="72">
        <f t="shared" si="5"/>
        <v>0</v>
      </c>
      <c r="G60" s="76"/>
    </row>
    <row r="61" spans="1:18" x14ac:dyDescent="0.3">
      <c r="A61" s="727">
        <v>46324</v>
      </c>
      <c r="B61" s="718"/>
      <c r="C61" s="75"/>
      <c r="D61" s="78"/>
      <c r="E61" s="78"/>
      <c r="F61" s="72">
        <f t="shared" si="5"/>
        <v>0</v>
      </c>
      <c r="G61" s="76"/>
    </row>
    <row r="62" spans="1:18" x14ac:dyDescent="0.3">
      <c r="A62" s="727">
        <v>46325</v>
      </c>
      <c r="B62" s="718"/>
      <c r="C62" s="75"/>
      <c r="D62" s="78"/>
      <c r="E62" s="78"/>
      <c r="F62" s="72">
        <f t="shared" si="5"/>
        <v>0</v>
      </c>
      <c r="G62" s="7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21" sqref="M21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244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318</v>
      </c>
      <c r="M4" s="116" t="s">
        <v>140</v>
      </c>
      <c r="Q4" s="579" t="s">
        <v>488</v>
      </c>
      <c r="R4" s="580"/>
      <c r="S4" s="580"/>
      <c r="T4" s="581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80">
        <f>(H5-G5)*1440</f>
        <v>60.000000000000007</v>
      </c>
      <c r="K5" s="16" t="s">
        <v>143</v>
      </c>
      <c r="L5" s="274">
        <f>J5/60</f>
        <v>1.0000000000000002</v>
      </c>
      <c r="M5" s="432" t="s">
        <v>484</v>
      </c>
      <c r="Q5" s="582"/>
      <c r="R5" s="583"/>
      <c r="S5" s="583"/>
      <c r="T5" s="584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80">
        <f>(H6-G6)*1440</f>
        <v>1438</v>
      </c>
      <c r="K6" s="16"/>
      <c r="L6" s="274">
        <f t="shared" ref="L6:L33" si="0">J6/60</f>
        <v>23.966666666666665</v>
      </c>
      <c r="M6" s="16" t="s">
        <v>485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489</v>
      </c>
      <c r="D7" s="16" t="s">
        <v>487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80">
        <f t="shared" ref="J7:J33" si="1">(H7-G7)*1440</f>
        <v>1438</v>
      </c>
      <c r="K7" s="50"/>
      <c r="L7" s="274">
        <f t="shared" si="0"/>
        <v>23.966666666666665</v>
      </c>
      <c r="M7" s="575" t="s">
        <v>490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x14ac:dyDescent="0.3">
      <c r="B8" s="16">
        <v>3</v>
      </c>
      <c r="C8" s="84" t="s">
        <v>489</v>
      </c>
      <c r="D8" s="16">
        <v>2</v>
      </c>
      <c r="E8" s="16" t="s">
        <v>141</v>
      </c>
      <c r="F8" s="84"/>
      <c r="G8" s="115"/>
      <c r="H8" s="115"/>
      <c r="I8" s="73"/>
      <c r="J8" s="280">
        <f t="shared" si="1"/>
        <v>0</v>
      </c>
      <c r="K8" s="16"/>
      <c r="L8" s="274">
        <f t="shared" si="0"/>
        <v>0</v>
      </c>
      <c r="M8" s="6"/>
      <c r="Q8" s="6" t="s">
        <v>141</v>
      </c>
      <c r="R8" s="16">
        <f>SUMIFS(J5:J27,E5:E27,"Normal Operation")</f>
        <v>2936</v>
      </c>
      <c r="S8" s="50">
        <f>R8/60</f>
        <v>48.93333333333333</v>
      </c>
      <c r="T8" s="50">
        <f>S8/24</f>
        <v>2.0388888888888888</v>
      </c>
      <c r="U8" s="49">
        <f>S8/S11</f>
        <v>1</v>
      </c>
    </row>
    <row r="9" spans="2:21" x14ac:dyDescent="0.3">
      <c r="B9" s="16">
        <v>4</v>
      </c>
      <c r="C9" s="84"/>
      <c r="D9" s="16">
        <v>2</v>
      </c>
      <c r="E9" s="16"/>
      <c r="F9" s="84"/>
      <c r="G9" s="115"/>
      <c r="H9" s="122"/>
      <c r="I9" s="6"/>
      <c r="J9" s="280">
        <f t="shared" si="1"/>
        <v>0</v>
      </c>
      <c r="K9" s="16"/>
      <c r="L9" s="274">
        <f t="shared" si="0"/>
        <v>0</v>
      </c>
      <c r="M9" s="6"/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75"/>
      <c r="G10" s="115"/>
      <c r="H10" s="115"/>
      <c r="I10" s="6"/>
      <c r="J10" s="280">
        <f t="shared" si="1"/>
        <v>0</v>
      </c>
      <c r="K10" s="16"/>
      <c r="L10" s="274">
        <f t="shared" si="0"/>
        <v>0</v>
      </c>
      <c r="M10" s="6"/>
      <c r="Q10" s="6" t="s">
        <v>146</v>
      </c>
      <c r="R10" s="16">
        <f>SUMIFS(J5:J33,E5:E33,"Unplaned Downtime")</f>
        <v>0</v>
      </c>
      <c r="S10" s="50">
        <f>R10/60</f>
        <v>0</v>
      </c>
      <c r="T10" s="50">
        <f>S10/24</f>
        <v>0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75"/>
      <c r="G11" s="115"/>
      <c r="H11" s="115"/>
      <c r="I11" s="6"/>
      <c r="J11" s="280">
        <f t="shared" si="1"/>
        <v>0</v>
      </c>
      <c r="K11" s="16"/>
      <c r="L11" s="274">
        <f t="shared" si="0"/>
        <v>0</v>
      </c>
      <c r="M11" s="6"/>
      <c r="Q11" s="230" t="s">
        <v>319</v>
      </c>
      <c r="R11" s="16"/>
      <c r="S11" s="50">
        <f>SUM(S8:S10)</f>
        <v>48.93333333333333</v>
      </c>
      <c r="T11" s="50">
        <f>S11/24</f>
        <v>2.0388888888888888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75"/>
      <c r="G12" s="115"/>
      <c r="H12" s="115"/>
      <c r="I12" s="6"/>
      <c r="J12" s="280">
        <f t="shared" si="1"/>
        <v>0</v>
      </c>
      <c r="K12" s="16"/>
      <c r="L12" s="274">
        <f t="shared" si="0"/>
        <v>0</v>
      </c>
      <c r="M12" s="6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80">
        <f t="shared" si="1"/>
        <v>0</v>
      </c>
      <c r="K13" s="16"/>
      <c r="L13" s="274">
        <f t="shared" si="0"/>
        <v>0</v>
      </c>
      <c r="M13" s="6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80">
        <f t="shared" si="1"/>
        <v>0</v>
      </c>
      <c r="K14" s="16"/>
      <c r="L14" s="274">
        <f t="shared" si="0"/>
        <v>0</v>
      </c>
      <c r="M14" s="6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80">
        <f t="shared" si="1"/>
        <v>0</v>
      </c>
      <c r="K15" s="16"/>
      <c r="L15" s="274">
        <f t="shared" si="0"/>
        <v>0</v>
      </c>
      <c r="M15" s="6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80">
        <f t="shared" si="1"/>
        <v>0</v>
      </c>
      <c r="K16" s="16"/>
      <c r="L16" s="274">
        <f t="shared" si="0"/>
        <v>0</v>
      </c>
      <c r="M16" s="6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80">
        <f t="shared" si="1"/>
        <v>0</v>
      </c>
      <c r="K17" s="16"/>
      <c r="L17" s="274">
        <f t="shared" si="0"/>
        <v>0</v>
      </c>
      <c r="M17" s="6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80">
        <f t="shared" si="1"/>
        <v>0</v>
      </c>
      <c r="K18" s="16"/>
      <c r="L18" s="274">
        <f t="shared" si="0"/>
        <v>0</v>
      </c>
      <c r="M18" s="6"/>
    </row>
    <row r="19" spans="2:17" s="15" customFormat="1" x14ac:dyDescent="0.3">
      <c r="B19" s="16">
        <v>15</v>
      </c>
      <c r="C19" s="84"/>
      <c r="D19" s="16">
        <v>3</v>
      </c>
      <c r="E19" s="16"/>
      <c r="F19" s="275"/>
      <c r="G19" s="115"/>
      <c r="H19" s="115"/>
      <c r="I19" s="16"/>
      <c r="J19" s="280">
        <f t="shared" si="1"/>
        <v>0</v>
      </c>
      <c r="K19" s="16"/>
      <c r="L19" s="274">
        <f t="shared" si="0"/>
        <v>0</v>
      </c>
      <c r="M19" s="6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80">
        <f t="shared" si="1"/>
        <v>0</v>
      </c>
      <c r="K20" s="16"/>
      <c r="L20" s="274">
        <f t="shared" si="0"/>
        <v>0</v>
      </c>
      <c r="M20" s="230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80">
        <f t="shared" si="1"/>
        <v>0</v>
      </c>
      <c r="K21" s="16"/>
      <c r="L21" s="274">
        <f t="shared" si="0"/>
        <v>0</v>
      </c>
      <c r="M21" s="6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80">
        <f t="shared" si="1"/>
        <v>0</v>
      </c>
      <c r="K22" s="16"/>
      <c r="L22" s="274">
        <f t="shared" si="0"/>
        <v>0</v>
      </c>
      <c r="M22" s="6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80">
        <f t="shared" si="1"/>
        <v>0</v>
      </c>
      <c r="K23" s="16"/>
      <c r="L23" s="274">
        <f t="shared" si="0"/>
        <v>0</v>
      </c>
      <c r="M23" s="6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80">
        <f t="shared" si="1"/>
        <v>0</v>
      </c>
      <c r="K24" s="6"/>
      <c r="L24" s="274">
        <f t="shared" si="0"/>
        <v>0</v>
      </c>
      <c r="M24" s="6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80">
        <f t="shared" si="1"/>
        <v>0</v>
      </c>
      <c r="K25" s="6"/>
      <c r="L25" s="274">
        <f t="shared" si="0"/>
        <v>0</v>
      </c>
      <c r="M25" s="6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80">
        <f t="shared" si="1"/>
        <v>0</v>
      </c>
      <c r="K26" s="6"/>
      <c r="L26" s="274">
        <f t="shared" si="0"/>
        <v>0</v>
      </c>
      <c r="M26" s="6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80">
        <f t="shared" si="1"/>
        <v>0</v>
      </c>
      <c r="K27" s="6"/>
      <c r="L27" s="274">
        <f t="shared" si="0"/>
        <v>0</v>
      </c>
      <c r="M27" s="6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80">
        <f t="shared" si="1"/>
        <v>0</v>
      </c>
      <c r="K28" s="6"/>
      <c r="L28" s="274">
        <f t="shared" si="0"/>
        <v>0</v>
      </c>
      <c r="M28" s="6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80">
        <f t="shared" si="1"/>
        <v>0</v>
      </c>
      <c r="K29" s="6"/>
      <c r="L29" s="274">
        <f t="shared" si="0"/>
        <v>0</v>
      </c>
      <c r="M29" s="6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80">
        <f t="shared" si="1"/>
        <v>0</v>
      </c>
      <c r="K30" s="6"/>
      <c r="L30" s="274">
        <f t="shared" si="0"/>
        <v>0</v>
      </c>
      <c r="M30" s="6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80">
        <f t="shared" si="1"/>
        <v>0</v>
      </c>
      <c r="K31" s="6"/>
      <c r="L31" s="274">
        <f t="shared" si="0"/>
        <v>0</v>
      </c>
      <c r="M31" s="6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80">
        <f t="shared" si="1"/>
        <v>0</v>
      </c>
      <c r="K32" s="6"/>
      <c r="L32" s="274">
        <f t="shared" si="0"/>
        <v>0</v>
      </c>
      <c r="M32" s="6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80">
        <f t="shared" si="1"/>
        <v>0</v>
      </c>
      <c r="K33" s="6"/>
      <c r="L33" s="274">
        <f t="shared" si="0"/>
        <v>0</v>
      </c>
      <c r="M33" s="6"/>
    </row>
  </sheetData>
  <mergeCells count="1">
    <mergeCell ref="Q4:T5"/>
  </mergeCells>
  <phoneticPr fontId="4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748" t="s">
        <v>1</v>
      </c>
      <c r="B4" s="750" t="s">
        <v>51</v>
      </c>
      <c r="C4" s="750"/>
      <c r="D4" s="750"/>
      <c r="E4" s="750"/>
      <c r="F4" s="112"/>
      <c r="G4" s="65"/>
      <c r="H4" s="65"/>
      <c r="I4" s="117"/>
      <c r="J4" s="117"/>
      <c r="K4" s="117"/>
      <c r="L4" s="736" t="s">
        <v>241</v>
      </c>
      <c r="M4" s="734"/>
      <c r="N4" s="735"/>
      <c r="O4" s="736" t="s">
        <v>237</v>
      </c>
      <c r="P4" s="734"/>
      <c r="Q4" s="735"/>
      <c r="R4" s="736" t="s">
        <v>238</v>
      </c>
      <c r="S4" s="734"/>
      <c r="T4" s="735"/>
      <c r="U4" s="736" t="s">
        <v>239</v>
      </c>
      <c r="V4" s="734"/>
      <c r="W4" s="735"/>
      <c r="X4" s="736" t="s">
        <v>240</v>
      </c>
      <c r="Y4" s="734"/>
      <c r="Z4" s="735"/>
      <c r="AA4" s="736" t="s">
        <v>52</v>
      </c>
      <c r="AB4" s="734"/>
      <c r="AC4" s="735"/>
      <c r="AD4" s="736" t="s">
        <v>53</v>
      </c>
      <c r="AE4" s="734"/>
      <c r="AF4" s="735"/>
      <c r="AG4" s="728">
        <v>0.83333333333333337</v>
      </c>
      <c r="AH4" s="734"/>
      <c r="AI4" s="735"/>
      <c r="AJ4" s="728">
        <v>0.91666666666666663</v>
      </c>
      <c r="AK4" s="729"/>
      <c r="AL4" s="730"/>
      <c r="AM4" s="731">
        <v>0</v>
      </c>
      <c r="AN4" s="732"/>
      <c r="AO4" s="733"/>
      <c r="AP4" s="728">
        <v>8.3333333333333329E-2</v>
      </c>
      <c r="AQ4" s="729"/>
      <c r="AR4" s="730"/>
      <c r="AS4" s="728">
        <v>0.16666666666666666</v>
      </c>
      <c r="AT4" s="729"/>
      <c r="AU4" s="730"/>
      <c r="AV4" s="70" t="s">
        <v>54</v>
      </c>
      <c r="AW4" s="55"/>
    </row>
    <row r="5" spans="1:49" x14ac:dyDescent="0.3">
      <c r="A5" s="748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228</v>
      </c>
      <c r="I5" s="65" t="s">
        <v>145</v>
      </c>
      <c r="J5" s="65" t="s">
        <v>226</v>
      </c>
      <c r="K5" s="65" t="s">
        <v>234</v>
      </c>
      <c r="L5" s="69" t="s">
        <v>56</v>
      </c>
      <c r="M5" s="69" t="s">
        <v>34</v>
      </c>
      <c r="N5" s="69" t="s">
        <v>227</v>
      </c>
      <c r="O5" s="69" t="s">
        <v>56</v>
      </c>
      <c r="P5" s="69" t="s">
        <v>34</v>
      </c>
      <c r="Q5" s="69" t="s">
        <v>227</v>
      </c>
      <c r="R5" s="69" t="s">
        <v>56</v>
      </c>
      <c r="S5" s="69" t="s">
        <v>34</v>
      </c>
      <c r="T5" s="69" t="s">
        <v>227</v>
      </c>
      <c r="U5" s="69" t="s">
        <v>56</v>
      </c>
      <c r="V5" s="69" t="s">
        <v>34</v>
      </c>
      <c r="W5" s="69" t="s">
        <v>227</v>
      </c>
      <c r="X5" s="69" t="s">
        <v>56</v>
      </c>
      <c r="Y5" s="69" t="s">
        <v>34</v>
      </c>
      <c r="Z5" s="69" t="s">
        <v>227</v>
      </c>
      <c r="AA5" s="69" t="s">
        <v>56</v>
      </c>
      <c r="AB5" s="69" t="s">
        <v>34</v>
      </c>
      <c r="AC5" s="69" t="s">
        <v>227</v>
      </c>
      <c r="AD5" s="69" t="s">
        <v>56</v>
      </c>
      <c r="AE5" s="69" t="s">
        <v>34</v>
      </c>
      <c r="AF5" s="69" t="s">
        <v>227</v>
      </c>
      <c r="AG5" s="69" t="s">
        <v>56</v>
      </c>
      <c r="AH5" s="69" t="s">
        <v>34</v>
      </c>
      <c r="AI5" s="69" t="s">
        <v>227</v>
      </c>
      <c r="AJ5" s="69" t="s">
        <v>56</v>
      </c>
      <c r="AK5" s="69" t="s">
        <v>34</v>
      </c>
      <c r="AL5" s="69" t="s">
        <v>227</v>
      </c>
      <c r="AM5" s="69" t="s">
        <v>56</v>
      </c>
      <c r="AN5" s="69" t="s">
        <v>34</v>
      </c>
      <c r="AO5" s="69" t="s">
        <v>227</v>
      </c>
      <c r="AP5" s="69" t="s">
        <v>56</v>
      </c>
      <c r="AQ5" s="69" t="s">
        <v>34</v>
      </c>
      <c r="AR5" s="69" t="s">
        <v>227</v>
      </c>
      <c r="AS5" s="69" t="s">
        <v>56</v>
      </c>
      <c r="AT5" s="69" t="s">
        <v>34</v>
      </c>
      <c r="AU5" s="69" t="s">
        <v>227</v>
      </c>
      <c r="AV5" s="56" t="s">
        <v>57</v>
      </c>
      <c r="AW5" s="56" t="s">
        <v>58</v>
      </c>
    </row>
    <row r="6" spans="1:49" x14ac:dyDescent="0.3">
      <c r="A6" s="754">
        <v>46147</v>
      </c>
      <c r="B6" s="749"/>
      <c r="C6" s="60" t="s">
        <v>171</v>
      </c>
      <c r="D6" s="60" t="s">
        <v>133</v>
      </c>
      <c r="E6" s="114"/>
      <c r="F6" s="111" t="s">
        <v>229</v>
      </c>
      <c r="G6" s="57">
        <v>1</v>
      </c>
      <c r="H6" s="193"/>
      <c r="I6" s="58"/>
      <c r="J6" s="58"/>
      <c r="K6" s="58"/>
      <c r="L6" s="58"/>
      <c r="M6" s="58"/>
      <c r="N6" s="58"/>
      <c r="O6" s="58"/>
      <c r="P6" s="192"/>
      <c r="Q6" s="192"/>
      <c r="R6" s="58"/>
      <c r="S6" s="58"/>
      <c r="T6" s="58"/>
      <c r="U6" s="58"/>
      <c r="V6" s="58"/>
      <c r="W6" s="58"/>
      <c r="X6" s="58"/>
      <c r="Y6" s="192"/>
      <c r="Z6" s="192"/>
      <c r="AA6" s="58">
        <v>11</v>
      </c>
      <c r="AB6" s="192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763" t="s">
        <v>233</v>
      </c>
      <c r="AW6" s="764"/>
    </row>
    <row r="7" spans="1:49" x14ac:dyDescent="0.3">
      <c r="A7" s="754"/>
      <c r="B7" s="738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763"/>
      <c r="AW7" s="765"/>
    </row>
    <row r="8" spans="1:49" x14ac:dyDescent="0.3">
      <c r="A8" s="754"/>
      <c r="B8" s="738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763"/>
      <c r="AW8" s="765"/>
    </row>
    <row r="9" spans="1:49" ht="15" thickBot="1" x14ac:dyDescent="0.35">
      <c r="A9" s="749"/>
      <c r="B9" s="738"/>
      <c r="C9" s="197"/>
      <c r="D9" s="197"/>
      <c r="E9" s="198"/>
      <c r="F9" s="198"/>
      <c r="G9" s="199">
        <v>4</v>
      </c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  <c r="AG9" s="187"/>
      <c r="AH9" s="187"/>
      <c r="AI9" s="187"/>
      <c r="AJ9" s="187"/>
      <c r="AK9" s="187"/>
      <c r="AL9" s="187"/>
      <c r="AM9" s="187"/>
      <c r="AN9" s="187"/>
      <c r="AO9" s="187"/>
      <c r="AP9" s="187"/>
      <c r="AQ9" s="187"/>
      <c r="AR9" s="187"/>
      <c r="AS9" s="187"/>
      <c r="AT9" s="187"/>
      <c r="AU9" s="187"/>
      <c r="AV9" s="764"/>
      <c r="AW9" s="766"/>
    </row>
    <row r="10" spans="1:49" x14ac:dyDescent="0.3">
      <c r="A10" s="751">
        <v>46148</v>
      </c>
      <c r="B10" s="737" t="s">
        <v>230</v>
      </c>
      <c r="C10" s="203" t="s">
        <v>171</v>
      </c>
      <c r="D10" s="204" t="s">
        <v>231</v>
      </c>
      <c r="E10" s="205"/>
      <c r="F10" s="206"/>
      <c r="G10" s="207">
        <v>1</v>
      </c>
      <c r="H10" s="208">
        <f>(1.5*1000)/I10</f>
        <v>2.7777777777777777</v>
      </c>
      <c r="I10" s="209">
        <v>540</v>
      </c>
      <c r="J10" s="209">
        <v>258</v>
      </c>
      <c r="K10" s="209"/>
      <c r="L10" s="209"/>
      <c r="M10" s="209"/>
      <c r="N10" s="209"/>
      <c r="O10" s="207"/>
      <c r="P10" s="207"/>
      <c r="Q10" s="207"/>
      <c r="R10" s="207"/>
      <c r="S10" s="207"/>
      <c r="T10" s="207"/>
      <c r="U10" s="207">
        <v>11</v>
      </c>
      <c r="V10" s="207"/>
      <c r="W10" s="207">
        <v>170</v>
      </c>
      <c r="X10" s="58">
        <v>11.1</v>
      </c>
      <c r="Y10" s="192">
        <v>0.38</v>
      </c>
      <c r="Z10" s="207"/>
      <c r="AA10" s="207">
        <v>11</v>
      </c>
      <c r="AB10" s="207"/>
      <c r="AC10" s="207">
        <v>170</v>
      </c>
      <c r="AD10" s="207"/>
      <c r="AE10" s="207"/>
      <c r="AF10" s="207"/>
      <c r="AG10" s="207"/>
      <c r="AH10" s="207"/>
      <c r="AI10" s="207"/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7"/>
      <c r="AU10" s="207"/>
      <c r="AV10" s="767" t="s">
        <v>242</v>
      </c>
      <c r="AW10" s="770" t="s">
        <v>232</v>
      </c>
    </row>
    <row r="11" spans="1:49" x14ac:dyDescent="0.3">
      <c r="A11" s="752"/>
      <c r="B11" s="738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768"/>
      <c r="AW11" s="771"/>
    </row>
    <row r="12" spans="1:49" x14ac:dyDescent="0.3">
      <c r="A12" s="752"/>
      <c r="B12" s="738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768"/>
      <c r="AW12" s="771"/>
    </row>
    <row r="13" spans="1:49" ht="15" thickBot="1" x14ac:dyDescent="0.35">
      <c r="A13" s="753"/>
      <c r="B13" s="738"/>
      <c r="C13" s="210"/>
      <c r="D13" s="210"/>
      <c r="E13" s="211"/>
      <c r="F13" s="212"/>
      <c r="G13" s="213">
        <v>4</v>
      </c>
      <c r="H13" s="214"/>
      <c r="I13" s="214"/>
      <c r="J13" s="214"/>
      <c r="K13" s="214"/>
      <c r="L13" s="214"/>
      <c r="M13" s="214"/>
      <c r="N13" s="214"/>
      <c r="O13" s="213"/>
      <c r="P13" s="213"/>
      <c r="Q13" s="213"/>
      <c r="R13" s="213"/>
      <c r="S13" s="213"/>
      <c r="T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  <c r="AJ13" s="213"/>
      <c r="AK13" s="213"/>
      <c r="AL13" s="213"/>
      <c r="AM13" s="213"/>
      <c r="AN13" s="213"/>
      <c r="AO13" s="213"/>
      <c r="AP13" s="213"/>
      <c r="AQ13" s="213"/>
      <c r="AR13" s="213"/>
      <c r="AS13" s="213"/>
      <c r="AT13" s="213"/>
      <c r="AU13" s="213"/>
      <c r="AV13" s="769"/>
      <c r="AW13" s="772"/>
    </row>
    <row r="14" spans="1:49" ht="15" thickBot="1" x14ac:dyDescent="0.35">
      <c r="A14" s="751">
        <v>46149</v>
      </c>
      <c r="B14" s="188" t="s">
        <v>277</v>
      </c>
      <c r="C14" s="203"/>
      <c r="D14" s="216"/>
      <c r="E14" s="184"/>
      <c r="F14" s="30"/>
      <c r="G14" s="207">
        <v>1</v>
      </c>
      <c r="H14" s="208">
        <f>(1.5*1000)/I14</f>
        <v>2.7777777777777777</v>
      </c>
      <c r="I14" s="209">
        <v>540</v>
      </c>
      <c r="J14" s="209">
        <v>258</v>
      </c>
      <c r="K14" s="208">
        <f>J14*((1-38%)/38%)</f>
        <v>420.9473684210526</v>
      </c>
      <c r="L14" s="208"/>
      <c r="M14" s="208"/>
      <c r="N14" s="208"/>
      <c r="O14" s="207"/>
      <c r="P14" s="207"/>
      <c r="Q14" s="207"/>
      <c r="R14" s="207">
        <v>11</v>
      </c>
      <c r="S14" s="207"/>
      <c r="T14" s="207">
        <v>180</v>
      </c>
      <c r="U14" s="207">
        <v>11</v>
      </c>
      <c r="V14" s="207"/>
      <c r="W14" s="207">
        <v>180</v>
      </c>
      <c r="X14" s="207"/>
      <c r="Y14" s="207"/>
      <c r="Z14" s="207"/>
      <c r="AA14" s="207"/>
      <c r="AB14" s="207"/>
      <c r="AC14" s="207"/>
      <c r="AD14" s="207"/>
      <c r="AE14" s="207"/>
      <c r="AF14" s="207"/>
      <c r="AG14" s="207"/>
      <c r="AH14" s="207"/>
      <c r="AI14" s="207"/>
      <c r="AJ14" s="207"/>
      <c r="AK14" s="207"/>
      <c r="AL14" s="207"/>
      <c r="AM14" s="207"/>
      <c r="AN14" s="207"/>
      <c r="AO14" s="207"/>
      <c r="AP14" s="207"/>
      <c r="AQ14" s="207"/>
      <c r="AR14" s="207"/>
      <c r="AS14" s="207"/>
      <c r="AT14" s="207"/>
      <c r="AU14" s="207"/>
      <c r="AV14" s="767" t="s">
        <v>243</v>
      </c>
      <c r="AW14" s="773"/>
    </row>
    <row r="15" spans="1:49" x14ac:dyDescent="0.3">
      <c r="A15" s="752"/>
      <c r="B15" s="188" t="s">
        <v>235</v>
      </c>
      <c r="C15" s="60" t="s">
        <v>171</v>
      </c>
      <c r="D15" s="110" t="s">
        <v>236</v>
      </c>
      <c r="E15" s="6"/>
      <c r="F15" s="16"/>
      <c r="G15" s="57">
        <v>2</v>
      </c>
      <c r="H15" s="193">
        <f>1200/I15</f>
        <v>2.2222222222222223</v>
      </c>
      <c r="I15" s="58">
        <v>540</v>
      </c>
      <c r="J15" s="58">
        <v>265</v>
      </c>
      <c r="K15" s="208">
        <f>J15*((1-39%)/39%)</f>
        <v>414.4871794871795</v>
      </c>
      <c r="L15" s="224"/>
      <c r="M15" s="224"/>
      <c r="N15" s="224"/>
      <c r="O15" s="57">
        <v>11</v>
      </c>
      <c r="P15" s="223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768"/>
      <c r="AW15" s="774"/>
    </row>
    <row r="16" spans="1:49" x14ac:dyDescent="0.3">
      <c r="A16" s="752"/>
      <c r="B16" s="188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768"/>
      <c r="AW16" s="774"/>
    </row>
    <row r="17" spans="1:49" ht="15" thickBot="1" x14ac:dyDescent="0.35">
      <c r="A17" s="753"/>
      <c r="B17" s="188"/>
      <c r="C17" s="210"/>
      <c r="D17" s="217"/>
      <c r="E17" s="218"/>
      <c r="F17" s="36"/>
      <c r="G17" s="213">
        <v>4</v>
      </c>
      <c r="H17" s="219"/>
      <c r="I17" s="219"/>
      <c r="J17" s="219"/>
      <c r="K17" s="219"/>
      <c r="L17" s="219"/>
      <c r="M17" s="219"/>
      <c r="N17" s="219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768"/>
      <c r="AW17" s="775"/>
    </row>
    <row r="18" spans="1:49" x14ac:dyDescent="0.3">
      <c r="A18" s="755">
        <v>46150</v>
      </c>
      <c r="B18" s="188" t="s">
        <v>278</v>
      </c>
      <c r="C18" s="200"/>
      <c r="D18" s="201"/>
      <c r="E18" s="46"/>
      <c r="F18" s="45"/>
      <c r="G18" s="202">
        <v>1</v>
      </c>
      <c r="H18" s="215"/>
      <c r="I18" s="215"/>
      <c r="J18" s="215"/>
      <c r="K18" s="215"/>
      <c r="L18" s="215"/>
      <c r="M18" s="215"/>
      <c r="N18" s="215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  <c r="AT18" s="202"/>
      <c r="AU18" s="202"/>
      <c r="AV18" s="252" t="s">
        <v>291</v>
      </c>
      <c r="AW18" s="762"/>
    </row>
    <row r="19" spans="1:49" x14ac:dyDescent="0.3">
      <c r="A19" s="754"/>
      <c r="B19" s="188" t="s">
        <v>279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52" t="s">
        <v>292</v>
      </c>
      <c r="AW19" s="761"/>
    </row>
    <row r="20" spans="1:49" x14ac:dyDescent="0.3">
      <c r="A20" s="754"/>
      <c r="B20" s="188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52"/>
      <c r="AW20" s="761"/>
    </row>
    <row r="21" spans="1:49" x14ac:dyDescent="0.3">
      <c r="A21" s="754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52"/>
      <c r="AW21" s="761"/>
    </row>
    <row r="22" spans="1:49" x14ac:dyDescent="0.3">
      <c r="A22" s="754">
        <v>46151</v>
      </c>
      <c r="B22" s="62"/>
      <c r="C22" s="60"/>
      <c r="D22" s="739"/>
      <c r="E22" s="745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761"/>
    </row>
    <row r="23" spans="1:49" x14ac:dyDescent="0.3">
      <c r="A23" s="754"/>
      <c r="B23" s="63"/>
      <c r="C23" s="60"/>
      <c r="D23" s="740"/>
      <c r="E23" s="746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761"/>
    </row>
    <row r="24" spans="1:49" x14ac:dyDescent="0.3">
      <c r="A24" s="754"/>
      <c r="B24" s="63"/>
      <c r="C24" s="60"/>
      <c r="D24" s="740"/>
      <c r="E24" s="746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761"/>
    </row>
    <row r="25" spans="1:49" ht="15" thickBot="1" x14ac:dyDescent="0.35">
      <c r="A25" s="754"/>
      <c r="B25" s="64"/>
      <c r="C25" s="60"/>
      <c r="D25" s="741"/>
      <c r="E25" s="747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3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759"/>
    </row>
    <row r="26" spans="1:49" x14ac:dyDescent="0.3">
      <c r="A26" s="754">
        <v>46152</v>
      </c>
      <c r="B26" s="62"/>
      <c r="C26" s="60"/>
      <c r="D26" s="739"/>
      <c r="E26" s="745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762"/>
      <c r="AW26" s="762"/>
    </row>
    <row r="27" spans="1:49" x14ac:dyDescent="0.3">
      <c r="A27" s="754"/>
      <c r="B27" s="63"/>
      <c r="C27" s="60"/>
      <c r="D27" s="740"/>
      <c r="E27" s="746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761"/>
      <c r="AW27" s="761"/>
    </row>
    <row r="28" spans="1:49" x14ac:dyDescent="0.3">
      <c r="A28" s="754"/>
      <c r="B28" s="63"/>
      <c r="C28" s="60"/>
      <c r="D28" s="740"/>
      <c r="E28" s="746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761"/>
      <c r="AW28" s="761"/>
    </row>
    <row r="29" spans="1:49" x14ac:dyDescent="0.3">
      <c r="A29" s="754"/>
      <c r="B29" s="64"/>
      <c r="C29" s="60"/>
      <c r="D29" s="741"/>
      <c r="E29" s="747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761"/>
      <c r="AW29" s="761"/>
    </row>
    <row r="30" spans="1:49" x14ac:dyDescent="0.3">
      <c r="A30" s="754">
        <v>46153</v>
      </c>
      <c r="B30" s="62"/>
      <c r="C30" s="60"/>
      <c r="D30" s="739"/>
      <c r="E30" s="745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761"/>
      <c r="AW30" s="761"/>
    </row>
    <row r="31" spans="1:49" x14ac:dyDescent="0.3">
      <c r="A31" s="754"/>
      <c r="B31" s="63"/>
      <c r="C31" s="60"/>
      <c r="D31" s="740"/>
      <c r="E31" s="746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761"/>
      <c r="AW31" s="761"/>
    </row>
    <row r="32" spans="1:49" x14ac:dyDescent="0.3">
      <c r="A32" s="754"/>
      <c r="B32" s="63"/>
      <c r="C32" s="60"/>
      <c r="D32" s="740"/>
      <c r="E32" s="746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761"/>
      <c r="AW32" s="761"/>
    </row>
    <row r="33" spans="1:49" x14ac:dyDescent="0.3">
      <c r="A33" s="754"/>
      <c r="B33" s="64"/>
      <c r="C33" s="60"/>
      <c r="D33" s="741"/>
      <c r="E33" s="747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759"/>
      <c r="AW33" s="759"/>
    </row>
    <row r="34" spans="1:49" x14ac:dyDescent="0.3">
      <c r="A34" s="754">
        <v>46154</v>
      </c>
      <c r="B34" s="62"/>
      <c r="C34" s="60"/>
      <c r="D34" s="739"/>
      <c r="E34" s="745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762"/>
      <c r="AW34" s="762"/>
    </row>
    <row r="35" spans="1:49" x14ac:dyDescent="0.3">
      <c r="A35" s="754"/>
      <c r="B35" s="63"/>
      <c r="C35" s="60"/>
      <c r="D35" s="740"/>
      <c r="E35" s="746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761"/>
      <c r="AW35" s="761"/>
    </row>
    <row r="36" spans="1:49" x14ac:dyDescent="0.3">
      <c r="A36" s="754"/>
      <c r="B36" s="63"/>
      <c r="C36" s="60"/>
      <c r="D36" s="740"/>
      <c r="E36" s="746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761"/>
      <c r="AW36" s="761"/>
    </row>
    <row r="37" spans="1:49" x14ac:dyDescent="0.3">
      <c r="A37" s="754"/>
      <c r="B37" s="64"/>
      <c r="C37" s="60"/>
      <c r="D37" s="741"/>
      <c r="E37" s="747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761"/>
      <c r="AW37" s="761"/>
    </row>
    <row r="38" spans="1:49" x14ac:dyDescent="0.3">
      <c r="A38" s="754">
        <v>46155</v>
      </c>
      <c r="B38" s="62"/>
      <c r="C38" s="60"/>
      <c r="D38" s="739"/>
      <c r="E38" s="745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761"/>
      <c r="AW38" s="761"/>
    </row>
    <row r="39" spans="1:49" x14ac:dyDescent="0.3">
      <c r="A39" s="754"/>
      <c r="B39" s="63"/>
      <c r="C39" s="60"/>
      <c r="D39" s="740"/>
      <c r="E39" s="746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761"/>
      <c r="AW39" s="761"/>
    </row>
    <row r="40" spans="1:49" x14ac:dyDescent="0.3">
      <c r="A40" s="754"/>
      <c r="B40" s="63"/>
      <c r="C40" s="60"/>
      <c r="D40" s="740"/>
      <c r="E40" s="746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761"/>
      <c r="AW40" s="761"/>
    </row>
    <row r="41" spans="1:49" x14ac:dyDescent="0.3">
      <c r="A41" s="754"/>
      <c r="B41" s="64"/>
      <c r="C41" s="60"/>
      <c r="D41" s="741"/>
      <c r="E41" s="747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759"/>
      <c r="AW41" s="759"/>
    </row>
    <row r="42" spans="1:49" x14ac:dyDescent="0.3">
      <c r="A42" s="754">
        <v>46156</v>
      </c>
      <c r="B42" s="62"/>
      <c r="C42" s="60"/>
      <c r="D42" s="739"/>
      <c r="E42" s="745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762"/>
      <c r="AW42" s="762"/>
    </row>
    <row r="43" spans="1:49" x14ac:dyDescent="0.3">
      <c r="A43" s="754"/>
      <c r="B43" s="63"/>
      <c r="C43" s="60"/>
      <c r="D43" s="740"/>
      <c r="E43" s="746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761"/>
      <c r="AW43" s="761"/>
    </row>
    <row r="44" spans="1:49" x14ac:dyDescent="0.3">
      <c r="A44" s="754"/>
      <c r="B44" s="63"/>
      <c r="C44" s="60"/>
      <c r="D44" s="740"/>
      <c r="E44" s="746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761"/>
      <c r="AW44" s="761"/>
    </row>
    <row r="45" spans="1:49" x14ac:dyDescent="0.3">
      <c r="A45" s="754"/>
      <c r="B45" s="64"/>
      <c r="C45" s="60"/>
      <c r="D45" s="741"/>
      <c r="E45" s="747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761"/>
      <c r="AW45" s="761"/>
    </row>
    <row r="46" spans="1:49" x14ac:dyDescent="0.3">
      <c r="A46" s="754">
        <v>46157</v>
      </c>
      <c r="B46" s="62"/>
      <c r="C46" s="60"/>
      <c r="D46" s="742" t="s">
        <v>158</v>
      </c>
      <c r="E46" s="745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761"/>
      <c r="AW46" s="761"/>
    </row>
    <row r="47" spans="1:49" x14ac:dyDescent="0.3">
      <c r="A47" s="754"/>
      <c r="B47" s="63"/>
      <c r="C47" s="60"/>
      <c r="D47" s="743"/>
      <c r="E47" s="746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761"/>
      <c r="AW47" s="761"/>
    </row>
    <row r="48" spans="1:49" x14ac:dyDescent="0.3">
      <c r="A48" s="754"/>
      <c r="B48" s="63"/>
      <c r="C48" s="60"/>
      <c r="D48" s="743"/>
      <c r="E48" s="746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761"/>
      <c r="AW48" s="761"/>
    </row>
    <row r="49" spans="1:49" x14ac:dyDescent="0.3">
      <c r="A49" s="754"/>
      <c r="B49" s="64"/>
      <c r="C49" s="60"/>
      <c r="D49" s="744"/>
      <c r="E49" s="747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759"/>
      <c r="AW49" s="759"/>
    </row>
    <row r="50" spans="1:49" x14ac:dyDescent="0.3">
      <c r="A50" s="754">
        <v>46158</v>
      </c>
      <c r="B50" s="62"/>
      <c r="C50" s="60"/>
      <c r="D50" s="739"/>
      <c r="E50" s="745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762"/>
      <c r="AW50" s="762"/>
    </row>
    <row r="51" spans="1:49" x14ac:dyDescent="0.3">
      <c r="A51" s="754"/>
      <c r="B51" s="63"/>
      <c r="C51" s="60"/>
      <c r="D51" s="740"/>
      <c r="E51" s="746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761"/>
      <c r="AW51" s="761"/>
    </row>
    <row r="52" spans="1:49" x14ac:dyDescent="0.3">
      <c r="A52" s="754"/>
      <c r="B52" s="63"/>
      <c r="C52" s="60"/>
      <c r="D52" s="740"/>
      <c r="E52" s="746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761"/>
      <c r="AW52" s="761"/>
    </row>
    <row r="53" spans="1:49" x14ac:dyDescent="0.3">
      <c r="A53" s="754"/>
      <c r="B53" s="64"/>
      <c r="C53" s="60"/>
      <c r="D53" s="741"/>
      <c r="E53" s="747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761"/>
      <c r="AW53" s="761"/>
    </row>
    <row r="54" spans="1:49" x14ac:dyDescent="0.3">
      <c r="A54" s="754">
        <v>46159</v>
      </c>
      <c r="B54" s="62"/>
      <c r="C54" s="60"/>
      <c r="D54" s="110"/>
      <c r="E54" s="756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761"/>
      <c r="AW54" s="761"/>
    </row>
    <row r="55" spans="1:49" x14ac:dyDescent="0.3">
      <c r="A55" s="754"/>
      <c r="B55" s="63"/>
      <c r="C55" s="60"/>
      <c r="D55" s="110"/>
      <c r="E55" s="757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761"/>
      <c r="AW55" s="761"/>
    </row>
    <row r="56" spans="1:49" x14ac:dyDescent="0.3">
      <c r="A56" s="754"/>
      <c r="B56" s="63"/>
      <c r="C56" s="60"/>
      <c r="D56" s="110"/>
      <c r="E56" s="757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761"/>
      <c r="AW56" s="761"/>
    </row>
    <row r="57" spans="1:49" x14ac:dyDescent="0.3">
      <c r="A57" s="754"/>
      <c r="B57" s="64"/>
      <c r="C57" s="60"/>
      <c r="D57" s="110"/>
      <c r="E57" s="758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759"/>
      <c r="AW57" s="759"/>
    </row>
    <row r="58" spans="1:49" x14ac:dyDescent="0.3">
      <c r="A58" s="754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762"/>
      <c r="AW58" s="762"/>
    </row>
    <row r="59" spans="1:49" x14ac:dyDescent="0.3">
      <c r="A59" s="754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761"/>
      <c r="AW59" s="761"/>
    </row>
    <row r="60" spans="1:49" x14ac:dyDescent="0.3">
      <c r="A60" s="754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761"/>
      <c r="AW60" s="761"/>
    </row>
    <row r="61" spans="1:49" x14ac:dyDescent="0.3">
      <c r="A61" s="754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761"/>
      <c r="AW61" s="761"/>
    </row>
    <row r="62" spans="1:49" x14ac:dyDescent="0.3">
      <c r="A62" s="754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761"/>
      <c r="AW62" s="761"/>
    </row>
    <row r="63" spans="1:49" x14ac:dyDescent="0.3">
      <c r="A63" s="754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761"/>
      <c r="AW63" s="761"/>
    </row>
    <row r="64" spans="1:49" x14ac:dyDescent="0.3">
      <c r="A64" s="754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761"/>
      <c r="AW64" s="761"/>
    </row>
    <row r="65" spans="1:49" x14ac:dyDescent="0.3">
      <c r="A65" s="754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759"/>
      <c r="AW65" s="759"/>
    </row>
    <row r="66" spans="1:49" x14ac:dyDescent="0.3">
      <c r="A66" s="754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762"/>
      <c r="AW66" s="762"/>
    </row>
    <row r="67" spans="1:49" x14ac:dyDescent="0.3">
      <c r="A67" s="754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761"/>
      <c r="AW67" s="761"/>
    </row>
    <row r="68" spans="1:49" x14ac:dyDescent="0.3">
      <c r="A68" s="754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761"/>
      <c r="AW68" s="761"/>
    </row>
    <row r="69" spans="1:49" x14ac:dyDescent="0.3">
      <c r="A69" s="754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761"/>
      <c r="AW69" s="761"/>
    </row>
    <row r="70" spans="1:49" x14ac:dyDescent="0.3">
      <c r="A70" s="754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761"/>
      <c r="AW70" s="761"/>
    </row>
    <row r="71" spans="1:49" x14ac:dyDescent="0.3">
      <c r="A71" s="754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761"/>
      <c r="AW71" s="761"/>
    </row>
    <row r="72" spans="1:49" x14ac:dyDescent="0.3">
      <c r="A72" s="754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761"/>
      <c r="AW72" s="761"/>
    </row>
    <row r="73" spans="1:49" x14ac:dyDescent="0.3">
      <c r="A73" s="754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759"/>
      <c r="AW73" s="759"/>
    </row>
    <row r="74" spans="1:49" x14ac:dyDescent="0.3">
      <c r="A74" s="754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762"/>
      <c r="AW74" s="762"/>
    </row>
    <row r="75" spans="1:49" x14ac:dyDescent="0.3">
      <c r="A75" s="754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761"/>
      <c r="AW75" s="761"/>
    </row>
    <row r="76" spans="1:49" x14ac:dyDescent="0.3">
      <c r="A76" s="754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761"/>
      <c r="AW76" s="761"/>
    </row>
    <row r="77" spans="1:49" x14ac:dyDescent="0.3">
      <c r="A77" s="754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761"/>
      <c r="AW77" s="761"/>
    </row>
    <row r="78" spans="1:49" x14ac:dyDescent="0.3">
      <c r="A78" s="754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761"/>
      <c r="AW78" s="761"/>
    </row>
    <row r="79" spans="1:49" x14ac:dyDescent="0.3">
      <c r="A79" s="754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761"/>
      <c r="AW79" s="761"/>
    </row>
    <row r="80" spans="1:49" x14ac:dyDescent="0.3">
      <c r="A80" s="754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761"/>
      <c r="AW80" s="761"/>
    </row>
    <row r="81" spans="1:49" x14ac:dyDescent="0.3">
      <c r="A81" s="754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759"/>
      <c r="AW81" s="759"/>
    </row>
    <row r="82" spans="1:49" x14ac:dyDescent="0.3">
      <c r="A82" s="754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762"/>
      <c r="AW82" s="762"/>
    </row>
    <row r="83" spans="1:49" x14ac:dyDescent="0.3">
      <c r="A83" s="754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761"/>
      <c r="AW83" s="761"/>
    </row>
    <row r="84" spans="1:49" x14ac:dyDescent="0.3">
      <c r="A84" s="754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761"/>
      <c r="AW84" s="761"/>
    </row>
    <row r="85" spans="1:49" x14ac:dyDescent="0.3">
      <c r="A85" s="754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761"/>
      <c r="AW85" s="761"/>
    </row>
    <row r="86" spans="1:49" x14ac:dyDescent="0.3">
      <c r="A86" s="754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761"/>
      <c r="AW86" s="761"/>
    </row>
    <row r="87" spans="1:49" x14ac:dyDescent="0.3">
      <c r="A87" s="754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761"/>
      <c r="AW87" s="761"/>
    </row>
    <row r="88" spans="1:49" x14ac:dyDescent="0.3">
      <c r="A88" s="754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761"/>
      <c r="AW88" s="761"/>
    </row>
    <row r="89" spans="1:49" x14ac:dyDescent="0.3">
      <c r="A89" s="754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759"/>
      <c r="AW89" s="759"/>
    </row>
    <row r="90" spans="1:49" x14ac:dyDescent="0.3">
      <c r="A90" s="754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762"/>
      <c r="AW90" s="762"/>
    </row>
    <row r="91" spans="1:49" x14ac:dyDescent="0.3">
      <c r="A91" s="754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761"/>
      <c r="AW91" s="761"/>
    </row>
    <row r="92" spans="1:49" x14ac:dyDescent="0.3">
      <c r="A92" s="754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761"/>
      <c r="AW92" s="761"/>
    </row>
    <row r="93" spans="1:49" x14ac:dyDescent="0.3">
      <c r="A93" s="754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761"/>
      <c r="AW93" s="761"/>
    </row>
    <row r="94" spans="1:49" x14ac:dyDescent="0.3">
      <c r="A94" s="754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761"/>
      <c r="AW94" s="761"/>
    </row>
    <row r="95" spans="1:49" x14ac:dyDescent="0.3">
      <c r="A95" s="754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761"/>
      <c r="AW95" s="761"/>
    </row>
    <row r="96" spans="1:49" x14ac:dyDescent="0.3">
      <c r="A96" s="754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761"/>
      <c r="AW96" s="761"/>
    </row>
    <row r="97" spans="1:49" x14ac:dyDescent="0.3">
      <c r="A97" s="754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759"/>
      <c r="AW97" s="759"/>
    </row>
    <row r="98" spans="1:49" x14ac:dyDescent="0.3">
      <c r="A98" s="754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762"/>
      <c r="AW98" s="762"/>
    </row>
    <row r="99" spans="1:49" x14ac:dyDescent="0.3">
      <c r="A99" s="754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761"/>
      <c r="AW99" s="761"/>
    </row>
    <row r="100" spans="1:49" x14ac:dyDescent="0.3">
      <c r="A100" s="754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761"/>
      <c r="AW100" s="761"/>
    </row>
    <row r="101" spans="1:49" x14ac:dyDescent="0.3">
      <c r="A101" s="754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761"/>
      <c r="AW101" s="761"/>
    </row>
    <row r="102" spans="1:49" x14ac:dyDescent="0.3">
      <c r="A102" s="754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761"/>
      <c r="AW102" s="761"/>
    </row>
    <row r="103" spans="1:49" x14ac:dyDescent="0.3">
      <c r="A103" s="754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761"/>
      <c r="AW103" s="761"/>
    </row>
    <row r="104" spans="1:49" x14ac:dyDescent="0.3">
      <c r="A104" s="754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761"/>
      <c r="AW104" s="761"/>
    </row>
    <row r="105" spans="1:49" x14ac:dyDescent="0.3">
      <c r="A105" s="754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759"/>
      <c r="AW105" s="759"/>
    </row>
    <row r="106" spans="1:49" x14ac:dyDescent="0.3">
      <c r="A106" s="754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762"/>
      <c r="AW106" s="762"/>
    </row>
    <row r="107" spans="1:49" x14ac:dyDescent="0.3">
      <c r="A107" s="754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761"/>
      <c r="AW107" s="761"/>
    </row>
    <row r="108" spans="1:49" x14ac:dyDescent="0.3">
      <c r="A108" s="754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761"/>
      <c r="AW108" s="761"/>
    </row>
    <row r="109" spans="1:49" x14ac:dyDescent="0.3">
      <c r="A109" s="754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761"/>
      <c r="AW109" s="761"/>
    </row>
    <row r="110" spans="1:49" x14ac:dyDescent="0.3">
      <c r="A110" s="754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761"/>
      <c r="AW110" s="761"/>
    </row>
    <row r="111" spans="1:49" x14ac:dyDescent="0.3">
      <c r="A111" s="754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761"/>
      <c r="AW111" s="761"/>
    </row>
    <row r="112" spans="1:49" x14ac:dyDescent="0.3">
      <c r="A112" s="754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761"/>
      <c r="AW112" s="761"/>
    </row>
    <row r="113" spans="1:49" x14ac:dyDescent="0.3">
      <c r="A113" s="754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759"/>
      <c r="AW113" s="759"/>
    </row>
    <row r="114" spans="1:49" x14ac:dyDescent="0.3">
      <c r="A114" s="754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762"/>
      <c r="AW114" s="762"/>
    </row>
    <row r="115" spans="1:49" x14ac:dyDescent="0.3">
      <c r="A115" s="754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761"/>
      <c r="AW115" s="761"/>
    </row>
    <row r="116" spans="1:49" x14ac:dyDescent="0.3">
      <c r="A116" s="754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761"/>
      <c r="AW116" s="761"/>
    </row>
    <row r="117" spans="1:49" x14ac:dyDescent="0.3">
      <c r="A117" s="754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761"/>
      <c r="AW117" s="761"/>
    </row>
    <row r="118" spans="1:49" x14ac:dyDescent="0.3">
      <c r="A118" s="754">
        <v>46175</v>
      </c>
      <c r="B118" s="62"/>
      <c r="C118" s="60"/>
      <c r="D118" s="739"/>
      <c r="E118" s="745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761"/>
      <c r="AW118" s="761"/>
    </row>
    <row r="119" spans="1:49" x14ac:dyDescent="0.3">
      <c r="A119" s="754"/>
      <c r="B119" s="63"/>
      <c r="C119" s="60"/>
      <c r="D119" s="740"/>
      <c r="E119" s="746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761"/>
      <c r="AW119" s="761"/>
    </row>
    <row r="120" spans="1:49" x14ac:dyDescent="0.3">
      <c r="A120" s="754"/>
      <c r="B120" s="63"/>
      <c r="C120" s="60"/>
      <c r="D120" s="740"/>
      <c r="E120" s="746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761"/>
      <c r="AW120" s="761"/>
    </row>
    <row r="121" spans="1:49" x14ac:dyDescent="0.3">
      <c r="A121" s="754"/>
      <c r="B121" s="64"/>
      <c r="C121" s="60"/>
      <c r="D121" s="741"/>
      <c r="E121" s="747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759"/>
      <c r="AW121" s="759"/>
    </row>
    <row r="122" spans="1:49" x14ac:dyDescent="0.3">
      <c r="A122" s="754">
        <v>46176</v>
      </c>
      <c r="B122" s="62"/>
      <c r="C122" s="60"/>
      <c r="D122" s="739"/>
      <c r="E122" s="745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762"/>
      <c r="AW122" s="762"/>
    </row>
    <row r="123" spans="1:49" x14ac:dyDescent="0.3">
      <c r="A123" s="754"/>
      <c r="B123" s="63"/>
      <c r="C123" s="60"/>
      <c r="D123" s="740"/>
      <c r="E123" s="746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761"/>
      <c r="AW123" s="761"/>
    </row>
    <row r="124" spans="1:49" x14ac:dyDescent="0.3">
      <c r="A124" s="754"/>
      <c r="B124" s="63"/>
      <c r="C124" s="60"/>
      <c r="D124" s="740"/>
      <c r="E124" s="746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761"/>
      <c r="AW124" s="761"/>
    </row>
    <row r="125" spans="1:49" x14ac:dyDescent="0.3">
      <c r="A125" s="754"/>
      <c r="B125" s="64"/>
      <c r="C125" s="60"/>
      <c r="D125" s="741"/>
      <c r="E125" s="747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761"/>
      <c r="AW125" s="761"/>
    </row>
    <row r="126" spans="1:49" x14ac:dyDescent="0.3">
      <c r="A126" s="754">
        <v>46177</v>
      </c>
      <c r="B126" s="62"/>
      <c r="C126" s="60"/>
      <c r="D126" s="739"/>
      <c r="E126" s="745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761"/>
      <c r="AW126" s="761"/>
    </row>
    <row r="127" spans="1:49" x14ac:dyDescent="0.3">
      <c r="A127" s="754"/>
      <c r="B127" s="63"/>
      <c r="C127" s="60"/>
      <c r="D127" s="740"/>
      <c r="E127" s="746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761"/>
      <c r="AW127" s="761"/>
    </row>
    <row r="128" spans="1:49" x14ac:dyDescent="0.3">
      <c r="A128" s="754"/>
      <c r="B128" s="63"/>
      <c r="C128" s="60"/>
      <c r="D128" s="740"/>
      <c r="E128" s="746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761"/>
      <c r="AW128" s="761"/>
    </row>
    <row r="129" spans="1:49" x14ac:dyDescent="0.3">
      <c r="A129" s="754"/>
      <c r="B129" s="64"/>
      <c r="C129" s="60"/>
      <c r="D129" s="741"/>
      <c r="E129" s="747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759"/>
      <c r="AW129" s="759"/>
    </row>
    <row r="130" spans="1:49" x14ac:dyDescent="0.3">
      <c r="A130" s="21"/>
      <c r="B130" s="21"/>
      <c r="C130" s="21"/>
      <c r="D130" s="754"/>
      <c r="E130" s="760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762"/>
      <c r="AW130" s="762"/>
    </row>
    <row r="131" spans="1:49" x14ac:dyDescent="0.3">
      <c r="A131" s="21"/>
      <c r="B131" s="21"/>
      <c r="C131" s="21"/>
      <c r="D131" s="759"/>
      <c r="E131" s="761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761"/>
      <c r="AW131" s="761"/>
    </row>
    <row r="132" spans="1:49" x14ac:dyDescent="0.3">
      <c r="A132" s="21"/>
      <c r="B132" s="21"/>
      <c r="C132" s="21"/>
      <c r="D132" s="759"/>
      <c r="E132" s="761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761"/>
      <c r="AW132" s="761"/>
    </row>
    <row r="133" spans="1:49" x14ac:dyDescent="0.3">
      <c r="A133" s="21"/>
      <c r="B133" s="21"/>
      <c r="C133" s="21"/>
      <c r="D133" s="759"/>
      <c r="E133" s="761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761"/>
      <c r="AW133" s="761"/>
    </row>
    <row r="134" spans="1:49" x14ac:dyDescent="0.3">
      <c r="A134" s="21"/>
      <c r="B134" s="21"/>
      <c r="C134" s="21"/>
      <c r="D134" s="759"/>
      <c r="E134" s="761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761"/>
      <c r="AW134" s="761"/>
    </row>
    <row r="135" spans="1:49" x14ac:dyDescent="0.3">
      <c r="A135" s="21"/>
      <c r="B135" s="21"/>
      <c r="C135" s="21"/>
      <c r="D135" s="759"/>
      <c r="E135" s="761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761"/>
      <c r="AW135" s="761"/>
    </row>
    <row r="136" spans="1:49" x14ac:dyDescent="0.3">
      <c r="A136" s="21"/>
      <c r="B136" s="21"/>
      <c r="C136" s="21"/>
      <c r="D136" s="759"/>
      <c r="E136" s="761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761"/>
      <c r="AW136" s="761"/>
    </row>
    <row r="137" spans="1:49" x14ac:dyDescent="0.3">
      <c r="A137" s="21"/>
      <c r="B137" s="21"/>
      <c r="C137" s="21"/>
      <c r="D137" s="759"/>
      <c r="E137" s="759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759"/>
      <c r="AW137" s="759"/>
    </row>
    <row r="138" spans="1:49" x14ac:dyDescent="0.3">
      <c r="A138" s="21"/>
      <c r="B138" s="21"/>
      <c r="C138" s="21"/>
      <c r="D138" s="754"/>
      <c r="E138" s="760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762"/>
      <c r="AW138" s="762"/>
    </row>
    <row r="139" spans="1:49" x14ac:dyDescent="0.3">
      <c r="A139" s="21"/>
      <c r="B139" s="21"/>
      <c r="C139" s="21"/>
      <c r="D139" s="759"/>
      <c r="E139" s="761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761"/>
      <c r="AW139" s="761"/>
    </row>
    <row r="140" spans="1:49" x14ac:dyDescent="0.3">
      <c r="A140" s="21"/>
      <c r="B140" s="21"/>
      <c r="C140" s="21"/>
      <c r="D140" s="759"/>
      <c r="E140" s="761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761"/>
      <c r="AW140" s="761"/>
    </row>
    <row r="141" spans="1:49" x14ac:dyDescent="0.3">
      <c r="A141" s="21"/>
      <c r="B141" s="21"/>
      <c r="C141" s="21"/>
      <c r="D141" s="759"/>
      <c r="E141" s="761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761"/>
      <c r="AW141" s="761"/>
    </row>
    <row r="142" spans="1:49" x14ac:dyDescent="0.3">
      <c r="A142" s="21"/>
      <c r="B142" s="21"/>
      <c r="C142" s="21"/>
      <c r="D142" s="759"/>
      <c r="E142" s="761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761"/>
      <c r="AW142" s="761"/>
    </row>
    <row r="143" spans="1:49" x14ac:dyDescent="0.3">
      <c r="A143" s="21"/>
      <c r="B143" s="21"/>
      <c r="C143" s="21"/>
      <c r="D143" s="759"/>
      <c r="E143" s="761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761"/>
      <c r="AW143" s="761"/>
    </row>
    <row r="144" spans="1:49" x14ac:dyDescent="0.3">
      <c r="A144" s="21"/>
      <c r="B144" s="21"/>
      <c r="C144" s="21"/>
      <c r="D144" s="759"/>
      <c r="E144" s="761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761"/>
      <c r="AW144" s="761"/>
    </row>
    <row r="145" spans="1:49" x14ac:dyDescent="0.3">
      <c r="A145" s="21"/>
      <c r="B145" s="21"/>
      <c r="C145" s="21"/>
      <c r="D145" s="759"/>
      <c r="E145" s="759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759"/>
      <c r="AW145" s="759"/>
    </row>
    <row r="146" spans="1:49" x14ac:dyDescent="0.3">
      <c r="A146" s="21"/>
      <c r="B146" s="21"/>
      <c r="C146" s="21"/>
      <c r="D146" s="754"/>
      <c r="E146" s="760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762"/>
      <c r="AW146" s="762"/>
    </row>
    <row r="147" spans="1:49" x14ac:dyDescent="0.3">
      <c r="A147" s="21"/>
      <c r="B147" s="21"/>
      <c r="C147" s="21"/>
      <c r="D147" s="759"/>
      <c r="E147" s="761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761"/>
      <c r="AW147" s="761"/>
    </row>
    <row r="148" spans="1:49" x14ac:dyDescent="0.3">
      <c r="A148" s="21"/>
      <c r="B148" s="21"/>
      <c r="C148" s="21"/>
      <c r="D148" s="759"/>
      <c r="E148" s="761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761"/>
      <c r="AW148" s="761"/>
    </row>
    <row r="149" spans="1:49" x14ac:dyDescent="0.3">
      <c r="A149" s="21"/>
      <c r="B149" s="21"/>
      <c r="C149" s="21"/>
      <c r="D149" s="759"/>
      <c r="E149" s="761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761"/>
      <c r="AW149" s="761"/>
    </row>
    <row r="150" spans="1:49" x14ac:dyDescent="0.3">
      <c r="A150" s="21"/>
      <c r="B150" s="21"/>
      <c r="C150" s="21"/>
      <c r="D150" s="759"/>
      <c r="E150" s="761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761"/>
      <c r="AW150" s="761"/>
    </row>
    <row r="151" spans="1:49" x14ac:dyDescent="0.3">
      <c r="A151" s="21"/>
      <c r="B151" s="21"/>
      <c r="C151" s="21"/>
      <c r="D151" s="759"/>
      <c r="E151" s="761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761"/>
      <c r="AW151" s="761"/>
    </row>
    <row r="152" spans="1:49" x14ac:dyDescent="0.3">
      <c r="A152" s="21"/>
      <c r="B152" s="21"/>
      <c r="C152" s="21"/>
      <c r="D152" s="759"/>
      <c r="E152" s="761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761"/>
      <c r="AW152" s="761"/>
    </row>
    <row r="153" spans="1:49" x14ac:dyDescent="0.3">
      <c r="A153" s="21"/>
      <c r="B153" s="21"/>
      <c r="C153" s="21"/>
      <c r="D153" s="759"/>
      <c r="E153" s="759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759"/>
      <c r="AW153" s="759"/>
    </row>
    <row r="154" spans="1:49" x14ac:dyDescent="0.3">
      <c r="A154" s="21"/>
      <c r="B154" s="21"/>
      <c r="C154" s="21"/>
      <c r="D154" s="754"/>
      <c r="E154" s="760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762"/>
      <c r="AW154" s="762"/>
    </row>
    <row r="155" spans="1:49" x14ac:dyDescent="0.3">
      <c r="A155" s="21"/>
      <c r="B155" s="21"/>
      <c r="C155" s="21"/>
      <c r="D155" s="759"/>
      <c r="E155" s="761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761"/>
      <c r="AW155" s="761"/>
    </row>
    <row r="156" spans="1:49" x14ac:dyDescent="0.3">
      <c r="A156" s="21"/>
      <c r="B156" s="21"/>
      <c r="C156" s="21"/>
      <c r="D156" s="759"/>
      <c r="E156" s="761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761"/>
      <c r="AW156" s="761"/>
    </row>
    <row r="157" spans="1:49" x14ac:dyDescent="0.3">
      <c r="A157" s="21"/>
      <c r="B157" s="21"/>
      <c r="C157" s="21"/>
      <c r="D157" s="759"/>
      <c r="E157" s="761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761"/>
      <c r="AW157" s="761"/>
    </row>
    <row r="158" spans="1:49" x14ac:dyDescent="0.3">
      <c r="A158" s="21"/>
      <c r="B158" s="21"/>
      <c r="C158" s="21"/>
      <c r="D158" s="759"/>
      <c r="E158" s="761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761"/>
      <c r="AW158" s="761"/>
    </row>
    <row r="159" spans="1:49" x14ac:dyDescent="0.3">
      <c r="A159" s="21"/>
      <c r="B159" s="21"/>
      <c r="C159" s="21"/>
      <c r="D159" s="759"/>
      <c r="E159" s="761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761"/>
      <c r="AW159" s="761"/>
    </row>
    <row r="160" spans="1:49" x14ac:dyDescent="0.3">
      <c r="A160" s="21"/>
      <c r="B160" s="21"/>
      <c r="C160" s="21"/>
      <c r="D160" s="759"/>
      <c r="E160" s="761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761"/>
      <c r="AW160" s="761"/>
    </row>
    <row r="161" spans="1:49" x14ac:dyDescent="0.3">
      <c r="A161" s="21"/>
      <c r="B161" s="21"/>
      <c r="C161" s="21"/>
      <c r="D161" s="759"/>
      <c r="E161" s="759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759"/>
      <c r="AW161" s="759"/>
    </row>
    <row r="162" spans="1:49" x14ac:dyDescent="0.3">
      <c r="A162" s="21"/>
      <c r="B162" s="21"/>
      <c r="C162" s="21"/>
      <c r="D162" s="754"/>
      <c r="E162" s="760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762"/>
      <c r="AW162" s="762"/>
    </row>
    <row r="163" spans="1:49" x14ac:dyDescent="0.3">
      <c r="A163" s="21"/>
      <c r="B163" s="21"/>
      <c r="C163" s="21"/>
      <c r="D163" s="759"/>
      <c r="E163" s="761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761"/>
      <c r="AW163" s="761"/>
    </row>
    <row r="164" spans="1:49" x14ac:dyDescent="0.3">
      <c r="A164" s="21"/>
      <c r="B164" s="21"/>
      <c r="C164" s="21"/>
      <c r="D164" s="759"/>
      <c r="E164" s="761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761"/>
      <c r="AW164" s="761"/>
    </row>
    <row r="165" spans="1:49" x14ac:dyDescent="0.3">
      <c r="A165" s="21"/>
      <c r="B165" s="21"/>
      <c r="C165" s="21"/>
      <c r="D165" s="759"/>
      <c r="E165" s="761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761"/>
      <c r="AW165" s="761"/>
    </row>
    <row r="166" spans="1:49" x14ac:dyDescent="0.3">
      <c r="A166" s="21"/>
      <c r="B166" s="21"/>
      <c r="C166" s="21"/>
      <c r="D166" s="759"/>
      <c r="E166" s="761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761"/>
      <c r="AW166" s="761"/>
    </row>
    <row r="167" spans="1:49" x14ac:dyDescent="0.3">
      <c r="A167" s="21"/>
      <c r="B167" s="21"/>
      <c r="C167" s="21"/>
      <c r="D167" s="759"/>
      <c r="E167" s="761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761"/>
      <c r="AW167" s="761"/>
    </row>
    <row r="168" spans="1:49" x14ac:dyDescent="0.3">
      <c r="A168" s="21"/>
      <c r="B168" s="21"/>
      <c r="C168" s="21"/>
      <c r="D168" s="759"/>
      <c r="E168" s="761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761"/>
      <c r="AW168" s="761"/>
    </row>
    <row r="169" spans="1:49" x14ac:dyDescent="0.3">
      <c r="A169" s="21"/>
      <c r="B169" s="21"/>
      <c r="C169" s="21"/>
      <c r="D169" s="759"/>
      <c r="E169" s="759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759"/>
      <c r="AW169" s="759"/>
    </row>
    <row r="170" spans="1:49" x14ac:dyDescent="0.3">
      <c r="A170" s="21"/>
      <c r="B170" s="21"/>
      <c r="C170" s="21"/>
      <c r="D170" s="754"/>
      <c r="E170" s="760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762"/>
      <c r="AW170" s="762"/>
    </row>
    <row r="171" spans="1:49" x14ac:dyDescent="0.3">
      <c r="A171" s="21"/>
      <c r="B171" s="21"/>
      <c r="C171" s="21"/>
      <c r="D171" s="759"/>
      <c r="E171" s="761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761"/>
      <c r="AW171" s="761"/>
    </row>
    <row r="172" spans="1:49" x14ac:dyDescent="0.3">
      <c r="A172" s="21"/>
      <c r="B172" s="21"/>
      <c r="C172" s="21"/>
      <c r="D172" s="759"/>
      <c r="E172" s="761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761"/>
      <c r="AW172" s="761"/>
    </row>
    <row r="173" spans="1:49" x14ac:dyDescent="0.3">
      <c r="A173" s="21"/>
      <c r="B173" s="21"/>
      <c r="C173" s="21"/>
      <c r="D173" s="759"/>
      <c r="E173" s="761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761"/>
      <c r="AW173" s="761"/>
    </row>
    <row r="174" spans="1:49" x14ac:dyDescent="0.3">
      <c r="A174" s="21"/>
      <c r="B174" s="21"/>
      <c r="C174" s="21"/>
      <c r="D174" s="759"/>
      <c r="E174" s="761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761"/>
      <c r="AW174" s="761"/>
    </row>
    <row r="175" spans="1:49" x14ac:dyDescent="0.3">
      <c r="A175" s="21"/>
      <c r="B175" s="21"/>
      <c r="C175" s="21"/>
      <c r="D175" s="759"/>
      <c r="E175" s="761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761"/>
      <c r="AW175" s="761"/>
    </row>
    <row r="176" spans="1:49" x14ac:dyDescent="0.3">
      <c r="A176" s="21"/>
      <c r="B176" s="21"/>
      <c r="C176" s="21"/>
      <c r="D176" s="759"/>
      <c r="E176" s="761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761"/>
      <c r="AW176" s="761"/>
    </row>
    <row r="177" spans="1:49" x14ac:dyDescent="0.3">
      <c r="A177" s="21"/>
      <c r="B177" s="21"/>
      <c r="C177" s="21"/>
      <c r="D177" s="759"/>
      <c r="E177" s="759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759"/>
      <c r="AW177" s="759"/>
    </row>
    <row r="178" spans="1:49" x14ac:dyDescent="0.3">
      <c r="A178" s="21"/>
      <c r="B178" s="21"/>
      <c r="C178" s="21"/>
      <c r="D178" s="754"/>
      <c r="E178" s="760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762"/>
      <c r="AW178" s="762"/>
    </row>
    <row r="179" spans="1:49" x14ac:dyDescent="0.3">
      <c r="A179" s="21"/>
      <c r="B179" s="21"/>
      <c r="C179" s="21"/>
      <c r="D179" s="759"/>
      <c r="E179" s="761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761"/>
      <c r="AW179" s="761"/>
    </row>
    <row r="180" spans="1:49" x14ac:dyDescent="0.3">
      <c r="A180" s="21"/>
      <c r="B180" s="21"/>
      <c r="C180" s="21"/>
      <c r="D180" s="759"/>
      <c r="E180" s="761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761"/>
      <c r="AW180" s="761"/>
    </row>
    <row r="181" spans="1:49" x14ac:dyDescent="0.3">
      <c r="A181" s="21"/>
      <c r="B181" s="21"/>
      <c r="C181" s="21"/>
      <c r="D181" s="759"/>
      <c r="E181" s="761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761"/>
      <c r="AW181" s="761"/>
    </row>
    <row r="182" spans="1:49" x14ac:dyDescent="0.3">
      <c r="A182" s="21"/>
      <c r="B182" s="21"/>
      <c r="C182" s="21"/>
      <c r="D182" s="759"/>
      <c r="E182" s="761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761"/>
      <c r="AW182" s="761"/>
    </row>
    <row r="183" spans="1:49" x14ac:dyDescent="0.3">
      <c r="A183" s="21"/>
      <c r="B183" s="21"/>
      <c r="C183" s="21"/>
      <c r="D183" s="759"/>
      <c r="E183" s="761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761"/>
      <c r="AW183" s="761"/>
    </row>
    <row r="184" spans="1:49" x14ac:dyDescent="0.3">
      <c r="A184" s="21"/>
      <c r="B184" s="21"/>
      <c r="C184" s="21"/>
      <c r="D184" s="759"/>
      <c r="E184" s="761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761"/>
      <c r="AW184" s="761"/>
    </row>
    <row r="185" spans="1:49" x14ac:dyDescent="0.3">
      <c r="A185" s="21"/>
      <c r="B185" s="21"/>
      <c r="C185" s="21"/>
      <c r="D185" s="759"/>
      <c r="E185" s="759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759"/>
      <c r="AW185" s="759"/>
    </row>
    <row r="186" spans="1:49" x14ac:dyDescent="0.3">
      <c r="A186" s="21"/>
      <c r="B186" s="21"/>
      <c r="C186" s="21"/>
      <c r="D186" s="754"/>
      <c r="E186" s="760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762"/>
      <c r="AW186" s="762"/>
    </row>
    <row r="187" spans="1:49" x14ac:dyDescent="0.3">
      <c r="A187" s="21"/>
      <c r="B187" s="21"/>
      <c r="C187" s="21"/>
      <c r="D187" s="759"/>
      <c r="E187" s="761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761"/>
      <c r="AW187" s="761"/>
    </row>
    <row r="188" spans="1:49" x14ac:dyDescent="0.3">
      <c r="A188" s="21"/>
      <c r="B188" s="21"/>
      <c r="C188" s="21"/>
      <c r="D188" s="759"/>
      <c r="E188" s="761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761"/>
      <c r="AW188" s="761"/>
    </row>
    <row r="189" spans="1:49" x14ac:dyDescent="0.3">
      <c r="A189" s="21"/>
      <c r="B189" s="21"/>
      <c r="C189" s="21"/>
      <c r="D189" s="759"/>
      <c r="E189" s="761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761"/>
      <c r="AW189" s="761"/>
    </row>
    <row r="190" spans="1:49" x14ac:dyDescent="0.3">
      <c r="A190" s="21"/>
      <c r="B190" s="21"/>
      <c r="C190" s="21"/>
      <c r="D190" s="759"/>
      <c r="E190" s="761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761"/>
      <c r="AW190" s="761"/>
    </row>
    <row r="191" spans="1:49" x14ac:dyDescent="0.3">
      <c r="A191" s="21"/>
      <c r="B191" s="21"/>
      <c r="C191" s="21"/>
      <c r="D191" s="759"/>
      <c r="E191" s="761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761"/>
      <c r="AW191" s="761"/>
    </row>
    <row r="192" spans="1:49" x14ac:dyDescent="0.3">
      <c r="A192" s="21"/>
      <c r="B192" s="21"/>
      <c r="C192" s="21"/>
      <c r="D192" s="759"/>
      <c r="E192" s="761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761"/>
      <c r="AW192" s="761"/>
    </row>
    <row r="193" spans="1:49" x14ac:dyDescent="0.3">
      <c r="A193" s="21"/>
      <c r="B193" s="21"/>
      <c r="C193" s="21"/>
      <c r="D193" s="759"/>
      <c r="E193" s="759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759"/>
      <c r="AW193" s="759"/>
    </row>
    <row r="194" spans="1:49" x14ac:dyDescent="0.3">
      <c r="A194" s="21"/>
      <c r="B194" s="21"/>
      <c r="C194" s="21"/>
      <c r="D194" s="754"/>
      <c r="E194" s="760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762"/>
      <c r="AW194" s="762"/>
    </row>
    <row r="195" spans="1:49" x14ac:dyDescent="0.3">
      <c r="A195" s="21"/>
      <c r="B195" s="21"/>
      <c r="C195" s="21"/>
      <c r="D195" s="759"/>
      <c r="E195" s="761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761"/>
      <c r="AW195" s="761"/>
    </row>
    <row r="196" spans="1:49" x14ac:dyDescent="0.3">
      <c r="A196" s="21"/>
      <c r="B196" s="21"/>
      <c r="C196" s="21"/>
      <c r="D196" s="759"/>
      <c r="E196" s="761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761"/>
      <c r="AW196" s="761"/>
    </row>
    <row r="197" spans="1:49" x14ac:dyDescent="0.3">
      <c r="A197" s="21"/>
      <c r="B197" s="21"/>
      <c r="C197" s="21"/>
      <c r="D197" s="759"/>
      <c r="E197" s="761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761"/>
      <c r="AW197" s="761"/>
    </row>
    <row r="198" spans="1:49" x14ac:dyDescent="0.3">
      <c r="A198" s="21"/>
      <c r="B198" s="21"/>
      <c r="C198" s="21"/>
      <c r="D198" s="759"/>
      <c r="E198" s="761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761"/>
      <c r="AW198" s="761"/>
    </row>
    <row r="199" spans="1:49" x14ac:dyDescent="0.3">
      <c r="A199" s="21"/>
      <c r="B199" s="21"/>
      <c r="C199" s="21"/>
      <c r="D199" s="759"/>
      <c r="E199" s="761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761"/>
      <c r="AW199" s="761"/>
    </row>
    <row r="200" spans="1:49" x14ac:dyDescent="0.3">
      <c r="A200" s="21"/>
      <c r="B200" s="21"/>
      <c r="C200" s="21"/>
      <c r="D200" s="759"/>
      <c r="E200" s="761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761"/>
      <c r="AW200" s="761"/>
    </row>
    <row r="201" spans="1:49" x14ac:dyDescent="0.3">
      <c r="A201" s="21"/>
      <c r="B201" s="21"/>
      <c r="C201" s="21"/>
      <c r="D201" s="759"/>
      <c r="E201" s="759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759"/>
      <c r="AW201" s="759"/>
    </row>
    <row r="202" spans="1:49" x14ac:dyDescent="0.3">
      <c r="A202" s="21"/>
      <c r="B202" s="21"/>
      <c r="C202" s="21"/>
      <c r="D202" s="754"/>
      <c r="E202" s="760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762"/>
      <c r="AW202" s="762"/>
    </row>
    <row r="203" spans="1:49" x14ac:dyDescent="0.3">
      <c r="A203" s="21"/>
      <c r="B203" s="21"/>
      <c r="C203" s="21"/>
      <c r="D203" s="759"/>
      <c r="E203" s="761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761"/>
      <c r="AW203" s="761"/>
    </row>
    <row r="204" spans="1:49" x14ac:dyDescent="0.3">
      <c r="A204" s="21"/>
      <c r="B204" s="21"/>
      <c r="C204" s="21"/>
      <c r="D204" s="759"/>
      <c r="E204" s="761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761"/>
      <c r="AW204" s="761"/>
    </row>
    <row r="205" spans="1:49" x14ac:dyDescent="0.3">
      <c r="A205" s="21"/>
      <c r="B205" s="21"/>
      <c r="C205" s="21"/>
      <c r="D205" s="759"/>
      <c r="E205" s="761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761"/>
      <c r="AW205" s="761"/>
    </row>
    <row r="206" spans="1:49" x14ac:dyDescent="0.3">
      <c r="A206" s="21"/>
      <c r="B206" s="21"/>
      <c r="C206" s="21"/>
      <c r="D206" s="759"/>
      <c r="E206" s="761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761"/>
      <c r="AW206" s="761"/>
    </row>
    <row r="207" spans="1:49" x14ac:dyDescent="0.3">
      <c r="A207" s="21"/>
      <c r="B207" s="21"/>
      <c r="C207" s="21"/>
      <c r="D207" s="759"/>
      <c r="E207" s="761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761"/>
      <c r="AW207" s="761"/>
    </row>
    <row r="208" spans="1:49" x14ac:dyDescent="0.3">
      <c r="A208" s="21"/>
      <c r="B208" s="21"/>
      <c r="C208" s="21"/>
      <c r="D208" s="759"/>
      <c r="E208" s="761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761"/>
      <c r="AW208" s="761"/>
    </row>
    <row r="209" spans="1:49" x14ac:dyDescent="0.3">
      <c r="A209" s="21"/>
      <c r="B209" s="21"/>
      <c r="C209" s="21"/>
      <c r="D209" s="759"/>
      <c r="E209" s="759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759"/>
      <c r="AW209" s="759"/>
    </row>
    <row r="210" spans="1:49" x14ac:dyDescent="0.3">
      <c r="A210" s="21"/>
      <c r="B210" s="21"/>
      <c r="C210" s="21"/>
      <c r="D210" s="754"/>
      <c r="E210" s="760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762"/>
      <c r="AW210" s="762"/>
    </row>
    <row r="211" spans="1:49" x14ac:dyDescent="0.3">
      <c r="A211" s="21"/>
      <c r="B211" s="21"/>
      <c r="C211" s="21"/>
      <c r="D211" s="759"/>
      <c r="E211" s="761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761"/>
      <c r="AW211" s="761"/>
    </row>
    <row r="212" spans="1:49" x14ac:dyDescent="0.3">
      <c r="A212" s="21"/>
      <c r="B212" s="21"/>
      <c r="C212" s="21"/>
      <c r="D212" s="759"/>
      <c r="E212" s="761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761"/>
      <c r="AW212" s="761"/>
    </row>
    <row r="213" spans="1:49" x14ac:dyDescent="0.3">
      <c r="A213" s="21"/>
      <c r="B213" s="21"/>
      <c r="C213" s="21"/>
      <c r="D213" s="759"/>
      <c r="E213" s="761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761"/>
      <c r="AW213" s="761"/>
    </row>
    <row r="214" spans="1:49" x14ac:dyDescent="0.3">
      <c r="A214" s="21"/>
      <c r="B214" s="21"/>
      <c r="C214" s="21"/>
      <c r="D214" s="759"/>
      <c r="E214" s="761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761"/>
      <c r="AW214" s="761"/>
    </row>
    <row r="215" spans="1:49" x14ac:dyDescent="0.3">
      <c r="A215" s="21"/>
      <c r="B215" s="21"/>
      <c r="C215" s="21"/>
      <c r="D215" s="759"/>
      <c r="E215" s="761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761"/>
      <c r="AW215" s="761"/>
    </row>
    <row r="216" spans="1:49" x14ac:dyDescent="0.3">
      <c r="A216" s="21"/>
      <c r="B216" s="21"/>
      <c r="C216" s="21"/>
      <c r="D216" s="759"/>
      <c r="E216" s="761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761"/>
      <c r="AW216" s="761"/>
    </row>
    <row r="217" spans="1:49" x14ac:dyDescent="0.3">
      <c r="A217" s="21"/>
      <c r="B217" s="21"/>
      <c r="C217" s="21"/>
      <c r="D217" s="759"/>
      <c r="E217" s="759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759"/>
      <c r="AW217" s="759"/>
    </row>
    <row r="218" spans="1:49" x14ac:dyDescent="0.3">
      <c r="A218" s="21"/>
      <c r="B218" s="21"/>
      <c r="C218" s="21"/>
      <c r="D218" s="754"/>
      <c r="E218" s="760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762"/>
      <c r="AW218" s="762"/>
    </row>
    <row r="219" spans="1:49" x14ac:dyDescent="0.3">
      <c r="A219" s="21"/>
      <c r="B219" s="21"/>
      <c r="C219" s="21"/>
      <c r="D219" s="759"/>
      <c r="E219" s="761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761"/>
      <c r="AW219" s="761"/>
    </row>
    <row r="220" spans="1:49" x14ac:dyDescent="0.3">
      <c r="A220" s="21"/>
      <c r="B220" s="21"/>
      <c r="C220" s="21"/>
      <c r="D220" s="759"/>
      <c r="E220" s="761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761"/>
      <c r="AW220" s="761"/>
    </row>
    <row r="221" spans="1:49" x14ac:dyDescent="0.3">
      <c r="A221" s="21"/>
      <c r="B221" s="21"/>
      <c r="C221" s="21"/>
      <c r="D221" s="759"/>
      <c r="E221" s="761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761"/>
      <c r="AW221" s="761"/>
    </row>
    <row r="222" spans="1:49" x14ac:dyDescent="0.3">
      <c r="A222" s="21"/>
      <c r="B222" s="21"/>
      <c r="C222" s="21"/>
      <c r="D222" s="759"/>
      <c r="E222" s="761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761"/>
      <c r="AW222" s="761"/>
    </row>
    <row r="223" spans="1:49" x14ac:dyDescent="0.3">
      <c r="A223" s="21"/>
      <c r="B223" s="21"/>
      <c r="C223" s="21"/>
      <c r="D223" s="759"/>
      <c r="E223" s="761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761"/>
      <c r="AW223" s="761"/>
    </row>
    <row r="224" spans="1:49" x14ac:dyDescent="0.3">
      <c r="A224" s="21"/>
      <c r="B224" s="21"/>
      <c r="C224" s="21"/>
      <c r="D224" s="759"/>
      <c r="E224" s="761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761"/>
      <c r="AW224" s="761"/>
    </row>
    <row r="225" spans="1:49" x14ac:dyDescent="0.3">
      <c r="A225" s="21"/>
      <c r="B225" s="21"/>
      <c r="C225" s="21"/>
      <c r="D225" s="759"/>
      <c r="E225" s="759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759"/>
      <c r="AW225" s="759"/>
    </row>
    <row r="226" spans="1:49" x14ac:dyDescent="0.3">
      <c r="A226" s="21"/>
      <c r="B226" s="21"/>
      <c r="C226" s="21"/>
      <c r="D226" s="754"/>
      <c r="E226" s="760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762"/>
      <c r="AW226" s="762"/>
    </row>
    <row r="227" spans="1:49" x14ac:dyDescent="0.3">
      <c r="A227" s="21"/>
      <c r="B227" s="21"/>
      <c r="C227" s="21"/>
      <c r="D227" s="759"/>
      <c r="E227" s="761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761"/>
      <c r="AW227" s="761"/>
    </row>
    <row r="228" spans="1:49" x14ac:dyDescent="0.3">
      <c r="A228" s="21"/>
      <c r="B228" s="21"/>
      <c r="C228" s="21"/>
      <c r="D228" s="759"/>
      <c r="E228" s="761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761"/>
      <c r="AW228" s="761"/>
    </row>
    <row r="229" spans="1:49" x14ac:dyDescent="0.3">
      <c r="A229" s="21"/>
      <c r="B229" s="21"/>
      <c r="C229" s="21"/>
      <c r="D229" s="759"/>
      <c r="E229" s="761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761"/>
      <c r="AW229" s="761"/>
    </row>
    <row r="230" spans="1:49" x14ac:dyDescent="0.3">
      <c r="A230" s="21"/>
      <c r="B230" s="21"/>
      <c r="C230" s="21"/>
      <c r="D230" s="759"/>
      <c r="E230" s="761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761"/>
      <c r="AW230" s="761"/>
    </row>
    <row r="231" spans="1:49" x14ac:dyDescent="0.3">
      <c r="A231" s="21"/>
      <c r="B231" s="21"/>
      <c r="C231" s="21"/>
      <c r="D231" s="759"/>
      <c r="E231" s="761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761"/>
      <c r="AW231" s="761"/>
    </row>
    <row r="232" spans="1:49" x14ac:dyDescent="0.3">
      <c r="A232" s="21"/>
      <c r="B232" s="21"/>
      <c r="C232" s="21"/>
      <c r="D232" s="759"/>
      <c r="E232" s="761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761"/>
      <c r="AW232" s="761"/>
    </row>
    <row r="233" spans="1:49" x14ac:dyDescent="0.3">
      <c r="A233" s="21"/>
      <c r="B233" s="21"/>
      <c r="C233" s="21"/>
      <c r="D233" s="759"/>
      <c r="E233" s="759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759"/>
      <c r="AW233" s="759"/>
    </row>
    <row r="234" spans="1:49" x14ac:dyDescent="0.3">
      <c r="A234" s="21"/>
      <c r="B234" s="21"/>
      <c r="C234" s="21"/>
      <c r="D234" s="754"/>
      <c r="E234" s="760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762"/>
      <c r="AW234" s="762"/>
    </row>
    <row r="235" spans="1:49" x14ac:dyDescent="0.3">
      <c r="A235" s="21"/>
      <c r="B235" s="21"/>
      <c r="C235" s="21"/>
      <c r="D235" s="759"/>
      <c r="E235" s="761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761"/>
      <c r="AW235" s="761"/>
    </row>
    <row r="236" spans="1:49" x14ac:dyDescent="0.3">
      <c r="A236" s="21"/>
      <c r="B236" s="21"/>
      <c r="C236" s="21"/>
      <c r="D236" s="759"/>
      <c r="E236" s="761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761"/>
      <c r="AW236" s="761"/>
    </row>
    <row r="237" spans="1:49" x14ac:dyDescent="0.3">
      <c r="A237" s="21"/>
      <c r="B237" s="21"/>
      <c r="C237" s="21"/>
      <c r="D237" s="759"/>
      <c r="E237" s="761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761"/>
      <c r="AW237" s="761"/>
    </row>
    <row r="238" spans="1:49" x14ac:dyDescent="0.3">
      <c r="A238" s="21"/>
      <c r="B238" s="21"/>
      <c r="C238" s="21"/>
      <c r="D238" s="759"/>
      <c r="E238" s="761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761"/>
      <c r="AW238" s="761"/>
    </row>
    <row r="239" spans="1:49" x14ac:dyDescent="0.3">
      <c r="A239" s="21"/>
      <c r="B239" s="21"/>
      <c r="C239" s="21"/>
      <c r="D239" s="759"/>
      <c r="E239" s="761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761"/>
      <c r="AW239" s="761"/>
    </row>
    <row r="240" spans="1:49" x14ac:dyDescent="0.3">
      <c r="A240" s="21"/>
      <c r="B240" s="21"/>
      <c r="C240" s="21"/>
      <c r="D240" s="759"/>
      <c r="E240" s="761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761"/>
      <c r="AW240" s="761"/>
    </row>
    <row r="241" spans="1:49" x14ac:dyDescent="0.3">
      <c r="A241" s="21"/>
      <c r="B241" s="21"/>
      <c r="C241" s="21"/>
      <c r="D241" s="759"/>
      <c r="E241" s="759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759"/>
      <c r="AW241" s="759"/>
    </row>
    <row r="242" spans="1:49" x14ac:dyDescent="0.3">
      <c r="A242" s="21"/>
      <c r="B242" s="21"/>
      <c r="C242" s="21"/>
      <c r="D242" s="754"/>
      <c r="E242" s="760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762"/>
      <c r="AW242" s="762"/>
    </row>
    <row r="243" spans="1:49" x14ac:dyDescent="0.3">
      <c r="A243" s="21"/>
      <c r="B243" s="21"/>
      <c r="C243" s="21"/>
      <c r="D243" s="759"/>
      <c r="E243" s="761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761"/>
      <c r="AW243" s="761"/>
    </row>
    <row r="244" spans="1:49" x14ac:dyDescent="0.3">
      <c r="A244" s="21"/>
      <c r="B244" s="21"/>
      <c r="C244" s="21"/>
      <c r="D244" s="759"/>
      <c r="E244" s="761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761"/>
      <c r="AW244" s="761"/>
    </row>
    <row r="245" spans="1:49" x14ac:dyDescent="0.3">
      <c r="A245" s="21"/>
      <c r="B245" s="21"/>
      <c r="C245" s="21"/>
      <c r="D245" s="759"/>
      <c r="E245" s="761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761"/>
      <c r="AW245" s="761"/>
    </row>
    <row r="246" spans="1:49" x14ac:dyDescent="0.3">
      <c r="A246" s="21"/>
      <c r="B246" s="21"/>
      <c r="C246" s="21"/>
      <c r="D246" s="759"/>
      <c r="E246" s="761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761"/>
      <c r="AW246" s="761"/>
    </row>
    <row r="247" spans="1:49" x14ac:dyDescent="0.3">
      <c r="A247" s="21"/>
      <c r="B247" s="21"/>
      <c r="C247" s="21"/>
      <c r="D247" s="759"/>
      <c r="E247" s="761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761"/>
      <c r="AW247" s="761"/>
    </row>
    <row r="248" spans="1:49" x14ac:dyDescent="0.3">
      <c r="A248" s="21"/>
      <c r="B248" s="21"/>
      <c r="C248" s="21"/>
      <c r="D248" s="759"/>
      <c r="E248" s="761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761"/>
      <c r="AW248" s="761"/>
    </row>
    <row r="249" spans="1:49" x14ac:dyDescent="0.3">
      <c r="A249" s="21"/>
      <c r="B249" s="21"/>
      <c r="C249" s="21"/>
      <c r="D249" s="759"/>
      <c r="E249" s="759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759"/>
      <c r="AW249" s="759"/>
    </row>
    <row r="250" spans="1:49" x14ac:dyDescent="0.3">
      <c r="A250" s="21"/>
      <c r="B250" s="21"/>
      <c r="C250" s="21"/>
      <c r="D250" s="754"/>
      <c r="E250" s="760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762"/>
      <c r="AW250" s="762"/>
    </row>
    <row r="251" spans="1:49" x14ac:dyDescent="0.3">
      <c r="A251" s="21"/>
      <c r="B251" s="21"/>
      <c r="C251" s="21"/>
      <c r="D251" s="759"/>
      <c r="E251" s="761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761"/>
      <c r="AW251" s="761"/>
    </row>
    <row r="252" spans="1:49" x14ac:dyDescent="0.3">
      <c r="A252" s="21"/>
      <c r="B252" s="21"/>
      <c r="C252" s="21"/>
      <c r="D252" s="759"/>
      <c r="E252" s="761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761"/>
      <c r="AW252" s="761"/>
    </row>
    <row r="253" spans="1:49" x14ac:dyDescent="0.3">
      <c r="A253" s="21"/>
      <c r="B253" s="21"/>
      <c r="C253" s="21"/>
      <c r="D253" s="759"/>
      <c r="E253" s="761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761"/>
      <c r="AW253" s="761"/>
    </row>
    <row r="254" spans="1:49" x14ac:dyDescent="0.3">
      <c r="A254" s="21"/>
      <c r="B254" s="21"/>
      <c r="C254" s="21"/>
      <c r="D254" s="759"/>
      <c r="E254" s="761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761"/>
      <c r="AW254" s="761"/>
    </row>
    <row r="255" spans="1:49" x14ac:dyDescent="0.3">
      <c r="A255" s="21"/>
      <c r="B255" s="21"/>
      <c r="C255" s="21"/>
      <c r="D255" s="759"/>
      <c r="E255" s="761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761"/>
      <c r="AW255" s="761"/>
    </row>
    <row r="256" spans="1:49" x14ac:dyDescent="0.3">
      <c r="A256" s="21"/>
      <c r="B256" s="21"/>
      <c r="C256" s="21"/>
      <c r="D256" s="759"/>
      <c r="E256" s="761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761"/>
      <c r="AW256" s="761"/>
    </row>
    <row r="257" spans="1:49" x14ac:dyDescent="0.3">
      <c r="A257" s="21"/>
      <c r="B257" s="21"/>
      <c r="C257" s="21"/>
      <c r="D257" s="759"/>
      <c r="E257" s="759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759"/>
      <c r="AW257" s="759"/>
    </row>
    <row r="258" spans="1:49" x14ac:dyDescent="0.3">
      <c r="A258" s="21"/>
      <c r="B258" s="21"/>
      <c r="C258" s="21"/>
      <c r="D258" s="754"/>
      <c r="E258" s="760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762"/>
      <c r="AW258" s="762"/>
    </row>
    <row r="259" spans="1:49" x14ac:dyDescent="0.3">
      <c r="A259" s="21"/>
      <c r="B259" s="21"/>
      <c r="C259" s="21"/>
      <c r="D259" s="759"/>
      <c r="E259" s="761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761"/>
      <c r="AW259" s="761"/>
    </row>
    <row r="260" spans="1:49" x14ac:dyDescent="0.3">
      <c r="A260" s="21"/>
      <c r="B260" s="21"/>
      <c r="C260" s="21"/>
      <c r="D260" s="759"/>
      <c r="E260" s="761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761"/>
      <c r="AW260" s="761"/>
    </row>
    <row r="261" spans="1:49" x14ac:dyDescent="0.3">
      <c r="A261" s="21"/>
      <c r="B261" s="21"/>
      <c r="C261" s="21"/>
      <c r="D261" s="759"/>
      <c r="E261" s="761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761"/>
      <c r="AW261" s="761"/>
    </row>
    <row r="262" spans="1:49" x14ac:dyDescent="0.3">
      <c r="A262" s="21"/>
      <c r="B262" s="21"/>
      <c r="C262" s="21"/>
      <c r="D262" s="759"/>
      <c r="E262" s="761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761"/>
      <c r="AW262" s="761"/>
    </row>
    <row r="263" spans="1:49" x14ac:dyDescent="0.3">
      <c r="A263" s="21"/>
      <c r="B263" s="21"/>
      <c r="C263" s="21"/>
      <c r="D263" s="759"/>
      <c r="E263" s="761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761"/>
      <c r="AW263" s="761"/>
    </row>
    <row r="264" spans="1:49" x14ac:dyDescent="0.3">
      <c r="A264" s="21"/>
      <c r="B264" s="21"/>
      <c r="C264" s="21"/>
      <c r="D264" s="759"/>
      <c r="E264" s="761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761"/>
      <c r="AW264" s="761"/>
    </row>
    <row r="265" spans="1:49" x14ac:dyDescent="0.3">
      <c r="A265" s="21"/>
      <c r="B265" s="21"/>
      <c r="C265" s="21"/>
      <c r="D265" s="759"/>
      <c r="E265" s="759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759"/>
      <c r="AW265" s="759"/>
    </row>
    <row r="266" spans="1:49" x14ac:dyDescent="0.3">
      <c r="A266" s="21"/>
      <c r="B266" s="21"/>
      <c r="C266" s="21"/>
      <c r="D266" s="754"/>
      <c r="E266" s="760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762"/>
      <c r="AW266" s="762"/>
    </row>
    <row r="267" spans="1:49" x14ac:dyDescent="0.3">
      <c r="A267" s="21"/>
      <c r="B267" s="21"/>
      <c r="C267" s="21"/>
      <c r="D267" s="759"/>
      <c r="E267" s="761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761"/>
      <c r="AW267" s="761"/>
    </row>
    <row r="268" spans="1:49" x14ac:dyDescent="0.3">
      <c r="A268" s="21"/>
      <c r="B268" s="21"/>
      <c r="C268" s="21"/>
      <c r="D268" s="759"/>
      <c r="E268" s="761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761"/>
      <c r="AW268" s="761"/>
    </row>
    <row r="269" spans="1:49" x14ac:dyDescent="0.3">
      <c r="A269" s="21"/>
      <c r="B269" s="21"/>
      <c r="C269" s="21"/>
      <c r="D269" s="759"/>
      <c r="E269" s="761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761"/>
      <c r="AW269" s="761"/>
    </row>
    <row r="270" spans="1:49" x14ac:dyDescent="0.3">
      <c r="A270" s="21"/>
      <c r="B270" s="21"/>
      <c r="C270" s="21"/>
      <c r="D270" s="759"/>
      <c r="E270" s="761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761"/>
      <c r="AW270" s="761"/>
    </row>
    <row r="271" spans="1:49" x14ac:dyDescent="0.3">
      <c r="A271" s="21"/>
      <c r="B271" s="21"/>
      <c r="C271" s="21"/>
      <c r="D271" s="759"/>
      <c r="E271" s="761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761"/>
      <c r="AW271" s="761"/>
    </row>
    <row r="272" spans="1:49" x14ac:dyDescent="0.3">
      <c r="A272" s="21"/>
      <c r="B272" s="21"/>
      <c r="C272" s="21"/>
      <c r="D272" s="759"/>
      <c r="E272" s="761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761"/>
      <c r="AW272" s="761"/>
    </row>
    <row r="273" spans="1:49" x14ac:dyDescent="0.3">
      <c r="A273" s="21"/>
      <c r="B273" s="21"/>
      <c r="C273" s="21"/>
      <c r="D273" s="759"/>
      <c r="E273" s="759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759"/>
      <c r="AW273" s="759"/>
    </row>
    <row r="274" spans="1:49" x14ac:dyDescent="0.3">
      <c r="A274" s="21"/>
      <c r="B274" s="21"/>
      <c r="C274" s="21"/>
      <c r="D274" s="754"/>
      <c r="E274" s="760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762"/>
      <c r="AW274" s="762"/>
    </row>
    <row r="275" spans="1:49" x14ac:dyDescent="0.3">
      <c r="A275" s="21"/>
      <c r="B275" s="21"/>
      <c r="C275" s="21"/>
      <c r="D275" s="759"/>
      <c r="E275" s="761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761"/>
      <c r="AW275" s="761"/>
    </row>
    <row r="276" spans="1:49" x14ac:dyDescent="0.3">
      <c r="A276" s="21"/>
      <c r="B276" s="21"/>
      <c r="C276" s="21"/>
      <c r="D276" s="759"/>
      <c r="E276" s="761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761"/>
      <c r="AW276" s="761"/>
    </row>
    <row r="277" spans="1:49" x14ac:dyDescent="0.3">
      <c r="A277" s="21"/>
      <c r="B277" s="21"/>
      <c r="C277" s="21"/>
      <c r="D277" s="759"/>
      <c r="E277" s="761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761"/>
      <c r="AW277" s="761"/>
    </row>
    <row r="278" spans="1:49" x14ac:dyDescent="0.3">
      <c r="A278" s="21"/>
      <c r="B278" s="21"/>
      <c r="C278" s="21"/>
      <c r="D278" s="759"/>
      <c r="E278" s="761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761"/>
      <c r="AW278" s="761"/>
    </row>
    <row r="279" spans="1:49" x14ac:dyDescent="0.3">
      <c r="A279" s="21"/>
      <c r="B279" s="21"/>
      <c r="C279" s="21"/>
      <c r="D279" s="759"/>
      <c r="E279" s="761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761"/>
      <c r="AW279" s="761"/>
    </row>
    <row r="280" spans="1:49" x14ac:dyDescent="0.3">
      <c r="A280" s="21"/>
      <c r="B280" s="21"/>
      <c r="C280" s="21"/>
      <c r="D280" s="759"/>
      <c r="E280" s="761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761"/>
      <c r="AW280" s="761"/>
    </row>
    <row r="281" spans="1:49" x14ac:dyDescent="0.3">
      <c r="A281" s="21"/>
      <c r="B281" s="21"/>
      <c r="C281" s="21"/>
      <c r="D281" s="759"/>
      <c r="E281" s="759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759"/>
      <c r="AW281" s="759"/>
    </row>
    <row r="282" spans="1:49" x14ac:dyDescent="0.3">
      <c r="A282" s="21"/>
      <c r="B282" s="21"/>
      <c r="C282" s="21"/>
      <c r="D282" s="754"/>
      <c r="E282" s="760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762"/>
      <c r="AW282" s="762"/>
    </row>
    <row r="283" spans="1:49" x14ac:dyDescent="0.3">
      <c r="A283" s="21"/>
      <c r="B283" s="21"/>
      <c r="C283" s="21"/>
      <c r="D283" s="759"/>
      <c r="E283" s="761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761"/>
      <c r="AW283" s="761"/>
    </row>
    <row r="284" spans="1:49" x14ac:dyDescent="0.3">
      <c r="A284" s="21"/>
      <c r="B284" s="21"/>
      <c r="C284" s="21"/>
      <c r="D284" s="759"/>
      <c r="E284" s="761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761"/>
      <c r="AW284" s="761"/>
    </row>
    <row r="285" spans="1:49" x14ac:dyDescent="0.3">
      <c r="A285" s="21"/>
      <c r="B285" s="21"/>
      <c r="C285" s="21"/>
      <c r="D285" s="759"/>
      <c r="E285" s="761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761"/>
      <c r="AW285" s="761"/>
    </row>
    <row r="286" spans="1:49" x14ac:dyDescent="0.3">
      <c r="A286" s="21"/>
      <c r="B286" s="21"/>
      <c r="C286" s="21"/>
      <c r="D286" s="759"/>
      <c r="E286" s="761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761"/>
      <c r="AW286" s="761"/>
    </row>
    <row r="287" spans="1:49" x14ac:dyDescent="0.3">
      <c r="A287" s="21"/>
      <c r="B287" s="21"/>
      <c r="C287" s="21"/>
      <c r="D287" s="759"/>
      <c r="E287" s="761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761"/>
      <c r="AW287" s="761"/>
    </row>
    <row r="288" spans="1:49" x14ac:dyDescent="0.3">
      <c r="A288" s="21"/>
      <c r="B288" s="21"/>
      <c r="C288" s="21"/>
      <c r="D288" s="759"/>
      <c r="E288" s="761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761"/>
      <c r="AW288" s="761"/>
    </row>
    <row r="289" spans="1:49" x14ac:dyDescent="0.3">
      <c r="A289" s="21"/>
      <c r="B289" s="21"/>
      <c r="C289" s="21"/>
      <c r="D289" s="759"/>
      <c r="E289" s="759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759"/>
      <c r="AW289" s="75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4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G11" sqref="G11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776" t="s">
        <v>72</v>
      </c>
      <c r="G1" s="776"/>
      <c r="H1" s="776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Milling and Leach Feed</vt:lpstr>
      <vt:lpstr>Crushing Down Time Hours</vt:lpstr>
      <vt:lpstr>Milling Down Time Hours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2026-09-05T09:19:59Z</dcterms:modified>
</cp:coreProperties>
</file>