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7E73302-A795-4965-B47B-9BCBDFD01B73}" xr6:coauthVersionLast="47" xr6:coauthVersionMax="47" xr10:uidLastSave="{00000000-0000-0000-0000-000000000000}"/>
  <bookViews>
    <workbookView xWindow="-108" yWindow="-108" windowWidth="23256" windowHeight="12456" firstSheet="14" activeTab="16" xr2:uid="{1824974A-EE11-4D45-9E77-7FD654A455C0}"/>
  </bookViews>
  <sheets>
    <sheet name="AAS lab Crushing Daily " sheetId="16" r:id="rId1"/>
    <sheet name="Daily Summary " sheetId="7" r:id="rId2"/>
    <sheet name="Crushing" sheetId="1" r:id="rId3"/>
    <sheet name="Rom File Inventory" sheetId="12" r:id="rId4"/>
    <sheet name="Reagent Consumption" sheetId="2" r:id="rId5"/>
    <sheet name="Crushing Down Time Hours" sheetId="8" r:id="rId6"/>
    <sheet name="LT Ball Mill" sheetId="17" r:id="rId7"/>
    <sheet name="Milling Down Time Hours" sheetId="5" r:id="rId8"/>
    <sheet name="Au Cal Leaching Tank" sheetId="13" r:id="rId9"/>
    <sheet name="Milling and Leach Feed" sheetId="21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5" i="5" l="1"/>
  <c r="S66" i="5"/>
  <c r="S64" i="5"/>
  <c r="S63" i="5"/>
  <c r="S62" i="5"/>
  <c r="R59" i="5"/>
  <c r="R25" i="5"/>
  <c r="Q25" i="5"/>
  <c r="P25" i="5"/>
  <c r="L45" i="5"/>
  <c r="L47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5" i="7"/>
  <c r="N46" i="7"/>
  <c r="N47" i="7"/>
  <c r="N48" i="7"/>
  <c r="N49" i="7"/>
  <c r="N50" i="7"/>
  <c r="N51" i="7"/>
  <c r="N52" i="7"/>
  <c r="N53" i="7"/>
  <c r="N54" i="7"/>
  <c r="N55" i="7"/>
  <c r="N24" i="7"/>
  <c r="D50" i="7"/>
  <c r="D51" i="7"/>
  <c r="D52" i="7"/>
  <c r="D53" i="7"/>
  <c r="D54" i="7"/>
  <c r="D55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C7" i="7"/>
  <c r="D7" i="7"/>
  <c r="C8" i="7"/>
  <c r="D8" i="7"/>
  <c r="C9" i="7"/>
  <c r="D9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C43" i="7"/>
  <c r="D43" i="7"/>
  <c r="I25" i="7"/>
  <c r="E25" i="7"/>
  <c r="I26" i="7"/>
  <c r="E26" i="7"/>
  <c r="I27" i="7"/>
  <c r="E27" i="7"/>
  <c r="I28" i="7"/>
  <c r="E28" i="7"/>
  <c r="I29" i="7"/>
  <c r="E29" i="7"/>
  <c r="I30" i="7"/>
  <c r="E30" i="7"/>
  <c r="I31" i="7"/>
  <c r="E31" i="7"/>
  <c r="I32" i="7"/>
  <c r="E32" i="7"/>
  <c r="I33" i="7"/>
  <c r="E33" i="7"/>
  <c r="I34" i="7"/>
  <c r="E34" i="7"/>
  <c r="I35" i="7"/>
  <c r="E35" i="7"/>
  <c r="I36" i="7"/>
  <c r="E36" i="7"/>
  <c r="I37" i="7"/>
  <c r="E37" i="7"/>
  <c r="I38" i="7"/>
  <c r="E38" i="7"/>
  <c r="I39" i="7"/>
  <c r="E39" i="7"/>
  <c r="I40" i="7"/>
  <c r="E40" i="7"/>
  <c r="I41" i="7"/>
  <c r="E41" i="7"/>
  <c r="I42" i="7"/>
  <c r="E42" i="7"/>
  <c r="I43" i="7"/>
  <c r="E43" i="7"/>
  <c r="C44" i="7"/>
  <c r="I44" i="7"/>
  <c r="E44" i="7"/>
  <c r="I45" i="7"/>
  <c r="E45" i="7"/>
  <c r="C46" i="7"/>
  <c r="I46" i="7"/>
  <c r="E46" i="7"/>
  <c r="C47" i="7"/>
  <c r="I47" i="7"/>
  <c r="E47" i="7"/>
  <c r="C48" i="7"/>
  <c r="I48" i="7"/>
  <c r="E48" i="7"/>
  <c r="I49" i="7"/>
  <c r="E49" i="7"/>
  <c r="I24" i="7"/>
  <c r="E24" i="7"/>
  <c r="AA26" i="2"/>
  <c r="Z26" i="2"/>
  <c r="P46" i="21"/>
  <c r="Q46" i="21"/>
  <c r="R46" i="21"/>
  <c r="K18" i="13"/>
  <c r="S18" i="13" s="1"/>
  <c r="AO18" i="13" s="1"/>
  <c r="N29" i="20"/>
  <c r="P29" i="20"/>
  <c r="F19" i="20"/>
  <c r="H19" i="20"/>
  <c r="R43" i="21"/>
  <c r="R44" i="21"/>
  <c r="R45" i="21"/>
  <c r="M103" i="1"/>
  <c r="N78" i="1"/>
  <c r="K79" i="1"/>
  <c r="L79" i="1"/>
  <c r="M79" i="1"/>
  <c r="I79" i="1"/>
  <c r="F37" i="7"/>
  <c r="U42" i="21"/>
  <c r="V42" i="21"/>
  <c r="T42" i="21"/>
  <c r="P43" i="21"/>
  <c r="P44" i="21"/>
  <c r="P45" i="21"/>
  <c r="C18" i="13"/>
  <c r="J45" i="21"/>
  <c r="AD17" i="13"/>
  <c r="AE17" i="13"/>
  <c r="AC17" i="13"/>
  <c r="H13" i="15"/>
  <c r="I13" i="15"/>
  <c r="G13" i="15"/>
  <c r="Q44" i="21"/>
  <c r="Q45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V17" i="13"/>
  <c r="W17" i="13"/>
  <c r="U17" i="13"/>
  <c r="AD16" i="13"/>
  <c r="Q43" i="21"/>
  <c r="J43" i="21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N104" i="1"/>
  <c r="Q42" i="21"/>
  <c r="R42" i="21"/>
  <c r="G37" i="7"/>
  <c r="G7" i="7"/>
  <c r="G8" i="7"/>
  <c r="G9" i="7"/>
  <c r="G10" i="7"/>
  <c r="G11" i="7"/>
  <c r="G12" i="7"/>
  <c r="G13" i="7"/>
  <c r="G14" i="7"/>
  <c r="F15" i="7"/>
  <c r="G15" i="7"/>
  <c r="G16" i="7"/>
  <c r="F17" i="7"/>
  <c r="G17" i="7"/>
  <c r="G18" i="7"/>
  <c r="F20" i="7"/>
  <c r="G20" i="7"/>
  <c r="F21" i="7"/>
  <c r="G21" i="7"/>
  <c r="F22" i="7"/>
  <c r="G22" i="7"/>
  <c r="F23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F36" i="7"/>
  <c r="G36" i="7"/>
  <c r="G38" i="7"/>
  <c r="G39" i="7"/>
  <c r="G40" i="7"/>
  <c r="G41" i="7"/>
  <c r="G42" i="7"/>
  <c r="G43" i="7"/>
  <c r="G44" i="7"/>
  <c r="G46" i="7"/>
  <c r="G47" i="7"/>
  <c r="G48" i="7"/>
  <c r="G19" i="7"/>
  <c r="G45" i="7"/>
  <c r="G49" i="7"/>
  <c r="G56" i="7"/>
  <c r="D44" i="7"/>
  <c r="D45" i="7"/>
  <c r="D46" i="7"/>
  <c r="D47" i="7"/>
  <c r="D48" i="7"/>
  <c r="D49" i="7"/>
  <c r="G63" i="7"/>
  <c r="J42" i="21"/>
  <c r="O32" i="2"/>
  <c r="O10" i="2"/>
  <c r="D59" i="6"/>
  <c r="J41" i="12"/>
  <c r="F5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N28" i="20"/>
  <c r="P28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Q60" i="5" s="1"/>
  <c r="S22" i="5"/>
  <c r="S23" i="5"/>
  <c r="S24" i="5"/>
  <c r="S59" i="5"/>
  <c r="S60" i="5" s="1"/>
  <c r="AJ6" i="5"/>
  <c r="AI6" i="5"/>
  <c r="AH6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S17" i="13" s="1"/>
  <c r="AO17" i="13" s="1"/>
  <c r="P41" i="21"/>
  <c r="Q41" i="21"/>
  <c r="R41" i="21"/>
  <c r="J41" i="21"/>
  <c r="L37" i="5"/>
  <c r="L35" i="5"/>
  <c r="Z9" i="12"/>
  <c r="Z10" i="12"/>
  <c r="Z13" i="12"/>
  <c r="Z15" i="12"/>
  <c r="P42" i="21"/>
  <c r="P40" i="21"/>
  <c r="P39" i="21"/>
  <c r="P38" i="21"/>
  <c r="Q99" i="21"/>
  <c r="R99" i="21"/>
  <c r="Q17" i="13"/>
  <c r="R17" i="13" s="1"/>
  <c r="M46" i="21" s="1"/>
  <c r="Q18" i="13"/>
  <c r="H46" i="21" s="1"/>
  <c r="I46" i="21" s="1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R16" i="13" s="1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O24" i="21" s="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I20" i="21" s="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I21" i="21" s="1"/>
  <c r="H22" i="21"/>
  <c r="I22" i="21" s="1"/>
  <c r="Y15" i="21"/>
  <c r="X15" i="21"/>
  <c r="W15" i="21"/>
  <c r="AB15" i="21" s="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 s="1"/>
  <c r="W9" i="21"/>
  <c r="AB9" i="21"/>
  <c r="Y9" i="21"/>
  <c r="M10" i="21"/>
  <c r="X9" i="21"/>
  <c r="I10" i="21"/>
  <c r="H11" i="21"/>
  <c r="I11" i="21"/>
  <c r="W6" i="21"/>
  <c r="O6" i="21"/>
  <c r="X6" i="21"/>
  <c r="Y6" i="21"/>
  <c r="M8" i="21"/>
  <c r="N7" i="21"/>
  <c r="S5" i="21"/>
  <c r="W7" i="2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AD13" i="13"/>
  <c r="AE13" i="13"/>
  <c r="AC13" i="13"/>
  <c r="H9" i="15"/>
  <c r="I9" i="15"/>
  <c r="G9" i="15"/>
  <c r="I103" i="1"/>
  <c r="S19" i="13"/>
  <c r="AO19" i="13" s="1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S14" i="13" s="1"/>
  <c r="AO14" i="13" s="1"/>
  <c r="AZ14" i="13" s="1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S96" i="13" s="1"/>
  <c r="I8" i="15"/>
  <c r="AE12" i="13"/>
  <c r="T96" i="13" s="1"/>
  <c r="G8" i="15"/>
  <c r="AC12" i="13"/>
  <c r="R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S13" i="13" s="1"/>
  <c r="AO13" i="13" s="1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AM14" i="13" s="1"/>
  <c r="H28" i="21"/>
  <c r="I28" i="21"/>
  <c r="H38" i="21"/>
  <c r="I38" i="21" s="1"/>
  <c r="H39" i="21"/>
  <c r="I39" i="21"/>
  <c r="R14" i="13"/>
  <c r="M35" i="21" s="1"/>
  <c r="H33" i="4"/>
  <c r="H25" i="21"/>
  <c r="H35" i="21"/>
  <c r="H36" i="21"/>
  <c r="M25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H28" i="4"/>
  <c r="I28" i="4" s="1"/>
  <c r="H25" i="4"/>
  <c r="S15" i="13"/>
  <c r="AO15" i="13"/>
  <c r="AA35" i="4"/>
  <c r="AC34" i="4"/>
  <c r="AA39" i="4"/>
  <c r="H17" i="4"/>
  <c r="I17" i="4" s="1"/>
  <c r="AF40" i="4"/>
  <c r="M28" i="21"/>
  <c r="M29" i="21"/>
  <c r="M28" i="4"/>
  <c r="X28" i="4"/>
  <c r="L16" i="13"/>
  <c r="K100" i="13"/>
  <c r="P26" i="21"/>
  <c r="Q26" i="21"/>
  <c r="P22" i="21"/>
  <c r="Q22" i="21"/>
  <c r="P22" i="4"/>
  <c r="Q22" i="4"/>
  <c r="AA102" i="21"/>
  <c r="AA101" i="21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N11" i="13" s="1"/>
  <c r="AE60" i="13"/>
  <c r="G7" i="15"/>
  <c r="R11" i="13"/>
  <c r="M20" i="21"/>
  <c r="M21" i="21"/>
  <c r="L13" i="13"/>
  <c r="J16" i="5"/>
  <c r="K16" i="5"/>
  <c r="V13" i="13"/>
  <c r="V12" i="13"/>
  <c r="V62" i="13" s="1"/>
  <c r="W13" i="13"/>
  <c r="N97" i="13" s="1"/>
  <c r="W12" i="13"/>
  <c r="U13" i="13"/>
  <c r="U12" i="13"/>
  <c r="L96" i="13" s="1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Z14" i="12"/>
  <c r="W20" i="21"/>
  <c r="AB20" i="21" s="1"/>
  <c r="X21" i="21"/>
  <c r="W21" i="21"/>
  <c r="AB21" i="21"/>
  <c r="M22" i="21"/>
  <c r="L12" i="13"/>
  <c r="W11" i="13"/>
  <c r="N95" i="13" s="1"/>
  <c r="V11" i="13"/>
  <c r="U11" i="13"/>
  <c r="O9" i="12"/>
  <c r="O8" i="12"/>
  <c r="M23" i="12"/>
  <c r="M25" i="12"/>
  <c r="H9" i="4"/>
  <c r="H10" i="4"/>
  <c r="M5" i="4"/>
  <c r="K11" i="13"/>
  <c r="K95" i="13" s="1"/>
  <c r="S11" i="13"/>
  <c r="AO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H11" i="4"/>
  <c r="I10" i="4"/>
  <c r="M7" i="4"/>
  <c r="O7" i="4"/>
  <c r="M9" i="4"/>
  <c r="H7" i="4"/>
  <c r="H8" i="4"/>
  <c r="N5" i="4"/>
  <c r="V10" i="13"/>
  <c r="U10" i="13"/>
  <c r="W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O8" i="2"/>
  <c r="O9" i="2"/>
  <c r="S5" i="4"/>
  <c r="W6" i="4"/>
  <c r="Z6" i="4" s="1"/>
  <c r="Y6" i="4"/>
  <c r="X6" i="4"/>
  <c r="Y10" i="13" s="1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59" i="7"/>
  <c r="O14" i="12"/>
  <c r="X10" i="13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I62" i="7"/>
  <c r="S14" i="1"/>
  <c r="S16" i="1"/>
  <c r="J16" i="12"/>
  <c r="F57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S97" i="13"/>
  <c r="T97" i="13"/>
  <c r="S98" i="13"/>
  <c r="T98" i="13"/>
  <c r="R95" i="13"/>
  <c r="R97" i="13"/>
  <c r="R98" i="13"/>
  <c r="M98" i="13"/>
  <c r="N98" i="13"/>
  <c r="AC26" i="2"/>
  <c r="R32" i="21"/>
  <c r="R32" i="4"/>
  <c r="M43" i="12"/>
  <c r="AL15" i="13"/>
  <c r="AM15" i="13"/>
  <c r="M97" i="13"/>
  <c r="L97" i="13"/>
  <c r="M96" i="13"/>
  <c r="N96" i="13"/>
  <c r="P32" i="21"/>
  <c r="O32" i="21"/>
  <c r="Q32" i="21"/>
  <c r="Q32" i="4"/>
  <c r="P32" i="4"/>
  <c r="L6" i="11"/>
  <c r="P17" i="2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R10" i="11"/>
  <c r="S10" i="11"/>
  <c r="T10" i="11"/>
  <c r="AM11" i="13"/>
  <c r="K57" i="14"/>
  <c r="K58" i="14"/>
  <c r="L33" i="14"/>
  <c r="O5" i="21"/>
  <c r="I5" i="21"/>
  <c r="Q5" i="21"/>
  <c r="AL14" i="13"/>
  <c r="AI14" i="13"/>
  <c r="AJ14" i="13"/>
  <c r="AK14" i="13"/>
  <c r="K98" i="13"/>
  <c r="K97" i="13"/>
  <c r="L57" i="14"/>
  <c r="M57" i="14"/>
  <c r="M33" i="14"/>
  <c r="BA14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AM69" i="13"/>
  <c r="AM68" i="13"/>
  <c r="AM70" i="13"/>
  <c r="L94" i="13"/>
  <c r="L101" i="13" s="1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W60" i="13"/>
  <c r="AI11" i="13"/>
  <c r="R5" i="4"/>
  <c r="L99" i="4"/>
  <c r="AB23" i="4"/>
  <c r="AB24" i="4"/>
  <c r="F61" i="7"/>
  <c r="X63" i="7"/>
  <c r="F60" i="7"/>
  <c r="X64" i="7"/>
  <c r="X61" i="7"/>
  <c r="X62" i="7"/>
  <c r="F12" i="8"/>
  <c r="F10" i="8"/>
  <c r="K10" i="8"/>
  <c r="L46" i="8"/>
  <c r="F6" i="8"/>
  <c r="K6" i="8"/>
  <c r="L6" i="8"/>
  <c r="V18" i="1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6" i="5"/>
  <c r="J46" i="5" s="1"/>
  <c r="K46" i="5" s="1"/>
  <c r="G47" i="5"/>
  <c r="G41" i="5"/>
  <c r="J41" i="5"/>
  <c r="K41" i="5"/>
  <c r="Q7" i="2"/>
  <c r="K66" i="1"/>
  <c r="M66" i="1"/>
  <c r="K67" i="1"/>
  <c r="M67" i="1"/>
  <c r="P77" i="4"/>
  <c r="K33" i="8"/>
  <c r="M11" i="8"/>
  <c r="N6" i="8"/>
  <c r="I11" i="7"/>
  <c r="N11" i="8"/>
  <c r="M13" i="12"/>
  <c r="M6" i="8"/>
  <c r="M9" i="12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H37" i="7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57" i="7" s="1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R21" i="21"/>
  <c r="R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I8" i="21"/>
  <c r="O8" i="21"/>
  <c r="P36" i="21"/>
  <c r="Q36" i="21"/>
  <c r="R30" i="5"/>
  <c r="S30" i="5"/>
  <c r="S28" i="5"/>
  <c r="R28" i="5"/>
  <c r="Q13" i="5"/>
  <c r="Q20" i="4"/>
  <c r="P20" i="4"/>
  <c r="Q9" i="5"/>
  <c r="Q8" i="5"/>
  <c r="Q7" i="5"/>
  <c r="Q6" i="5"/>
  <c r="S27" i="5"/>
  <c r="R43" i="4"/>
  <c r="I43" i="4"/>
  <c r="P30" i="4"/>
  <c r="P21" i="4"/>
  <c r="Q21" i="4"/>
  <c r="P21" i="21"/>
  <c r="Q21" i="21"/>
  <c r="Q33" i="4"/>
  <c r="P33" i="4"/>
  <c r="P31" i="21"/>
  <c r="Q31" i="21"/>
  <c r="P31" i="4"/>
  <c r="Q31" i="4"/>
  <c r="Q30" i="21"/>
  <c r="P30" i="21"/>
  <c r="Q29" i="21"/>
  <c r="P29" i="21"/>
  <c r="O29" i="21"/>
  <c r="Q27" i="21"/>
  <c r="P27" i="21"/>
  <c r="P25" i="21"/>
  <c r="Q25" i="21"/>
  <c r="Q24" i="21"/>
  <c r="P24" i="21"/>
  <c r="Q23" i="21"/>
  <c r="P23" i="21"/>
  <c r="Q20" i="21"/>
  <c r="P20" i="21"/>
  <c r="P19" i="21"/>
  <c r="Q19" i="21"/>
  <c r="R17" i="4"/>
  <c r="R13" i="21"/>
  <c r="R13" i="4"/>
  <c r="R9" i="4"/>
  <c r="J41" i="7"/>
  <c r="J39" i="7"/>
  <c r="R39" i="5"/>
  <c r="J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C16" i="13"/>
  <c r="P60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P43" i="4"/>
  <c r="O43" i="4"/>
  <c r="J42" i="7"/>
  <c r="L44" i="7"/>
  <c r="J25" i="7"/>
  <c r="P7" i="21"/>
  <c r="J27" i="7"/>
  <c r="P11" i="21"/>
  <c r="P11" i="4"/>
  <c r="R8" i="5"/>
  <c r="P17" i="4"/>
  <c r="Q17" i="4"/>
  <c r="I9" i="4"/>
  <c r="O9" i="4"/>
  <c r="P17" i="21"/>
  <c r="Q17" i="21"/>
  <c r="O9" i="21"/>
  <c r="I9" i="21"/>
  <c r="Q9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C12" i="13"/>
  <c r="AB26" i="4"/>
  <c r="AC14" i="4"/>
  <c r="AC15" i="4"/>
  <c r="K11" i="1"/>
  <c r="M11" i="1"/>
  <c r="K13" i="1"/>
  <c r="M13" i="1"/>
  <c r="K14" i="1"/>
  <c r="M14" i="1"/>
  <c r="K10" i="1"/>
  <c r="M10" i="1"/>
  <c r="M9" i="1"/>
  <c r="E16" i="7"/>
  <c r="M57" i="7"/>
  <c r="AD8" i="7"/>
  <c r="R60" i="2"/>
  <c r="AB8" i="2"/>
  <c r="AB8" i="7"/>
  <c r="AB57" i="7"/>
  <c r="Q60" i="2"/>
  <c r="O60" i="2"/>
  <c r="AE8" i="7"/>
  <c r="S60" i="2"/>
  <c r="AF8" i="7"/>
  <c r="AF56" i="7"/>
  <c r="T60" i="2"/>
  <c r="AC9" i="7"/>
  <c r="AC57" i="7"/>
  <c r="P60" i="2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AB26" i="2"/>
  <c r="E23" i="7"/>
  <c r="H30" i="7"/>
  <c r="H41" i="7"/>
  <c r="W93" i="12"/>
  <c r="X94" i="12"/>
  <c r="H49" i="7"/>
  <c r="H33" i="7"/>
  <c r="H47" i="7"/>
  <c r="E20" i="7"/>
  <c r="H20" i="7"/>
  <c r="H43" i="7"/>
  <c r="AA8" i="2"/>
  <c r="T62" i="2"/>
  <c r="Z8" i="2"/>
  <c r="E21" i="7"/>
  <c r="H21" i="7"/>
  <c r="H8" i="7"/>
  <c r="E8" i="7"/>
  <c r="E10" i="7"/>
  <c r="AF57" i="7"/>
  <c r="Z56" i="7"/>
  <c r="AC56" i="7"/>
  <c r="AB56" i="7"/>
  <c r="U60" i="2"/>
  <c r="X8" i="2"/>
  <c r="Y8" i="2"/>
  <c r="H16" i="7"/>
  <c r="H15" i="7"/>
  <c r="Z57" i="7"/>
  <c r="L103" i="1"/>
  <c r="K103" i="1"/>
  <c r="M6" i="1"/>
  <c r="H27" i="7"/>
  <c r="E7" i="7"/>
  <c r="Y26" i="2"/>
  <c r="X26" i="2"/>
  <c r="H45" i="7"/>
  <c r="H31" i="7"/>
  <c r="H39" i="7"/>
  <c r="E22" i="7"/>
  <c r="H22" i="7"/>
  <c r="H35" i="7"/>
  <c r="N103" i="1"/>
  <c r="H17" i="7"/>
  <c r="E17" i="7"/>
  <c r="H10" i="7"/>
  <c r="H12" i="7"/>
  <c r="E12" i="7"/>
  <c r="M95" i="13"/>
  <c r="E18" i="7"/>
  <c r="AJ11" i="13"/>
  <c r="E19" i="7"/>
  <c r="H13" i="7"/>
  <c r="E13" i="7"/>
  <c r="E15" i="7"/>
  <c r="H7" i="7"/>
  <c r="H26" i="7"/>
  <c r="H29" i="7"/>
  <c r="Z27" i="2"/>
  <c r="C56" i="7"/>
  <c r="H34" i="7"/>
  <c r="E11" i="7"/>
  <c r="E9" i="7"/>
  <c r="H14" i="7"/>
  <c r="C57" i="7"/>
  <c r="X67" i="7"/>
  <c r="E14" i="7"/>
  <c r="E57" i="7"/>
  <c r="X68" i="7"/>
  <c r="H11" i="7"/>
  <c r="AR11" i="13"/>
  <c r="BA11" i="13"/>
  <c r="Y28" i="2"/>
  <c r="AA28" i="2"/>
  <c r="Z28" i="2"/>
  <c r="AB28" i="2"/>
  <c r="AC28" i="2"/>
  <c r="X28" i="2"/>
  <c r="H9" i="7"/>
  <c r="H56" i="7"/>
  <c r="G57" i="7"/>
  <c r="H57" i="7"/>
  <c r="L57" i="7" l="1"/>
  <c r="N44" i="7"/>
  <c r="N57" i="7"/>
  <c r="P99" i="4"/>
  <c r="R60" i="5"/>
  <c r="M61" i="5"/>
  <c r="P55" i="4" s="1"/>
  <c r="I25" i="4"/>
  <c r="H27" i="4"/>
  <c r="I27" i="4" s="1"/>
  <c r="Y24" i="4"/>
  <c r="AK12" i="13"/>
  <c r="K96" i="13"/>
  <c r="AJ12" i="13"/>
  <c r="T95" i="13"/>
  <c r="T101" i="13" s="1"/>
  <c r="AO68" i="13"/>
  <c r="AO70" i="13"/>
  <c r="AL12" i="13"/>
  <c r="O28" i="21"/>
  <c r="W28" i="21"/>
  <c r="AB28" i="21" s="1"/>
  <c r="M30" i="21"/>
  <c r="M31" i="21" s="1"/>
  <c r="W62" i="13"/>
  <c r="N94" i="13"/>
  <c r="N101" i="13" s="1"/>
  <c r="AO69" i="13"/>
  <c r="AO67" i="13"/>
  <c r="Y28" i="21"/>
  <c r="AI10" i="13"/>
  <c r="U60" i="13"/>
  <c r="U62" i="13"/>
  <c r="AM67" i="13"/>
  <c r="O32" i="4"/>
  <c r="X32" i="4"/>
  <c r="AL17" i="13"/>
  <c r="AN17" i="13"/>
  <c r="AM17" i="13"/>
  <c r="O16" i="4"/>
  <c r="X16" i="4"/>
  <c r="AK16" i="13"/>
  <c r="AM16" i="13"/>
  <c r="AI16" i="13"/>
  <c r="AL16" i="13"/>
  <c r="AN16" i="13"/>
  <c r="AJ16" i="13"/>
  <c r="H26" i="21"/>
  <c r="I25" i="21"/>
  <c r="Y16" i="4"/>
  <c r="M16" i="21"/>
  <c r="W16" i="21" s="1"/>
  <c r="M33" i="4"/>
  <c r="Y33" i="4" s="1"/>
  <c r="H34" i="4"/>
  <c r="I34" i="4" s="1"/>
  <c r="I33" i="4"/>
  <c r="O24" i="4"/>
  <c r="AI12" i="13"/>
  <c r="W28" i="4"/>
  <c r="M29" i="4"/>
  <c r="W24" i="4"/>
  <c r="N29" i="21"/>
  <c r="W29" i="21"/>
  <c r="AB29" i="21" s="1"/>
  <c r="Y29" i="21"/>
  <c r="S101" i="13"/>
  <c r="K61" i="13"/>
  <c r="K60" i="13"/>
  <c r="S60" i="13" s="1"/>
  <c r="S10" i="13"/>
  <c r="AO10" i="13" s="1"/>
  <c r="T10" i="13"/>
  <c r="K94" i="13"/>
  <c r="AL13" i="13"/>
  <c r="AJ13" i="13"/>
  <c r="AK13" i="13"/>
  <c r="AI13" i="13"/>
  <c r="AW11" i="13"/>
  <c r="AM12" i="13"/>
  <c r="T11" i="13"/>
  <c r="T12" i="13" s="1"/>
  <c r="T13" i="13" s="1"/>
  <c r="T14" i="13" s="1"/>
  <c r="T15" i="13" s="1"/>
  <c r="T16" i="13" s="1"/>
  <c r="T17" i="13" s="1"/>
  <c r="T18" i="13" s="1"/>
  <c r="Y21" i="21"/>
  <c r="O21" i="21"/>
  <c r="V60" i="13"/>
  <c r="AN12" i="13"/>
  <c r="AL11" i="13"/>
  <c r="AQ11" i="13" s="1"/>
  <c r="X20" i="21"/>
  <c r="Y20" i="21"/>
  <c r="O20" i="21"/>
  <c r="AN13" i="13"/>
  <c r="AM13" i="13"/>
  <c r="X28" i="21"/>
  <c r="O28" i="4"/>
  <c r="AQ14" i="13"/>
  <c r="AN68" i="13"/>
  <c r="M94" i="13"/>
  <c r="M101" i="13" s="1"/>
  <c r="AN70" i="13"/>
  <c r="AN69" i="13"/>
  <c r="AN67" i="13"/>
  <c r="M20" i="4"/>
  <c r="O20" i="4" s="1"/>
  <c r="M21" i="4"/>
  <c r="Y21" i="4" s="1"/>
  <c r="M22" i="4"/>
  <c r="W22" i="4" s="1"/>
  <c r="M23" i="4"/>
  <c r="N23" i="4" s="1"/>
  <c r="AK11" i="13"/>
  <c r="Y36" i="4"/>
  <c r="O36" i="4"/>
  <c r="W36" i="4"/>
  <c r="H26" i="4"/>
  <c r="I26" i="4" s="1"/>
  <c r="M26" i="21"/>
  <c r="Y26" i="21" s="1"/>
  <c r="Y25" i="21"/>
  <c r="W25" i="21"/>
  <c r="AB25" i="21" s="1"/>
  <c r="O25" i="21"/>
  <c r="X25" i="21"/>
  <c r="H18" i="4"/>
  <c r="I18" i="4" s="1"/>
  <c r="AS14" i="13"/>
  <c r="AL10" i="13"/>
  <c r="R94" i="13"/>
  <c r="R101" i="13" s="1"/>
  <c r="AR14" i="13"/>
  <c r="C60" i="13"/>
  <c r="C61" i="13"/>
  <c r="M42" i="21"/>
  <c r="M43" i="21"/>
  <c r="L17" i="13"/>
  <c r="M38" i="21"/>
  <c r="M25" i="4"/>
  <c r="M26" i="4"/>
  <c r="I67" i="13"/>
  <c r="AN14" i="13"/>
  <c r="BB14" i="13" s="1"/>
  <c r="M27" i="4"/>
  <c r="AN15" i="13"/>
  <c r="AJ15" i="13"/>
  <c r="AI15" i="13"/>
  <c r="AK15" i="13"/>
  <c r="H40" i="21"/>
  <c r="H41" i="21" s="1"/>
  <c r="I41" i="21" s="1"/>
  <c r="R15" i="13"/>
  <c r="H29" i="21"/>
  <c r="H30" i="21"/>
  <c r="H29" i="4"/>
  <c r="Y46" i="21"/>
  <c r="O46" i="21"/>
  <c r="L18" i="13"/>
  <c r="H42" i="21"/>
  <c r="H19" i="4"/>
  <c r="I19" i="4" s="1"/>
  <c r="X16" i="21"/>
  <c r="X99" i="21" s="1"/>
  <c r="M17" i="21"/>
  <c r="Y16" i="21"/>
  <c r="Y99" i="21" s="1"/>
  <c r="M18" i="21"/>
  <c r="M19" i="21"/>
  <c r="Y22" i="21"/>
  <c r="X22" i="21"/>
  <c r="W22" i="21"/>
  <c r="AB22" i="21" s="1"/>
  <c r="O22" i="21"/>
  <c r="N35" i="21"/>
  <c r="X35" i="21"/>
  <c r="W35" i="21"/>
  <c r="Y35" i="21"/>
  <c r="O35" i="21"/>
  <c r="M36" i="21"/>
  <c r="M37" i="21" s="1"/>
  <c r="S20" i="21"/>
  <c r="AA10" i="13"/>
  <c r="AB10" i="13"/>
  <c r="W30" i="21"/>
  <c r="AB30" i="21" s="1"/>
  <c r="O30" i="21"/>
  <c r="Y30" i="21"/>
  <c r="X30" i="21"/>
  <c r="Z11" i="13"/>
  <c r="M23" i="21"/>
  <c r="Y11" i="13"/>
  <c r="N21" i="21"/>
  <c r="N16" i="21"/>
  <c r="H17" i="21"/>
  <c r="I17" i="21" s="1"/>
  <c r="H18" i="21"/>
  <c r="I18" i="21" s="1"/>
  <c r="X11" i="13"/>
  <c r="Z9" i="4"/>
  <c r="H37" i="21"/>
  <c r="I37" i="21" s="1"/>
  <c r="I36" i="21"/>
  <c r="I20" i="4"/>
  <c r="H21" i="4"/>
  <c r="I21" i="4" s="1"/>
  <c r="AJ10" i="13"/>
  <c r="N16" i="4"/>
  <c r="W15" i="4"/>
  <c r="Z15" i="4" s="1"/>
  <c r="Y15" i="4"/>
  <c r="X15" i="4"/>
  <c r="W12" i="4"/>
  <c r="Z12" i="4" s="1"/>
  <c r="Y41" i="4"/>
  <c r="X41" i="4"/>
  <c r="O41" i="4"/>
  <c r="O26" i="21"/>
  <c r="W26" i="21"/>
  <c r="AB26" i="21" s="1"/>
  <c r="W41" i="4"/>
  <c r="X14" i="4"/>
  <c r="Y40" i="4"/>
  <c r="X40" i="4"/>
  <c r="W40" i="4"/>
  <c r="X13" i="4"/>
  <c r="Y39" i="4"/>
  <c r="X39" i="4"/>
  <c r="O25" i="4"/>
  <c r="Y25" i="4"/>
  <c r="H23" i="21"/>
  <c r="I23" i="21" s="1"/>
  <c r="O43" i="21"/>
  <c r="W39" i="4"/>
  <c r="X12" i="4"/>
  <c r="Y14" i="4"/>
  <c r="O39" i="4"/>
  <c r="Z10" i="13"/>
  <c r="Y13" i="4"/>
  <c r="N21" i="4"/>
  <c r="W16" i="4"/>
  <c r="M17" i="4"/>
  <c r="M18" i="4" s="1"/>
  <c r="O29" i="4"/>
  <c r="X38" i="21"/>
  <c r="X37" i="4"/>
  <c r="Y38" i="4"/>
  <c r="X29" i="21"/>
  <c r="W46" i="21"/>
  <c r="M39" i="21"/>
  <c r="M40" i="21" s="1"/>
  <c r="Y38" i="21"/>
  <c r="O37" i="4"/>
  <c r="X36" i="4"/>
  <c r="X46" i="21"/>
  <c r="N25" i="21"/>
  <c r="Y28" i="4"/>
  <c r="M47" i="21"/>
  <c r="AG56" i="7"/>
  <c r="W31" i="21" l="1"/>
  <c r="AB31" i="21" s="1"/>
  <c r="Y31" i="21"/>
  <c r="X31" i="21"/>
  <c r="O31" i="21"/>
  <c r="AQ15" i="13"/>
  <c r="AZ15" i="13"/>
  <c r="Y99" i="4"/>
  <c r="N27" i="4"/>
  <c r="X27" i="4"/>
  <c r="Y27" i="4"/>
  <c r="S61" i="13"/>
  <c r="Z11" i="2"/>
  <c r="Y11" i="2"/>
  <c r="D60" i="6"/>
  <c r="AA11" i="2"/>
  <c r="M67" i="13"/>
  <c r="J75" i="13" s="1"/>
  <c r="X11" i="2"/>
  <c r="K67" i="13"/>
  <c r="J74" i="13" s="1"/>
  <c r="AC11" i="2"/>
  <c r="N62" i="5"/>
  <c r="N63" i="5" s="1"/>
  <c r="AB11" i="2"/>
  <c r="O27" i="4"/>
  <c r="O16" i="21"/>
  <c r="X20" i="4"/>
  <c r="X22" i="4"/>
  <c r="W27" i="4"/>
  <c r="X14" i="13" s="1"/>
  <c r="AA14" i="13" s="1"/>
  <c r="J70" i="13"/>
  <c r="R67" i="13"/>
  <c r="J76" i="13" s="1"/>
  <c r="I68" i="13"/>
  <c r="AR12" i="13"/>
  <c r="BA12" i="13"/>
  <c r="AW16" i="13" s="1"/>
  <c r="Y22" i="4"/>
  <c r="M34" i="4"/>
  <c r="H43" i="21"/>
  <c r="I42" i="21"/>
  <c r="Y26" i="4"/>
  <c r="X26" i="4"/>
  <c r="O26" i="4"/>
  <c r="W26" i="4"/>
  <c r="I26" i="21"/>
  <c r="H27" i="21"/>
  <c r="I27" i="21" s="1"/>
  <c r="O22" i="4"/>
  <c r="W23" i="4"/>
  <c r="O33" i="4"/>
  <c r="AI18" i="13"/>
  <c r="AL18" i="13"/>
  <c r="AJ18" i="13"/>
  <c r="AM18" i="13"/>
  <c r="AK18" i="13"/>
  <c r="AN18" i="13"/>
  <c r="W25" i="4"/>
  <c r="N25" i="4"/>
  <c r="AR16" i="13"/>
  <c r="BA16" i="13"/>
  <c r="AQ10" i="13"/>
  <c r="AZ10" i="13"/>
  <c r="AS12" i="13"/>
  <c r="BB12" i="13"/>
  <c r="AX16" i="13" s="1"/>
  <c r="I40" i="21"/>
  <c r="X33" i="4"/>
  <c r="X23" i="4"/>
  <c r="N32" i="4"/>
  <c r="O38" i="21"/>
  <c r="W38" i="21"/>
  <c r="AB38" i="21" s="1"/>
  <c r="X99" i="4"/>
  <c r="Y23" i="4"/>
  <c r="W33" i="4"/>
  <c r="O23" i="4"/>
  <c r="H30" i="4"/>
  <c r="I29" i="4"/>
  <c r="AJ17" i="13"/>
  <c r="AI17" i="13"/>
  <c r="AK17" i="13"/>
  <c r="AZ13" i="13"/>
  <c r="AQ13" i="13"/>
  <c r="AZ16" i="13"/>
  <c r="AQ16" i="13"/>
  <c r="M27" i="21"/>
  <c r="N27" i="21" s="1"/>
  <c r="S25" i="21" s="1"/>
  <c r="N42" i="21"/>
  <c r="Y43" i="21"/>
  <c r="X43" i="21"/>
  <c r="W43" i="21"/>
  <c r="BB13" i="13"/>
  <c r="AS13" i="13"/>
  <c r="X29" i="4"/>
  <c r="N29" i="4"/>
  <c r="Y29" i="4"/>
  <c r="S28" i="21"/>
  <c r="W29" i="4"/>
  <c r="X26" i="21"/>
  <c r="N30" i="21"/>
  <c r="H31" i="21"/>
  <c r="I29" i="21"/>
  <c r="M44" i="21"/>
  <c r="M30" i="4"/>
  <c r="AR13" i="13"/>
  <c r="BA13" i="13"/>
  <c r="BB16" i="13"/>
  <c r="AS16" i="13"/>
  <c r="X25" i="4"/>
  <c r="O42" i="21"/>
  <c r="Y42" i="21"/>
  <c r="X42" i="21"/>
  <c r="W42" i="21"/>
  <c r="AZ12" i="13"/>
  <c r="AQ12" i="13"/>
  <c r="AZ11" i="13"/>
  <c r="BB15" i="13"/>
  <c r="AS15" i="13"/>
  <c r="BB11" i="13"/>
  <c r="AS11" i="13"/>
  <c r="K102" i="13"/>
  <c r="K101" i="13"/>
  <c r="BA15" i="13"/>
  <c r="AR15" i="13"/>
  <c r="X21" i="4"/>
  <c r="W21" i="4"/>
  <c r="O21" i="4"/>
  <c r="H35" i="4"/>
  <c r="Y20" i="4"/>
  <c r="S20" i="4"/>
  <c r="W20" i="4"/>
  <c r="S16" i="21"/>
  <c r="Z14" i="13"/>
  <c r="J77" i="13"/>
  <c r="AB14" i="13"/>
  <c r="O40" i="21"/>
  <c r="Y40" i="21"/>
  <c r="X40" i="21"/>
  <c r="W40" i="21"/>
  <c r="AB40" i="21" s="1"/>
  <c r="Y39" i="21"/>
  <c r="X39" i="21"/>
  <c r="W39" i="21"/>
  <c r="O39" i="21"/>
  <c r="AR10" i="13"/>
  <c r="BA10" i="13"/>
  <c r="W99" i="4"/>
  <c r="N38" i="21"/>
  <c r="O37" i="21"/>
  <c r="X37" i="21"/>
  <c r="W37" i="21"/>
  <c r="AB37" i="21" s="1"/>
  <c r="Y37" i="21"/>
  <c r="M19" i="4"/>
  <c r="H19" i="21"/>
  <c r="I19" i="21" s="1"/>
  <c r="W99" i="21"/>
  <c r="AB16" i="21"/>
  <c r="M41" i="21"/>
  <c r="W23" i="21"/>
  <c r="AB23" i="21" s="1"/>
  <c r="Y23" i="21"/>
  <c r="O23" i="21"/>
  <c r="N23" i="21"/>
  <c r="X23" i="21"/>
  <c r="X34" i="4"/>
  <c r="W34" i="4"/>
  <c r="O34" i="4"/>
  <c r="Y34" i="4"/>
  <c r="X17" i="4"/>
  <c r="W17" i="4"/>
  <c r="Z17" i="4" s="1"/>
  <c r="AA98" i="4" s="1"/>
  <c r="Y17" i="4"/>
  <c r="S16" i="4"/>
  <c r="N17" i="4"/>
  <c r="O17" i="4"/>
  <c r="AA11" i="13"/>
  <c r="AB11" i="13"/>
  <c r="AK10" i="13"/>
  <c r="W19" i="21"/>
  <c r="AB19" i="21" s="1"/>
  <c r="Y19" i="21"/>
  <c r="N19" i="21"/>
  <c r="X19" i="21"/>
  <c r="O19" i="21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O18" i="21"/>
  <c r="X18" i="21"/>
  <c r="W18" i="21"/>
  <c r="AB18" i="21" s="1"/>
  <c r="Y18" i="21"/>
  <c r="H22" i="4"/>
  <c r="I22" i="4" s="1"/>
  <c r="W17" i="21"/>
  <c r="AB17" i="21" s="1"/>
  <c r="O17" i="21"/>
  <c r="N17" i="21"/>
  <c r="Y17" i="21"/>
  <c r="X17" i="21"/>
  <c r="AV15" i="13" l="1"/>
  <c r="AV13" i="13"/>
  <c r="AV11" i="13"/>
  <c r="AW13" i="13"/>
  <c r="O27" i="21"/>
  <c r="W27" i="21"/>
  <c r="AB27" i="21" s="1"/>
  <c r="AS17" i="13"/>
  <c r="BB17" i="13"/>
  <c r="AX17" i="13" s="1"/>
  <c r="X27" i="21"/>
  <c r="M35" i="4"/>
  <c r="I35" i="4"/>
  <c r="AV14" i="13"/>
  <c r="AV12" i="13"/>
  <c r="AV10" i="13"/>
  <c r="Y27" i="21"/>
  <c r="AR17" i="13"/>
  <c r="BA17" i="13"/>
  <c r="H23" i="4"/>
  <c r="I23" i="4" s="1"/>
  <c r="H31" i="4"/>
  <c r="I31" i="4" s="1"/>
  <c r="I30" i="4"/>
  <c r="AW17" i="13"/>
  <c r="AW15" i="13"/>
  <c r="AX13" i="13"/>
  <c r="BB18" i="13"/>
  <c r="AS18" i="13"/>
  <c r="H44" i="21"/>
  <c r="I43" i="21"/>
  <c r="AX15" i="13"/>
  <c r="AX11" i="13"/>
  <c r="X30" i="4"/>
  <c r="M31" i="4"/>
  <c r="S28" i="4"/>
  <c r="W30" i="4"/>
  <c r="Y30" i="4"/>
  <c r="O30" i="4"/>
  <c r="AR18" i="13"/>
  <c r="BA18" i="13"/>
  <c r="M45" i="21"/>
  <c r="O44" i="21"/>
  <c r="N44" i="21"/>
  <c r="Y44" i="21"/>
  <c r="X44" i="21"/>
  <c r="W44" i="21"/>
  <c r="AZ18" i="13"/>
  <c r="AZ61" i="13" s="1"/>
  <c r="AQ18" i="13"/>
  <c r="X16" i="13"/>
  <c r="AV16" i="13"/>
  <c r="J72" i="13"/>
  <c r="J73" i="13" s="1"/>
  <c r="Y16" i="13"/>
  <c r="AR60" i="13"/>
  <c r="AZ17" i="13"/>
  <c r="AV17" i="13" s="1"/>
  <c r="AQ17" i="13"/>
  <c r="AQ60" i="13"/>
  <c r="AI63" i="13" s="1"/>
  <c r="S42" i="21"/>
  <c r="AA98" i="21"/>
  <c r="Y14" i="13"/>
  <c r="S25" i="4"/>
  <c r="Z16" i="13"/>
  <c r="O41" i="21"/>
  <c r="Y41" i="21"/>
  <c r="Z17" i="13" s="1"/>
  <c r="X41" i="21"/>
  <c r="Y17" i="13" s="1"/>
  <c r="W41" i="21"/>
  <c r="X17" i="13" s="1"/>
  <c r="Z12" i="13"/>
  <c r="AA101" i="4"/>
  <c r="Y12" i="13"/>
  <c r="Y19" i="4"/>
  <c r="Z13" i="13" s="1"/>
  <c r="X19" i="4"/>
  <c r="Y13" i="13" s="1"/>
  <c r="O19" i="4"/>
  <c r="W19" i="4"/>
  <c r="X13" i="13" s="1"/>
  <c r="N19" i="4"/>
  <c r="X12" i="13"/>
  <c r="AB39" i="21"/>
  <c r="AB16" i="13"/>
  <c r="AA16" i="13"/>
  <c r="N40" i="21"/>
  <c r="AS10" i="13"/>
  <c r="BB10" i="13"/>
  <c r="AA102" i="4"/>
  <c r="S38" i="21"/>
  <c r="AW14" i="13"/>
  <c r="AW12" i="13"/>
  <c r="AW10" i="13"/>
  <c r="BA61" i="13"/>
  <c r="M99" i="4"/>
  <c r="H45" i="21" l="1"/>
  <c r="I45" i="21" s="1"/>
  <c r="I44" i="21"/>
  <c r="Y35" i="4"/>
  <c r="X35" i="4"/>
  <c r="O35" i="4"/>
  <c r="W35" i="4"/>
  <c r="N34" i="4"/>
  <c r="X45" i="21"/>
  <c r="W45" i="21"/>
  <c r="O45" i="21"/>
  <c r="Y45" i="21"/>
  <c r="M99" i="21"/>
  <c r="AS60" i="13"/>
  <c r="X31" i="4"/>
  <c r="Y15" i="13" s="1"/>
  <c r="Y60" i="13" s="1"/>
  <c r="O31" i="4"/>
  <c r="Y31" i="4"/>
  <c r="Z15" i="13" s="1"/>
  <c r="W31" i="4"/>
  <c r="X15" i="13" s="1"/>
  <c r="X60" i="13" s="1"/>
  <c r="N30" i="4"/>
  <c r="N102" i="4" s="1"/>
  <c r="AB17" i="13"/>
  <c r="AA17" i="13"/>
  <c r="AX10" i="13"/>
  <c r="AX12" i="13" s="1"/>
  <c r="AX14" i="13"/>
  <c r="BB61" i="13"/>
  <c r="AB13" i="13"/>
  <c r="AA13" i="13"/>
  <c r="AB12" i="13"/>
  <c r="AA12" i="13"/>
  <c r="Z60" i="13" l="1"/>
  <c r="Z62" i="13"/>
  <c r="Y62" i="13"/>
  <c r="AB15" i="13"/>
  <c r="AA15" i="13"/>
  <c r="X6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<sst xmlns="http://schemas.openxmlformats.org/spreadsheetml/2006/main" count="2088" uniqueCount="668">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</sst>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164" fontId="65" fillId="0" borderId="0" applyFont="0" applyFill="0" applyBorder="0" applyAlignment="0" applyProtection="0"/>
  </cellStyleXfs>
  <cellXfs count="145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5" fillId="2" borderId="12" xfId="0" applyFont="1" applyFill="1" applyBorder="1"/>
    <xf numFmtId="0" fontId="0" fillId="2" borderId="12" xfId="0" applyFill="1" applyBorder="1"/>
    <xf numFmtId="0" fontId="65" fillId="2" borderId="15" xfId="0" applyFont="1" applyFill="1" applyBorder="1" applyAlignment="1">
      <alignment vertical="center"/>
    </xf>
    <xf numFmtId="0" fontId="65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6" fillId="4" borderId="12" xfId="0" applyFont="1" applyFill="1" applyBorder="1" applyAlignment="1">
      <alignment horizontal="center"/>
    </xf>
    <xf numFmtId="0" fontId="66" fillId="3" borderId="12" xfId="0" applyFon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6" fillId="3" borderId="12" xfId="0" applyFont="1" applyFill="1" applyBorder="1"/>
    <xf numFmtId="0" fontId="0" fillId="3" borderId="12" xfId="0" applyFill="1" applyBorder="1"/>
    <xf numFmtId="0" fontId="66" fillId="3" borderId="31" xfId="0" applyFont="1" applyFill="1" applyBorder="1" applyAlignment="1">
      <alignment horizontal="center"/>
    </xf>
    <xf numFmtId="0" fontId="6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7" fillId="5" borderId="0" xfId="0" applyFont="1" applyFill="1"/>
    <xf numFmtId="0" fontId="6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9" fillId="2" borderId="0" xfId="3" applyNumberFormat="1" applyFont="1" applyFill="1"/>
    <xf numFmtId="170" fontId="6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5" fillId="2" borderId="12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0" fillId="5" borderId="0" xfId="2" applyNumberFormat="1" applyFont="1" applyFill="1"/>
    <xf numFmtId="172" fontId="6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1" fillId="6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8" borderId="12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14" fontId="7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1" fillId="7" borderId="20" xfId="0" applyNumberFormat="1" applyFont="1" applyFill="1" applyBorder="1" applyAlignment="1">
      <alignment horizontal="center" vertical="center"/>
    </xf>
    <xf numFmtId="14" fontId="71" fillId="7" borderId="21" xfId="0" applyNumberFormat="1" applyFont="1" applyFill="1" applyBorder="1" applyAlignment="1">
      <alignment horizontal="center" vertical="center"/>
    </xf>
    <xf numFmtId="14" fontId="71" fillId="7" borderId="28" xfId="0" applyNumberFormat="1" applyFont="1" applyFill="1" applyBorder="1" applyAlignment="1">
      <alignment horizontal="center" vertical="center"/>
    </xf>
    <xf numFmtId="0" fontId="66" fillId="10" borderId="12" xfId="0" applyFont="1" applyFill="1" applyBorder="1" applyAlignment="1">
      <alignment horizontal="center"/>
    </xf>
    <xf numFmtId="0" fontId="73" fillId="11" borderId="12" xfId="0" applyFont="1" applyFill="1" applyBorder="1" applyAlignment="1">
      <alignment horizontal="center" vertical="center"/>
    </xf>
    <xf numFmtId="0" fontId="66" fillId="10" borderId="12" xfId="0" applyFont="1" applyFill="1" applyBorder="1" applyAlignment="1">
      <alignment horizontal="center" vertical="center"/>
    </xf>
    <xf numFmtId="14" fontId="73" fillId="12" borderId="12" xfId="0" applyNumberFormat="1" applyFont="1" applyFill="1" applyBorder="1" applyAlignment="1">
      <alignment horizontal="center" vertical="center"/>
    </xf>
    <xf numFmtId="0" fontId="73" fillId="13" borderId="12" xfId="0" applyFont="1" applyFill="1" applyBorder="1" applyAlignment="1">
      <alignment horizontal="center" vertical="center"/>
    </xf>
    <xf numFmtId="0" fontId="65" fillId="0" borderId="7" xfId="0" applyFont="1" applyBorder="1" applyAlignment="1">
      <alignment horizontal="center"/>
    </xf>
    <xf numFmtId="20" fontId="65" fillId="2" borderId="28" xfId="0" applyNumberFormat="1" applyFont="1" applyFill="1" applyBorder="1" applyAlignment="1">
      <alignment horizontal="center" vertical="center"/>
    </xf>
    <xf numFmtId="1" fontId="6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5" fillId="2" borderId="12" xfId="0" applyNumberFormat="1" applyFont="1" applyFill="1" applyBorder="1" applyAlignment="1">
      <alignment horizontal="center" vertical="center"/>
    </xf>
    <xf numFmtId="0" fontId="66" fillId="3" borderId="12" xfId="0" applyFont="1" applyFill="1" applyBorder="1" applyAlignment="1">
      <alignment horizontal="right"/>
    </xf>
    <xf numFmtId="1" fontId="66" fillId="3" borderId="20" xfId="0" applyNumberFormat="1" applyFont="1" applyFill="1" applyBorder="1" applyAlignment="1">
      <alignment horizontal="right"/>
    </xf>
    <xf numFmtId="9" fontId="6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1" fillId="0" borderId="0" xfId="0" applyFont="1"/>
    <xf numFmtId="1" fontId="71" fillId="0" borderId="0" xfId="0" applyNumberFormat="1" applyFont="1" applyAlignment="1">
      <alignment horizontal="center"/>
    </xf>
    <xf numFmtId="0" fontId="71" fillId="0" borderId="0" xfId="0" applyFont="1" applyAlignment="1">
      <alignment horizontal="center"/>
    </xf>
    <xf numFmtId="0" fontId="7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1" fillId="0" borderId="38" xfId="0" applyFont="1" applyBorder="1"/>
    <xf numFmtId="1" fontId="71" fillId="0" borderId="38" xfId="0" applyNumberFormat="1" applyFont="1" applyBorder="1" applyAlignment="1">
      <alignment horizontal="center"/>
    </xf>
    <xf numFmtId="0" fontId="71" fillId="0" borderId="38" xfId="0" applyFont="1" applyBorder="1" applyAlignment="1">
      <alignment horizontal="center"/>
    </xf>
    <xf numFmtId="43" fontId="71" fillId="0" borderId="38" xfId="1" applyFont="1" applyBorder="1" applyAlignment="1">
      <alignment horizontal="center"/>
    </xf>
    <xf numFmtId="0" fontId="71" fillId="0" borderId="39" xfId="0" applyFont="1" applyBorder="1"/>
    <xf numFmtId="0" fontId="73" fillId="0" borderId="0" xfId="0" applyFont="1" applyAlignment="1">
      <alignment wrapText="1"/>
    </xf>
    <xf numFmtId="0" fontId="73" fillId="3" borderId="45" xfId="0" applyFont="1" applyFill="1" applyBorder="1" applyAlignment="1">
      <alignment horizontal="center" vertical="center" wrapText="1"/>
    </xf>
    <xf numFmtId="0" fontId="71" fillId="0" borderId="47" xfId="0" applyFont="1" applyBorder="1"/>
    <xf numFmtId="173" fontId="71" fillId="0" borderId="48" xfId="0" applyNumberFormat="1" applyFont="1" applyBorder="1" applyAlignment="1">
      <alignment horizontal="center"/>
    </xf>
    <xf numFmtId="1" fontId="71" fillId="0" borderId="48" xfId="0" applyNumberFormat="1" applyFont="1" applyBorder="1" applyAlignment="1">
      <alignment horizontal="center"/>
    </xf>
    <xf numFmtId="174" fontId="71" fillId="0" borderId="48" xfId="0" applyNumberFormat="1" applyFont="1" applyBorder="1" applyAlignment="1">
      <alignment horizontal="center"/>
    </xf>
    <xf numFmtId="0" fontId="71" fillId="0" borderId="48" xfId="0" applyFont="1" applyBorder="1"/>
    <xf numFmtId="9" fontId="71" fillId="0" borderId="48" xfId="0" applyNumberFormat="1" applyFont="1" applyBorder="1" applyAlignment="1">
      <alignment horizontal="center"/>
    </xf>
    <xf numFmtId="0" fontId="71" fillId="0" borderId="48" xfId="0" applyFont="1" applyBorder="1" applyAlignment="1">
      <alignment horizontal="center"/>
    </xf>
    <xf numFmtId="9" fontId="71" fillId="0" borderId="49" xfId="0" applyNumberFormat="1" applyFont="1" applyBorder="1" applyAlignment="1">
      <alignment horizontal="center"/>
    </xf>
    <xf numFmtId="0" fontId="7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2" fillId="2" borderId="12" xfId="0" applyFont="1" applyFill="1" applyBorder="1"/>
    <xf numFmtId="14" fontId="71" fillId="2" borderId="12" xfId="0" applyNumberFormat="1" applyFont="1" applyFill="1" applyBorder="1" applyAlignment="1">
      <alignment horizontal="center" vertical="center"/>
    </xf>
    <xf numFmtId="0" fontId="66" fillId="10" borderId="20" xfId="0" applyFont="1" applyFill="1" applyBorder="1"/>
    <xf numFmtId="0" fontId="66" fillId="10" borderId="28" xfId="0" applyFont="1" applyFill="1" applyBorder="1"/>
    <xf numFmtId="14" fontId="7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6" fillId="16" borderId="12" xfId="0" applyFont="1" applyFill="1" applyBorder="1" applyAlignment="1">
      <alignment horizontal="center"/>
    </xf>
    <xf numFmtId="0" fontId="66" fillId="10" borderId="7" xfId="0" applyFont="1" applyFill="1" applyBorder="1" applyAlignment="1">
      <alignment horizontal="center"/>
    </xf>
    <xf numFmtId="9" fontId="71" fillId="0" borderId="12" xfId="0" applyNumberFormat="1" applyFont="1" applyBorder="1" applyAlignment="1">
      <alignment horizontal="center"/>
    </xf>
    <xf numFmtId="0" fontId="66" fillId="17" borderId="12" xfId="0" applyFont="1" applyFill="1" applyBorder="1" applyAlignment="1">
      <alignment horizontal="center"/>
    </xf>
    <xf numFmtId="0" fontId="6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6" fillId="3" borderId="0" xfId="0" applyFont="1" applyFill="1" applyAlignment="1">
      <alignment horizontal="center"/>
    </xf>
    <xf numFmtId="0" fontId="6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1" fillId="18" borderId="12" xfId="0" applyNumberFormat="1" applyFont="1" applyFill="1" applyBorder="1" applyAlignment="1">
      <alignment horizontal="center"/>
    </xf>
    <xf numFmtId="2" fontId="8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6" fillId="3" borderId="20" xfId="0" applyNumberFormat="1" applyFont="1" applyFill="1" applyBorder="1" applyAlignment="1">
      <alignment horizontal="right"/>
    </xf>
    <xf numFmtId="0" fontId="81" fillId="18" borderId="7" xfId="0" applyFont="1" applyFill="1" applyBorder="1"/>
    <xf numFmtId="0" fontId="81" fillId="18" borderId="29" xfId="0" applyFont="1" applyFill="1" applyBorder="1"/>
    <xf numFmtId="174" fontId="81" fillId="18" borderId="29" xfId="0" applyNumberFormat="1" applyFont="1" applyFill="1" applyBorder="1" applyAlignment="1">
      <alignment horizontal="center"/>
    </xf>
    <xf numFmtId="0" fontId="82" fillId="2" borderId="0" xfId="0" applyFont="1" applyFill="1"/>
    <xf numFmtId="176" fontId="71" fillId="0" borderId="48" xfId="0" applyNumberFormat="1" applyFont="1" applyBorder="1" applyAlignment="1">
      <alignment horizontal="center"/>
    </xf>
    <xf numFmtId="0" fontId="65" fillId="2" borderId="7" xfId="0" applyFont="1" applyFill="1" applyBorder="1" applyAlignment="1">
      <alignment horizontal="center" vertical="center"/>
    </xf>
    <xf numFmtId="0" fontId="66" fillId="18" borderId="12" xfId="0" applyFont="1" applyFill="1" applyBorder="1" applyAlignment="1">
      <alignment horizontal="center"/>
    </xf>
    <xf numFmtId="0" fontId="7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6" fillId="2" borderId="0" xfId="0" applyFont="1" applyFill="1" applyAlignment="1">
      <alignment horizontal="center"/>
    </xf>
    <xf numFmtId="0" fontId="6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3" fillId="2" borderId="28" xfId="0" applyFont="1" applyFill="1" applyBorder="1" applyAlignment="1">
      <alignment horizontal="center" vertical="center"/>
    </xf>
    <xf numFmtId="9" fontId="81" fillId="18" borderId="29" xfId="2" applyFont="1" applyFill="1" applyBorder="1" applyAlignment="1">
      <alignment horizontal="center"/>
    </xf>
    <xf numFmtId="0" fontId="66" fillId="20" borderId="12" xfId="0" applyFont="1" applyFill="1" applyBorder="1"/>
    <xf numFmtId="9" fontId="71" fillId="0" borderId="0" xfId="2" applyFont="1" applyAlignment="1">
      <alignment horizontal="center"/>
    </xf>
    <xf numFmtId="0" fontId="66" fillId="0" borderId="12" xfId="0" applyFont="1" applyBorder="1"/>
    <xf numFmtId="176" fontId="0" fillId="0" borderId="12" xfId="0" applyNumberFormat="1" applyBorder="1"/>
    <xf numFmtId="1" fontId="84" fillId="2" borderId="12" xfId="0" applyNumberFormat="1" applyFont="1" applyFill="1" applyBorder="1"/>
    <xf numFmtId="9" fontId="84" fillId="2" borderId="12" xfId="0" applyNumberFormat="1" applyFont="1" applyFill="1" applyBorder="1"/>
    <xf numFmtId="0" fontId="76" fillId="2" borderId="12" xfId="0" applyFont="1" applyFill="1" applyBorder="1"/>
    <xf numFmtId="1" fontId="73" fillId="3" borderId="45" xfId="0" applyNumberFormat="1" applyFont="1" applyFill="1" applyBorder="1" applyAlignment="1">
      <alignment horizontal="center" vertical="center" wrapText="1"/>
    </xf>
    <xf numFmtId="43" fontId="73" fillId="3" borderId="45" xfId="1" applyFont="1" applyFill="1" applyBorder="1" applyAlignment="1">
      <alignment horizontal="center" vertical="center" wrapText="1"/>
    </xf>
    <xf numFmtId="0" fontId="6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2" fillId="2" borderId="28" xfId="0" applyFont="1" applyFill="1" applyBorder="1" applyAlignment="1">
      <alignment vertical="center"/>
    </xf>
    <xf numFmtId="20" fontId="6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1" fillId="8" borderId="20" xfId="0" applyFont="1" applyFill="1" applyBorder="1" applyAlignment="1">
      <alignment horizontal="center" vertical="center"/>
    </xf>
    <xf numFmtId="14" fontId="71" fillId="7" borderId="12" xfId="0" applyNumberFormat="1" applyFont="1" applyFill="1" applyBorder="1" applyAlignment="1">
      <alignment horizontal="center" vertical="center"/>
    </xf>
    <xf numFmtId="20" fontId="59" fillId="2" borderId="28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9" fontId="71" fillId="8" borderId="12" xfId="0" applyNumberFormat="1" applyFont="1" applyFill="1" applyBorder="1" applyAlignment="1">
      <alignment horizontal="center" vertical="center"/>
    </xf>
    <xf numFmtId="1" fontId="7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14" fontId="7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1" fillId="2" borderId="20" xfId="0" applyFont="1" applyFill="1" applyBorder="1" applyAlignment="1">
      <alignment horizontal="center" vertical="center"/>
    </xf>
    <xf numFmtId="14" fontId="71" fillId="7" borderId="28" xfId="0" applyNumberFormat="1" applyFont="1" applyFill="1" applyBorder="1" applyAlignment="1">
      <alignment vertical="center"/>
    </xf>
    <xf numFmtId="0" fontId="72" fillId="2" borderId="28" xfId="0" applyFont="1" applyFill="1" applyBorder="1"/>
    <xf numFmtId="0" fontId="71" fillId="2" borderId="28" xfId="0" applyFont="1" applyFill="1" applyBorder="1" applyAlignment="1">
      <alignment horizontal="center" vertical="center"/>
    </xf>
    <xf numFmtId="14" fontId="71" fillId="7" borderId="10" xfId="0" applyNumberFormat="1" applyFont="1" applyFill="1" applyBorder="1" applyAlignment="1">
      <alignment vertical="center"/>
    </xf>
    <xf numFmtId="14" fontId="71" fillId="7" borderId="10" xfId="0" applyNumberFormat="1" applyFont="1" applyFill="1" applyBorder="1" applyAlignment="1">
      <alignment horizontal="center" vertical="center"/>
    </xf>
    <xf numFmtId="14" fontId="71" fillId="2" borderId="10" xfId="0" applyNumberFormat="1" applyFont="1" applyFill="1" applyBorder="1" applyAlignment="1">
      <alignment vertical="center"/>
    </xf>
    <xf numFmtId="14" fontId="71" fillId="2" borderId="10" xfId="0" applyNumberFormat="1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horizontal="center" vertical="center"/>
    </xf>
    <xf numFmtId="1" fontId="71" fillId="8" borderId="10" xfId="0" applyNumberFormat="1" applyFont="1" applyFill="1" applyBorder="1" applyAlignment="1">
      <alignment horizontal="center" vertical="center"/>
    </xf>
    <xf numFmtId="0" fontId="71" fillId="8" borderId="10" xfId="0" applyFont="1" applyFill="1" applyBorder="1" applyAlignment="1">
      <alignment horizontal="center" vertical="center"/>
    </xf>
    <xf numFmtId="14" fontId="71" fillId="7" borderId="17" xfId="0" applyNumberFormat="1" applyFont="1" applyFill="1" applyBorder="1" applyAlignment="1">
      <alignment vertical="center"/>
    </xf>
    <xf numFmtId="14" fontId="71" fillId="2" borderId="17" xfId="0" applyNumberFormat="1" applyFont="1" applyFill="1" applyBorder="1" applyAlignment="1">
      <alignment vertical="center"/>
    </xf>
    <xf numFmtId="14" fontId="71" fillId="2" borderId="17" xfId="0" applyNumberFormat="1" applyFont="1" applyFill="1" applyBorder="1" applyAlignment="1">
      <alignment horizontal="center" vertical="center"/>
    </xf>
    <xf numFmtId="0" fontId="7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1" fillId="9" borderId="28" xfId="0" applyFont="1" applyFill="1" applyBorder="1" applyAlignment="1">
      <alignment horizontal="center" vertical="center"/>
    </xf>
    <xf numFmtId="0" fontId="72" fillId="2" borderId="10" xfId="0" applyFont="1" applyFill="1" applyBorder="1"/>
    <xf numFmtId="0" fontId="72" fillId="2" borderId="17" xfId="0" applyFont="1" applyFill="1" applyBorder="1"/>
    <xf numFmtId="0" fontId="0" fillId="2" borderId="17" xfId="0" applyFill="1" applyBorder="1"/>
    <xf numFmtId="0" fontId="71" fillId="9" borderId="1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/>
    </xf>
    <xf numFmtId="9" fontId="71" fillId="2" borderId="12" xfId="0" applyNumberFormat="1" applyFont="1" applyFill="1" applyBorder="1" applyAlignment="1">
      <alignment horizontal="center" vertical="center"/>
    </xf>
    <xf numFmtId="1" fontId="71" fillId="8" borderId="28" xfId="0" applyNumberFormat="1" applyFont="1" applyFill="1" applyBorder="1" applyAlignment="1">
      <alignment horizontal="center" vertical="center"/>
    </xf>
    <xf numFmtId="0" fontId="66" fillId="18" borderId="28" xfId="0" applyFont="1" applyFill="1" applyBorder="1" applyAlignment="1">
      <alignment horizontal="center" vertical="center"/>
    </xf>
    <xf numFmtId="0" fontId="6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1" fillId="0" borderId="47" xfId="0" applyNumberFormat="1" applyFont="1" applyBorder="1" applyAlignment="1">
      <alignment horizontal="center"/>
    </xf>
    <xf numFmtId="1" fontId="71" fillId="0" borderId="12" xfId="0" applyNumberFormat="1" applyFont="1" applyBorder="1" applyAlignment="1">
      <alignment horizontal="center"/>
    </xf>
    <xf numFmtId="174" fontId="71" fillId="0" borderId="12" xfId="0" applyNumberFormat="1" applyFont="1" applyBorder="1" applyAlignment="1">
      <alignment horizontal="center"/>
    </xf>
    <xf numFmtId="0" fontId="7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1" fillId="2" borderId="12" xfId="0" applyFont="1" applyFill="1" applyBorder="1" applyAlignment="1">
      <alignment vertical="top" wrapText="1"/>
    </xf>
    <xf numFmtId="0" fontId="6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6" fillId="18" borderId="30" xfId="0" applyFont="1" applyFill="1" applyBorder="1" applyAlignment="1">
      <alignment horizontal="center" vertical="center"/>
    </xf>
    <xf numFmtId="0" fontId="6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6" fillId="20" borderId="12" xfId="0" applyFont="1" applyFill="1" applyBorder="1" applyAlignment="1">
      <alignment horizontal="center"/>
    </xf>
    <xf numFmtId="0" fontId="66" fillId="18" borderId="20" xfId="0" applyFont="1" applyFill="1" applyBorder="1" applyAlignment="1">
      <alignment horizontal="center" vertical="center"/>
    </xf>
    <xf numFmtId="0" fontId="66" fillId="18" borderId="21" xfId="0" applyFont="1" applyFill="1" applyBorder="1" applyAlignment="1">
      <alignment horizontal="center" vertical="center"/>
    </xf>
    <xf numFmtId="43" fontId="6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9" fillId="2" borderId="12" xfId="0" applyNumberFormat="1" applyFont="1" applyFill="1" applyBorder="1" applyAlignment="1">
      <alignment horizontal="center" vertical="center"/>
    </xf>
    <xf numFmtId="1" fontId="66" fillId="2" borderId="12" xfId="0" applyNumberFormat="1" applyFont="1" applyFill="1" applyBorder="1" applyAlignment="1">
      <alignment horizontal="center"/>
    </xf>
    <xf numFmtId="0" fontId="66" fillId="18" borderId="30" xfId="0" applyFont="1" applyFill="1" applyBorder="1" applyAlignment="1">
      <alignment horizontal="center"/>
    </xf>
    <xf numFmtId="0" fontId="66" fillId="18" borderId="32" xfId="0" applyFont="1" applyFill="1" applyBorder="1" applyAlignment="1">
      <alignment horizontal="center"/>
    </xf>
    <xf numFmtId="0" fontId="6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6" fillId="4" borderId="12" xfId="0" applyFont="1" applyFill="1" applyBorder="1"/>
    <xf numFmtId="0" fontId="66" fillId="18" borderId="12" xfId="0" applyFont="1" applyFill="1" applyBorder="1"/>
    <xf numFmtId="0" fontId="66" fillId="18" borderId="12" xfId="0" applyFont="1" applyFill="1" applyBorder="1" applyAlignment="1">
      <alignment horizontal="left"/>
    </xf>
    <xf numFmtId="0" fontId="47" fillId="2" borderId="12" xfId="0" applyFont="1" applyFill="1" applyBorder="1"/>
    <xf numFmtId="0" fontId="65" fillId="3" borderId="0" xfId="0" applyFont="1" applyFill="1" applyAlignment="1">
      <alignment horizontal="center"/>
    </xf>
    <xf numFmtId="0" fontId="65" fillId="3" borderId="19" xfId="0" applyFont="1" applyFill="1" applyBorder="1" applyAlignment="1">
      <alignment horizontal="center"/>
    </xf>
    <xf numFmtId="0" fontId="6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1" fillId="3" borderId="19" xfId="0" applyFont="1" applyFill="1" applyBorder="1" applyAlignment="1">
      <alignment horizontal="center" vertical="center"/>
    </xf>
    <xf numFmtId="165" fontId="81" fillId="3" borderId="21" xfId="1" applyNumberFormat="1" applyFont="1" applyFill="1" applyBorder="1" applyAlignment="1">
      <alignment horizontal="center" vertical="center"/>
    </xf>
    <xf numFmtId="166" fontId="81" fillId="3" borderId="21" xfId="0" applyNumberFormat="1" applyFont="1" applyFill="1" applyBorder="1" applyAlignment="1">
      <alignment horizontal="center" vertical="center"/>
    </xf>
    <xf numFmtId="9" fontId="81" fillId="3" borderId="21" xfId="2" applyFont="1" applyFill="1" applyBorder="1" applyAlignment="1">
      <alignment horizontal="center" vertical="center"/>
    </xf>
    <xf numFmtId="9" fontId="81" fillId="3" borderId="22" xfId="2" applyFont="1" applyFill="1" applyBorder="1" applyAlignment="1">
      <alignment horizontal="center" vertical="center" wrapText="1"/>
    </xf>
    <xf numFmtId="14" fontId="86" fillId="2" borderId="9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vertical="center"/>
    </xf>
    <xf numFmtId="165" fontId="86" fillId="2" borderId="10" xfId="1" applyNumberFormat="1" applyFont="1" applyFill="1" applyBorder="1" applyAlignment="1">
      <alignment horizontal="center" vertical="center"/>
    </xf>
    <xf numFmtId="166" fontId="86" fillId="2" borderId="10" xfId="0" applyNumberFormat="1" applyFont="1" applyFill="1" applyBorder="1" applyAlignment="1">
      <alignment horizontal="center" vertical="center"/>
    </xf>
    <xf numFmtId="9" fontId="86" fillId="2" borderId="10" xfId="2" applyFont="1" applyFill="1" applyBorder="1" applyAlignment="1">
      <alignment horizontal="center" vertical="center"/>
    </xf>
    <xf numFmtId="167" fontId="86" fillId="2" borderId="11" xfId="1" applyNumberFormat="1" applyFont="1" applyFill="1" applyBorder="1" applyAlignment="1">
      <alignment horizontal="center" vertical="center"/>
    </xf>
    <xf numFmtId="0" fontId="86" fillId="2" borderId="11" xfId="0" applyFont="1" applyFill="1" applyBorder="1" applyAlignment="1">
      <alignment horizontal="center" vertical="center"/>
    </xf>
    <xf numFmtId="1" fontId="86" fillId="2" borderId="11" xfId="0" applyNumberFormat="1" applyFont="1" applyFill="1" applyBorder="1" applyAlignment="1">
      <alignment horizontal="center" vertical="center"/>
    </xf>
    <xf numFmtId="165" fontId="86" fillId="2" borderId="10" xfId="0" applyNumberFormat="1" applyFont="1" applyFill="1" applyBorder="1" applyAlignment="1">
      <alignment horizontal="center" vertical="center"/>
    </xf>
    <xf numFmtId="0" fontId="86" fillId="2" borderId="12" xfId="0" applyFont="1" applyFill="1" applyBorder="1"/>
    <xf numFmtId="14" fontId="86" fillId="2" borderId="14" xfId="0" applyNumberFormat="1" applyFont="1" applyFill="1" applyBorder="1" applyAlignment="1">
      <alignment horizontal="center" vertical="center"/>
    </xf>
    <xf numFmtId="0" fontId="86" fillId="2" borderId="15" xfId="0" applyFont="1" applyFill="1" applyBorder="1" applyAlignment="1">
      <alignment vertical="center"/>
    </xf>
    <xf numFmtId="165" fontId="86" fillId="2" borderId="15" xfId="1" applyNumberFormat="1" applyFont="1" applyFill="1" applyBorder="1" applyAlignment="1">
      <alignment horizontal="center" vertical="center"/>
    </xf>
    <xf numFmtId="166" fontId="86" fillId="2" borderId="15" xfId="0" applyNumberFormat="1" applyFont="1" applyFill="1" applyBorder="1" applyAlignment="1">
      <alignment horizontal="center" vertical="center"/>
    </xf>
    <xf numFmtId="9" fontId="86" fillId="2" borderId="15" xfId="2" applyFont="1" applyFill="1" applyBorder="1" applyAlignment="1">
      <alignment horizontal="center" vertical="center"/>
    </xf>
    <xf numFmtId="165" fontId="86" fillId="2" borderId="17" xfId="1" applyNumberFormat="1" applyFont="1" applyFill="1" applyBorder="1" applyAlignment="1">
      <alignment horizontal="center" vertical="center"/>
    </xf>
    <xf numFmtId="167" fontId="86" fillId="2" borderId="16" xfId="1" applyNumberFormat="1" applyFont="1" applyFill="1" applyBorder="1" applyAlignment="1">
      <alignment horizontal="center" vertical="center"/>
    </xf>
    <xf numFmtId="165" fontId="86" fillId="2" borderId="12" xfId="0" applyNumberFormat="1" applyFont="1" applyFill="1" applyBorder="1"/>
    <xf numFmtId="168" fontId="86" fillId="2" borderId="12" xfId="0" applyNumberFormat="1" applyFont="1" applyFill="1" applyBorder="1"/>
    <xf numFmtId="165" fontId="86" fillId="2" borderId="15" xfId="0" applyNumberFormat="1" applyFont="1" applyFill="1" applyBorder="1" applyAlignment="1">
      <alignment horizontal="center" vertical="center"/>
    </xf>
    <xf numFmtId="165" fontId="86" fillId="2" borderId="17" xfId="0" applyNumberFormat="1" applyFont="1" applyFill="1" applyBorder="1" applyAlignment="1">
      <alignment horizontal="center" vertical="center"/>
    </xf>
    <xf numFmtId="167" fontId="86" fillId="2" borderId="12" xfId="0" applyNumberFormat="1" applyFont="1" applyFill="1" applyBorder="1"/>
    <xf numFmtId="0" fontId="86" fillId="2" borderId="17" xfId="0" applyFont="1" applyFill="1" applyBorder="1" applyAlignment="1">
      <alignment vertical="center"/>
    </xf>
    <xf numFmtId="1" fontId="86" fillId="2" borderId="16" xfId="0" applyNumberFormat="1" applyFont="1" applyFill="1" applyBorder="1" applyAlignment="1">
      <alignment horizontal="center" vertical="center"/>
    </xf>
    <xf numFmtId="14" fontId="86" fillId="2" borderId="19" xfId="0" applyNumberFormat="1" applyFont="1" applyFill="1" applyBorder="1" applyAlignment="1">
      <alignment horizontal="center" vertical="center"/>
    </xf>
    <xf numFmtId="0" fontId="86" fillId="2" borderId="20" xfId="0" applyFont="1" applyFill="1" applyBorder="1" applyAlignment="1">
      <alignment vertical="center"/>
    </xf>
    <xf numFmtId="165" fontId="86" fillId="2" borderId="20" xfId="1" applyNumberFormat="1" applyFont="1" applyFill="1" applyBorder="1" applyAlignment="1">
      <alignment horizontal="center" vertical="center"/>
    </xf>
    <xf numFmtId="166" fontId="86" fillId="2" borderId="21" xfId="0" applyNumberFormat="1" applyFont="1" applyFill="1" applyBorder="1" applyAlignment="1">
      <alignment horizontal="center" vertical="center"/>
    </xf>
    <xf numFmtId="9" fontId="86" fillId="2" borderId="21" xfId="2" applyFont="1" applyFill="1" applyBorder="1" applyAlignment="1">
      <alignment horizontal="center" vertical="center"/>
    </xf>
    <xf numFmtId="167" fontId="86" fillId="2" borderId="22" xfId="1" applyNumberFormat="1" applyFont="1" applyFill="1" applyBorder="1" applyAlignment="1">
      <alignment horizontal="center" vertical="center"/>
    </xf>
    <xf numFmtId="1" fontId="86" fillId="2" borderId="22" xfId="0" applyNumberFormat="1" applyFont="1" applyFill="1" applyBorder="1" applyAlignment="1">
      <alignment horizontal="center" vertical="center"/>
    </xf>
    <xf numFmtId="165" fontId="86" fillId="2" borderId="21" xfId="0" applyNumberFormat="1" applyFont="1" applyFill="1" applyBorder="1" applyAlignment="1">
      <alignment horizontal="center" vertical="center"/>
    </xf>
    <xf numFmtId="165" fontId="86" fillId="2" borderId="20" xfId="0" applyNumberFormat="1" applyFont="1" applyFill="1" applyBorder="1" applyAlignment="1">
      <alignment horizontal="center" vertical="center"/>
    </xf>
    <xf numFmtId="165" fontId="86" fillId="2" borderId="23" xfId="0" applyNumberFormat="1" applyFont="1" applyFill="1" applyBorder="1" applyAlignment="1">
      <alignment horizontal="center" vertical="center"/>
    </xf>
    <xf numFmtId="165" fontId="86" fillId="2" borderId="25" xfId="0" applyNumberFormat="1" applyFont="1" applyFill="1" applyBorder="1" applyAlignment="1">
      <alignment horizontal="center" vertical="center"/>
    </xf>
    <xf numFmtId="0" fontId="86" fillId="2" borderId="16" xfId="0" applyFont="1" applyFill="1" applyBorder="1" applyAlignment="1">
      <alignment horizontal="center" vertical="center"/>
    </xf>
    <xf numFmtId="0" fontId="86" fillId="2" borderId="27" xfId="0" applyFont="1" applyFill="1" applyBorder="1" applyAlignment="1">
      <alignment vertical="center"/>
    </xf>
    <xf numFmtId="165" fontId="86" fillId="2" borderId="27" xfId="1" applyNumberFormat="1" applyFont="1" applyFill="1" applyBorder="1" applyAlignment="1">
      <alignment horizontal="center" vertical="center"/>
    </xf>
    <xf numFmtId="166" fontId="86" fillId="2" borderId="27" xfId="0" applyNumberFormat="1" applyFont="1" applyFill="1" applyBorder="1" applyAlignment="1">
      <alignment horizontal="center" vertical="center"/>
    </xf>
    <xf numFmtId="9" fontId="86" fillId="2" borderId="27" xfId="2" applyFont="1" applyFill="1" applyBorder="1" applyAlignment="1">
      <alignment horizontal="center" vertical="center"/>
    </xf>
    <xf numFmtId="165" fontId="86" fillId="2" borderId="15" xfId="0" applyNumberFormat="1" applyFont="1" applyFill="1" applyBorder="1" applyAlignment="1">
      <alignment vertical="center"/>
    </xf>
    <xf numFmtId="165" fontId="86" fillId="2" borderId="17" xfId="0" applyNumberFormat="1" applyFont="1" applyFill="1" applyBorder="1" applyAlignment="1">
      <alignment vertical="center"/>
    </xf>
    <xf numFmtId="175" fontId="86" fillId="2" borderId="27" xfId="2" applyNumberFormat="1" applyFont="1" applyFill="1" applyBorder="1" applyAlignment="1">
      <alignment horizontal="center" vertical="center"/>
    </xf>
    <xf numFmtId="14" fontId="81" fillId="4" borderId="19" xfId="0" applyNumberFormat="1" applyFont="1" applyFill="1" applyBorder="1" applyAlignment="1">
      <alignment horizontal="center" vertical="center"/>
    </xf>
    <xf numFmtId="0" fontId="81" fillId="4" borderId="21" xfId="0" applyFont="1" applyFill="1" applyBorder="1" applyAlignment="1">
      <alignment vertical="center"/>
    </xf>
    <xf numFmtId="165" fontId="81" fillId="4" borderId="21" xfId="1" applyNumberFormat="1" applyFont="1" applyFill="1" applyBorder="1" applyAlignment="1">
      <alignment horizontal="center" vertical="center"/>
    </xf>
    <xf numFmtId="166" fontId="81" fillId="4" borderId="21" xfId="0" applyNumberFormat="1" applyFont="1" applyFill="1" applyBorder="1" applyAlignment="1">
      <alignment horizontal="center" vertical="center"/>
    </xf>
    <xf numFmtId="9" fontId="81" fillId="4" borderId="21" xfId="2" applyFont="1" applyFill="1" applyBorder="1" applyAlignment="1">
      <alignment horizontal="center" vertical="center"/>
    </xf>
    <xf numFmtId="167" fontId="81" fillId="4" borderId="22" xfId="1" applyNumberFormat="1" applyFont="1" applyFill="1" applyBorder="1" applyAlignment="1">
      <alignment horizontal="center" vertical="center"/>
    </xf>
    <xf numFmtId="0" fontId="81" fillId="4" borderId="22" xfId="0" applyFont="1" applyFill="1" applyBorder="1" applyAlignment="1">
      <alignment horizontal="center" vertical="center"/>
    </xf>
    <xf numFmtId="1" fontId="81" fillId="4" borderId="22" xfId="0" applyNumberFormat="1" applyFont="1" applyFill="1" applyBorder="1" applyAlignment="1">
      <alignment horizontal="center" vertical="center"/>
    </xf>
    <xf numFmtId="165" fontId="81" fillId="4" borderId="21" xfId="0" applyNumberFormat="1" applyFont="1" applyFill="1" applyBorder="1" applyAlignment="1">
      <alignment horizontal="center" vertical="center"/>
    </xf>
    <xf numFmtId="165" fontId="86" fillId="4" borderId="28" xfId="0" applyNumberFormat="1" applyFont="1" applyFill="1" applyBorder="1" applyAlignment="1">
      <alignment horizontal="center" vertical="center"/>
    </xf>
    <xf numFmtId="0" fontId="81" fillId="4" borderId="17" xfId="0" applyFont="1" applyFill="1" applyBorder="1"/>
    <xf numFmtId="165" fontId="81" fillId="4" borderId="17" xfId="1" applyNumberFormat="1" applyFont="1" applyFill="1" applyBorder="1" applyAlignment="1">
      <alignment horizontal="center" vertical="center"/>
    </xf>
    <xf numFmtId="9" fontId="81" fillId="4" borderId="17" xfId="2" applyFont="1" applyFill="1" applyBorder="1" applyAlignment="1">
      <alignment horizontal="center" vertical="center"/>
    </xf>
    <xf numFmtId="1" fontId="81" fillId="4" borderId="17" xfId="0" applyNumberFormat="1" applyFont="1" applyFill="1" applyBorder="1" applyAlignment="1">
      <alignment horizontal="center"/>
    </xf>
    <xf numFmtId="165" fontId="8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1" fillId="4" borderId="6" xfId="0" applyNumberFormat="1" applyFont="1" applyFill="1" applyBorder="1" applyAlignment="1">
      <alignment horizontal="center" vertical="center"/>
    </xf>
    <xf numFmtId="165" fontId="81" fillId="4" borderId="54" xfId="0" applyNumberFormat="1" applyFont="1" applyFill="1" applyBorder="1" applyAlignment="1">
      <alignment vertical="center"/>
    </xf>
    <xf numFmtId="0" fontId="81" fillId="3" borderId="22" xfId="0" applyFont="1" applyFill="1" applyBorder="1" applyAlignment="1">
      <alignment horizontal="center" vertical="center" wrapText="1"/>
    </xf>
    <xf numFmtId="0" fontId="81" fillId="3" borderId="21" xfId="0" applyFont="1" applyFill="1" applyBorder="1" applyAlignment="1">
      <alignment horizontal="center" vertical="center"/>
    </xf>
    <xf numFmtId="0" fontId="81" fillId="3" borderId="21" xfId="0" applyFont="1" applyFill="1" applyBorder="1" applyAlignment="1">
      <alignment horizontal="center" vertical="center" wrapText="1"/>
    </xf>
    <xf numFmtId="0" fontId="81" fillId="20" borderId="28" xfId="0" applyFont="1" applyFill="1" applyBorder="1" applyAlignment="1">
      <alignment horizontal="center" vertical="center"/>
    </xf>
    <xf numFmtId="14" fontId="86" fillId="17" borderId="9" xfId="0" applyNumberFormat="1" applyFont="1" applyFill="1" applyBorder="1" applyAlignment="1">
      <alignment horizontal="center" vertical="center"/>
    </xf>
    <xf numFmtId="0" fontId="86" fillId="17" borderId="10" xfId="0" applyFont="1" applyFill="1" applyBorder="1" applyAlignment="1">
      <alignment vertical="center"/>
    </xf>
    <xf numFmtId="165" fontId="86" fillId="17" borderId="10" xfId="1" applyNumberFormat="1" applyFont="1" applyFill="1" applyBorder="1" applyAlignment="1">
      <alignment horizontal="center" vertical="center"/>
    </xf>
    <xf numFmtId="166" fontId="86" fillId="17" borderId="10" xfId="0" applyNumberFormat="1" applyFont="1" applyFill="1" applyBorder="1" applyAlignment="1">
      <alignment horizontal="center" vertical="center"/>
    </xf>
    <xf numFmtId="9" fontId="86" fillId="17" borderId="10" xfId="2" applyFont="1" applyFill="1" applyBorder="1" applyAlignment="1">
      <alignment horizontal="center" vertical="center"/>
    </xf>
    <xf numFmtId="167" fontId="86" fillId="17" borderId="11" xfId="1" applyNumberFormat="1" applyFont="1" applyFill="1" applyBorder="1" applyAlignment="1">
      <alignment horizontal="center" vertical="center"/>
    </xf>
    <xf numFmtId="1" fontId="86" fillId="17" borderId="11" xfId="0" applyNumberFormat="1" applyFont="1" applyFill="1" applyBorder="1" applyAlignment="1">
      <alignment horizontal="center" vertical="center"/>
    </xf>
    <xf numFmtId="165" fontId="86" fillId="17" borderId="10" xfId="0" applyNumberFormat="1" applyFont="1" applyFill="1" applyBorder="1" applyAlignment="1">
      <alignment horizontal="center" vertical="center"/>
    </xf>
    <xf numFmtId="0" fontId="86" fillId="17" borderId="12" xfId="0" applyFont="1" applyFill="1" applyBorder="1"/>
    <xf numFmtId="14" fontId="86" fillId="17" borderId="14" xfId="0" applyNumberFormat="1" applyFont="1" applyFill="1" applyBorder="1" applyAlignment="1">
      <alignment horizontal="center" vertical="center"/>
    </xf>
    <xf numFmtId="0" fontId="86" fillId="17" borderId="15" xfId="0" applyFont="1" applyFill="1" applyBorder="1" applyAlignment="1">
      <alignment vertical="center"/>
    </xf>
    <xf numFmtId="165" fontId="86" fillId="17" borderId="17" xfId="1" applyNumberFormat="1" applyFont="1" applyFill="1" applyBorder="1" applyAlignment="1">
      <alignment horizontal="center" vertical="center"/>
    </xf>
    <xf numFmtId="9" fontId="86" fillId="17" borderId="15" xfId="2" applyFont="1" applyFill="1" applyBorder="1" applyAlignment="1">
      <alignment horizontal="center" vertical="center"/>
    </xf>
    <xf numFmtId="167" fontId="86" fillId="17" borderId="16" xfId="1" applyNumberFormat="1" applyFont="1" applyFill="1" applyBorder="1" applyAlignment="1">
      <alignment horizontal="center" vertical="center"/>
    </xf>
    <xf numFmtId="165" fontId="86" fillId="17" borderId="15" xfId="0" applyNumberFormat="1" applyFont="1" applyFill="1" applyBorder="1" applyAlignment="1">
      <alignment horizontal="center" vertical="center"/>
    </xf>
    <xf numFmtId="165" fontId="86" fillId="17" borderId="12" xfId="0" applyNumberFormat="1" applyFont="1" applyFill="1" applyBorder="1"/>
    <xf numFmtId="165" fontId="86" fillId="17" borderId="17" xfId="0" applyNumberFormat="1" applyFont="1" applyFill="1" applyBorder="1" applyAlignment="1">
      <alignment horizontal="center" vertical="center"/>
    </xf>
    <xf numFmtId="0" fontId="86" fillId="17" borderId="17" xfId="0" applyFont="1" applyFill="1" applyBorder="1" applyAlignment="1">
      <alignment vertical="center"/>
    </xf>
    <xf numFmtId="1" fontId="86" fillId="17" borderId="16" xfId="0" applyNumberFormat="1" applyFont="1" applyFill="1" applyBorder="1" applyAlignment="1">
      <alignment horizontal="center" vertical="center"/>
    </xf>
    <xf numFmtId="0" fontId="76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6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6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left" vertical="center"/>
    </xf>
    <xf numFmtId="0" fontId="86" fillId="2" borderId="12" xfId="0" applyFont="1" applyFill="1" applyBorder="1" applyAlignment="1">
      <alignment wrapText="1"/>
    </xf>
    <xf numFmtId="0" fontId="4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6" fillId="4" borderId="12" xfId="0" applyFont="1" applyFill="1" applyBorder="1" applyAlignment="1">
      <alignment horizontal="center" wrapText="1"/>
    </xf>
    <xf numFmtId="166" fontId="87" fillId="17" borderId="10" xfId="0" applyNumberFormat="1" applyFont="1" applyFill="1" applyBorder="1" applyAlignment="1">
      <alignment horizontal="center" vertical="center"/>
    </xf>
    <xf numFmtId="166" fontId="87" fillId="2" borderId="21" xfId="0" applyNumberFormat="1" applyFont="1" applyFill="1" applyBorder="1" applyAlignment="1">
      <alignment horizontal="center" vertical="center"/>
    </xf>
    <xf numFmtId="166" fontId="87" fillId="17" borderId="15" xfId="0" applyNumberFormat="1" applyFont="1" applyFill="1" applyBorder="1" applyAlignment="1">
      <alignment horizontal="center" vertical="center"/>
    </xf>
    <xf numFmtId="166" fontId="87" fillId="2" borderId="15" xfId="0" applyNumberFormat="1" applyFont="1" applyFill="1" applyBorder="1" applyAlignment="1">
      <alignment horizontal="center" vertical="center"/>
    </xf>
    <xf numFmtId="166" fontId="87" fillId="2" borderId="10" xfId="0" applyNumberFormat="1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1" fillId="18" borderId="12" xfId="0" applyFont="1" applyFill="1" applyBorder="1" applyAlignment="1">
      <alignment horizontal="center"/>
    </xf>
    <xf numFmtId="0" fontId="6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6" fillId="18" borderId="12" xfId="0" applyNumberFormat="1" applyFont="1" applyFill="1" applyBorder="1" applyAlignment="1">
      <alignment horizontal="center" wrapText="1"/>
    </xf>
    <xf numFmtId="0" fontId="66" fillId="2" borderId="12" xfId="0" applyFont="1" applyFill="1" applyBorder="1"/>
    <xf numFmtId="14" fontId="40" fillId="2" borderId="12" xfId="0" applyNumberFormat="1" applyFont="1" applyFill="1" applyBorder="1"/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/>
    </xf>
    <xf numFmtId="173" fontId="71" fillId="0" borderId="47" xfId="0" applyNumberFormat="1" applyFont="1" applyBorder="1" applyAlignment="1">
      <alignment horizontal="center"/>
    </xf>
    <xf numFmtId="1" fontId="71" fillId="0" borderId="20" xfId="0" applyNumberFormat="1" applyFont="1" applyBorder="1" applyAlignment="1">
      <alignment horizontal="center"/>
    </xf>
    <xf numFmtId="0" fontId="71" fillId="0" borderId="20" xfId="0" applyFont="1" applyBorder="1"/>
    <xf numFmtId="9" fontId="71" fillId="0" borderId="20" xfId="0" applyNumberFormat="1" applyFont="1" applyBorder="1" applyAlignment="1">
      <alignment horizontal="center"/>
    </xf>
    <xf numFmtId="0" fontId="71" fillId="0" borderId="20" xfId="0" applyFont="1" applyBorder="1" applyAlignment="1">
      <alignment horizontal="center"/>
    </xf>
    <xf numFmtId="173" fontId="71" fillId="14" borderId="12" xfId="0" applyNumberFormat="1" applyFont="1" applyFill="1" applyBorder="1" applyAlignment="1">
      <alignment horizontal="center"/>
    </xf>
    <xf numFmtId="43" fontId="71" fillId="14" borderId="12" xfId="1" applyFont="1" applyFill="1" applyBorder="1" applyAlignment="1">
      <alignment horizontal="center"/>
    </xf>
    <xf numFmtId="0" fontId="71" fillId="21" borderId="12" xfId="0" applyFont="1" applyFill="1" applyBorder="1" applyAlignment="1">
      <alignment horizontal="center"/>
    </xf>
    <xf numFmtId="0" fontId="71" fillId="14" borderId="12" xfId="0" applyFont="1" applyFill="1" applyBorder="1"/>
    <xf numFmtId="1" fontId="71" fillId="21" borderId="12" xfId="0" applyNumberFormat="1" applyFont="1" applyFill="1" applyBorder="1" applyAlignment="1">
      <alignment horizontal="center"/>
    </xf>
    <xf numFmtId="2" fontId="71" fillId="21" borderId="12" xfId="0" applyNumberFormat="1" applyFont="1" applyFill="1" applyBorder="1" applyAlignment="1">
      <alignment horizontal="center"/>
    </xf>
    <xf numFmtId="176" fontId="71" fillId="21" borderId="12" xfId="0" applyNumberFormat="1" applyFont="1" applyFill="1" applyBorder="1" applyAlignment="1">
      <alignment horizontal="center"/>
    </xf>
    <xf numFmtId="9" fontId="71" fillId="21" borderId="12" xfId="0" applyNumberFormat="1" applyFont="1" applyFill="1" applyBorder="1" applyAlignment="1">
      <alignment horizontal="center"/>
    </xf>
    <xf numFmtId="0" fontId="71" fillId="14" borderId="12" xfId="0" applyFont="1" applyFill="1" applyBorder="1" applyAlignment="1">
      <alignment horizontal="center"/>
    </xf>
    <xf numFmtId="0" fontId="73" fillId="21" borderId="12" xfId="0" applyFont="1" applyFill="1" applyBorder="1" applyAlignment="1">
      <alignment horizontal="center" wrapText="1"/>
    </xf>
    <xf numFmtId="43" fontId="71" fillId="21" borderId="12" xfId="1" applyFont="1" applyFill="1" applyBorder="1" applyAlignment="1">
      <alignment horizontal="center"/>
    </xf>
    <xf numFmtId="1" fontId="71" fillId="14" borderId="48" xfId="0" applyNumberFormat="1" applyFont="1" applyFill="1" applyBorder="1" applyAlignment="1">
      <alignment horizontal="center"/>
    </xf>
    <xf numFmtId="0" fontId="6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8" fillId="2" borderId="7" xfId="0" applyFont="1" applyFill="1" applyBorder="1" applyAlignment="1">
      <alignment vertical="center"/>
    </xf>
    <xf numFmtId="0" fontId="6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0" fontId="69" fillId="16" borderId="0" xfId="0" applyFont="1" applyFill="1"/>
    <xf numFmtId="0" fontId="0" fillId="16" borderId="0" xfId="0" applyFill="1"/>
    <xf numFmtId="180" fontId="69" fillId="16" borderId="0" xfId="3" applyNumberFormat="1" applyFont="1" applyFill="1"/>
    <xf numFmtId="0" fontId="66" fillId="0" borderId="0" xfId="0" applyFont="1" applyAlignment="1">
      <alignment horizontal="center"/>
    </xf>
    <xf numFmtId="0" fontId="66" fillId="18" borderId="7" xfId="0" applyFont="1" applyFill="1" applyBorder="1" applyAlignment="1">
      <alignment horizontal="center"/>
    </xf>
    <xf numFmtId="0" fontId="6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6" fillId="4" borderId="12" xfId="0" applyNumberFormat="1" applyFont="1" applyFill="1" applyBorder="1" applyAlignment="1">
      <alignment horizontal="center"/>
    </xf>
    <xf numFmtId="0" fontId="6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2" fillId="2" borderId="7" xfId="0" applyFont="1" applyFill="1" applyBorder="1" applyAlignment="1">
      <alignment vertical="center"/>
    </xf>
    <xf numFmtId="0" fontId="31" fillId="2" borderId="28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5" fillId="2" borderId="13" xfId="0" applyNumberFormat="1" applyFont="1" applyFill="1" applyBorder="1" applyAlignment="1">
      <alignment vertical="center"/>
    </xf>
    <xf numFmtId="14" fontId="65" fillId="2" borderId="14" xfId="0" applyNumberFormat="1" applyFont="1" applyFill="1" applyBorder="1" applyAlignment="1">
      <alignment vertical="center"/>
    </xf>
    <xf numFmtId="1" fontId="8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14" fontId="26" fillId="2" borderId="20" xfId="0" applyNumberFormat="1" applyFont="1" applyFill="1" applyBorder="1" applyAlignment="1">
      <alignment horizontal="center" vertical="center"/>
    </xf>
    <xf numFmtId="0" fontId="26" fillId="2" borderId="7" xfId="0" applyFont="1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5" fillId="2" borderId="12" xfId="0" applyNumberFormat="1" applyFont="1" applyFill="1" applyBorder="1" applyAlignment="1">
      <alignment horizontal="center" vertical="center"/>
    </xf>
    <xf numFmtId="1" fontId="65" fillId="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20" fontId="65" fillId="23" borderId="12" xfId="0" applyNumberFormat="1" applyFont="1" applyFill="1" applyBorder="1" applyAlignment="1">
      <alignment horizontal="center" vertical="center"/>
    </xf>
    <xf numFmtId="1" fontId="65" fillId="23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20" fontId="65" fillId="22" borderId="12" xfId="0" applyNumberFormat="1" applyFont="1" applyFill="1" applyBorder="1" applyAlignment="1">
      <alignment horizontal="center" vertical="center"/>
    </xf>
    <xf numFmtId="1" fontId="65" fillId="22" borderId="12" xfId="0" applyNumberFormat="1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2" fillId="2" borderId="0" xfId="0" applyFont="1" applyFill="1" applyAlignment="1">
      <alignment horizontal="center"/>
    </xf>
    <xf numFmtId="14" fontId="36" fillId="22" borderId="10" xfId="0" applyNumberFormat="1" applyFont="1" applyFill="1" applyBorder="1" applyAlignment="1">
      <alignment horizontal="center" vertical="center"/>
    </xf>
    <xf numFmtId="14" fontId="36" fillId="22" borderId="17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6" fillId="23" borderId="17" xfId="0" applyNumberFormat="1" applyFont="1" applyFill="1" applyBorder="1" applyAlignment="1">
      <alignment horizontal="center" vertical="center"/>
    </xf>
    <xf numFmtId="14" fontId="65" fillId="23" borderId="17" xfId="0" applyNumberFormat="1" applyFont="1" applyFill="1" applyBorder="1" applyAlignment="1">
      <alignment horizontal="center" vertical="center"/>
    </xf>
    <xf numFmtId="14" fontId="3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 wrapText="1"/>
    </xf>
    <xf numFmtId="14" fontId="3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9" fillId="22" borderId="28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7" fillId="23" borderId="20" xfId="0" applyNumberFormat="1" applyFont="1" applyFill="1" applyBorder="1" applyAlignment="1">
      <alignment horizontal="center" vertical="center"/>
    </xf>
    <xf numFmtId="14" fontId="26" fillId="23" borderId="20" xfId="0" applyNumberFormat="1" applyFont="1" applyFill="1" applyBorder="1" applyAlignment="1">
      <alignment horizontal="center" vertical="center"/>
    </xf>
    <xf numFmtId="14" fontId="2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6" fillId="2" borderId="0" xfId="0" applyFont="1" applyFill="1"/>
    <xf numFmtId="0" fontId="66" fillId="22" borderId="10" xfId="0" applyFont="1" applyFill="1" applyBorder="1" applyAlignment="1">
      <alignment horizontal="center"/>
    </xf>
    <xf numFmtId="0" fontId="66" fillId="22" borderId="17" xfId="0" applyFont="1" applyFill="1" applyBorder="1" applyAlignment="1">
      <alignment horizontal="center"/>
    </xf>
    <xf numFmtId="0" fontId="66" fillId="23" borderId="10" xfId="0" applyFont="1" applyFill="1" applyBorder="1" applyAlignment="1">
      <alignment horizontal="center"/>
    </xf>
    <xf numFmtId="0" fontId="66" fillId="23" borderId="17" xfId="0" applyFont="1" applyFill="1" applyBorder="1" applyAlignment="1">
      <alignment horizontal="center"/>
    </xf>
    <xf numFmtId="0" fontId="66" fillId="23" borderId="28" xfId="0" applyFont="1" applyFill="1" applyBorder="1" applyAlignment="1">
      <alignment horizontal="center"/>
    </xf>
    <xf numFmtId="0" fontId="66" fillId="23" borderId="20" xfId="0" applyFont="1" applyFill="1" applyBorder="1" applyAlignment="1">
      <alignment horizontal="center"/>
    </xf>
    <xf numFmtId="0" fontId="66" fillId="22" borderId="12" xfId="0" applyFont="1" applyFill="1" applyBorder="1" applyAlignment="1">
      <alignment horizontal="center"/>
    </xf>
    <xf numFmtId="0" fontId="66" fillId="22" borderId="28" xfId="0" applyFont="1" applyFill="1" applyBorder="1" applyAlignment="1">
      <alignment horizontal="center"/>
    </xf>
    <xf numFmtId="0" fontId="66" fillId="23" borderId="12" xfId="0" applyFont="1" applyFill="1" applyBorder="1" applyAlignment="1">
      <alignment horizontal="center"/>
    </xf>
    <xf numFmtId="0" fontId="66" fillId="2" borderId="20" xfId="0" applyFont="1" applyFill="1" applyBorder="1" applyAlignment="1">
      <alignment horizontal="center"/>
    </xf>
    <xf numFmtId="0" fontId="66" fillId="2" borderId="10" xfId="0" applyFont="1" applyFill="1" applyBorder="1" applyAlignment="1">
      <alignment horizontal="center"/>
    </xf>
    <xf numFmtId="14" fontId="33" fillId="22" borderId="12" xfId="0" applyNumberFormat="1" applyFont="1" applyFill="1" applyBorder="1" applyAlignment="1">
      <alignment horizontal="center" vertical="center" wrapText="1"/>
    </xf>
    <xf numFmtId="14" fontId="2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6" fillId="2" borderId="0" xfId="0" applyFont="1" applyFill="1" applyAlignment="1">
      <alignment horizontal="center" vertical="center"/>
    </xf>
    <xf numFmtId="0" fontId="66" fillId="3" borderId="0" xfId="0" applyFont="1" applyFill="1" applyAlignment="1">
      <alignment horizontal="center" vertical="center"/>
    </xf>
    <xf numFmtId="20" fontId="62" fillId="22" borderId="12" xfId="0" applyNumberFormat="1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top" wrapText="1"/>
    </xf>
    <xf numFmtId="0" fontId="35" fillId="22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left" vertical="center" wrapText="1"/>
    </xf>
    <xf numFmtId="20" fontId="59" fillId="23" borderId="12" xfId="0" applyNumberFormat="1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/>
    </xf>
    <xf numFmtId="0" fontId="62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 wrapText="1"/>
    </xf>
    <xf numFmtId="0" fontId="30" fillId="22" borderId="12" xfId="0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 wrapText="1"/>
    </xf>
    <xf numFmtId="0" fontId="56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0" fontId="26" fillId="23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3" fillId="2" borderId="20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" fontId="65" fillId="23" borderId="28" xfId="0" applyNumberFormat="1" applyFont="1" applyFill="1" applyBorder="1" applyAlignment="1">
      <alignment horizontal="center" vertical="center"/>
    </xf>
    <xf numFmtId="0" fontId="52" fillId="23" borderId="20" xfId="0" applyFont="1" applyFill="1" applyBorder="1" applyAlignment="1">
      <alignment horizontal="center" vertical="center"/>
    </xf>
    <xf numFmtId="20" fontId="65" fillId="23" borderId="20" xfId="0" applyNumberFormat="1" applyFont="1" applyFill="1" applyBorder="1" applyAlignment="1">
      <alignment horizontal="center" vertical="center"/>
    </xf>
    <xf numFmtId="0" fontId="51" fillId="23" borderId="28" xfId="0" applyFont="1" applyFill="1" applyBorder="1" applyAlignment="1">
      <alignment horizontal="center" vertical="center"/>
    </xf>
    <xf numFmtId="20" fontId="65" fillId="23" borderId="28" xfId="0" applyNumberFormat="1" applyFont="1" applyFill="1" applyBorder="1" applyAlignment="1">
      <alignment horizontal="center" vertical="center"/>
    </xf>
    <xf numFmtId="0" fontId="51" fillId="23" borderId="70" xfId="0" applyFont="1" applyFill="1" applyBorder="1" applyAlignment="1">
      <alignment horizontal="center" vertical="center"/>
    </xf>
    <xf numFmtId="20" fontId="65" fillId="23" borderId="70" xfId="0" applyNumberFormat="1" applyFont="1" applyFill="1" applyBorder="1" applyAlignment="1">
      <alignment horizontal="center" vertical="center"/>
    </xf>
    <xf numFmtId="1" fontId="65" fillId="23" borderId="70" xfId="0" applyNumberFormat="1" applyFont="1" applyFill="1" applyBorder="1" applyAlignment="1">
      <alignment horizontal="center" vertical="center"/>
    </xf>
    <xf numFmtId="0" fontId="23" fillId="23" borderId="70" xfId="0" applyFont="1" applyFill="1" applyBorder="1" applyAlignment="1">
      <alignment horizontal="left" vertical="center" wrapText="1"/>
    </xf>
    <xf numFmtId="1" fontId="65" fillId="22" borderId="7" xfId="0" applyNumberFormat="1" applyFont="1" applyFill="1" applyBorder="1" applyAlignment="1">
      <alignment horizontal="center" vertical="center"/>
    </xf>
    <xf numFmtId="0" fontId="66" fillId="22" borderId="20" xfId="0" applyFont="1" applyFill="1" applyBorder="1" applyAlignment="1">
      <alignment horizontal="left"/>
    </xf>
    <xf numFmtId="0" fontId="23" fillId="22" borderId="68" xfId="0" applyFont="1" applyFill="1" applyBorder="1" applyAlignment="1">
      <alignment horizontal="left" vertical="center" wrapText="1"/>
    </xf>
    <xf numFmtId="1" fontId="6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2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1" fillId="23" borderId="68" xfId="0" applyFont="1" applyFill="1" applyBorder="1" applyAlignment="1">
      <alignment horizontal="left" vertical="center" wrapText="1"/>
    </xf>
    <xf numFmtId="0" fontId="21" fillId="23" borderId="28" xfId="0" applyFont="1" applyFill="1" applyBorder="1" applyAlignment="1">
      <alignment horizontal="left" vertical="center" wrapText="1"/>
    </xf>
    <xf numFmtId="0" fontId="71" fillId="24" borderId="47" xfId="0" applyFont="1" applyFill="1" applyBorder="1"/>
    <xf numFmtId="173" fontId="71" fillId="24" borderId="48" xfId="0" applyNumberFormat="1" applyFont="1" applyFill="1" applyBorder="1" applyAlignment="1">
      <alignment horizontal="center"/>
    </xf>
    <xf numFmtId="1" fontId="71" fillId="24" borderId="48" xfId="0" applyNumberFormat="1" applyFont="1" applyFill="1" applyBorder="1" applyAlignment="1">
      <alignment horizontal="center"/>
    </xf>
    <xf numFmtId="174" fontId="71" fillId="24" borderId="48" xfId="0" applyNumberFormat="1" applyFont="1" applyFill="1" applyBorder="1" applyAlignment="1">
      <alignment horizontal="center"/>
    </xf>
    <xf numFmtId="176" fontId="71" fillId="24" borderId="48" xfId="0" applyNumberFormat="1" applyFont="1" applyFill="1" applyBorder="1" applyAlignment="1">
      <alignment horizontal="center"/>
    </xf>
    <xf numFmtId="9" fontId="71" fillId="24" borderId="48" xfId="0" applyNumberFormat="1" applyFont="1" applyFill="1" applyBorder="1" applyAlignment="1">
      <alignment horizontal="center"/>
    </xf>
    <xf numFmtId="9" fontId="71" fillId="24" borderId="49" xfId="0" applyNumberFormat="1" applyFont="1" applyFill="1" applyBorder="1" applyAlignment="1">
      <alignment horizontal="center"/>
    </xf>
    <xf numFmtId="9" fontId="71" fillId="24" borderId="12" xfId="0" applyNumberFormat="1" applyFont="1" applyFill="1" applyBorder="1" applyAlignment="1">
      <alignment horizontal="center"/>
    </xf>
    <xf numFmtId="0" fontId="71" fillId="24" borderId="12" xfId="0" applyFont="1" applyFill="1" applyBorder="1"/>
    <xf numFmtId="0" fontId="71" fillId="24" borderId="48" xfId="0" applyFont="1" applyFill="1" applyBorder="1"/>
    <xf numFmtId="0" fontId="71" fillId="24" borderId="48" xfId="0" applyFont="1" applyFill="1" applyBorder="1" applyAlignment="1">
      <alignment horizontal="center"/>
    </xf>
    <xf numFmtId="0" fontId="71" fillId="24" borderId="0" xfId="0" applyFont="1" applyFill="1"/>
    <xf numFmtId="0" fontId="0" fillId="24" borderId="0" xfId="0" applyFill="1"/>
    <xf numFmtId="0" fontId="71" fillId="24" borderId="47" xfId="0" applyFont="1" applyFill="1" applyBorder="1" applyAlignment="1">
      <alignment horizontal="center"/>
    </xf>
    <xf numFmtId="0" fontId="71" fillId="24" borderId="50" xfId="0" applyFont="1" applyFill="1" applyBorder="1" applyAlignment="1">
      <alignment horizontal="center"/>
    </xf>
    <xf numFmtId="1" fontId="71" fillId="24" borderId="50" xfId="0" applyNumberFormat="1" applyFont="1" applyFill="1" applyBorder="1" applyAlignment="1">
      <alignment horizontal="center"/>
    </xf>
    <xf numFmtId="176" fontId="7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1" fillId="24" borderId="49" xfId="0" applyFont="1" applyFill="1" applyBorder="1"/>
    <xf numFmtId="0" fontId="71" fillId="24" borderId="49" xfId="0" applyFont="1" applyFill="1" applyBorder="1" applyAlignment="1">
      <alignment horizontal="center"/>
    </xf>
    <xf numFmtId="9" fontId="71" fillId="24" borderId="47" xfId="0" applyNumberFormat="1" applyFont="1" applyFill="1" applyBorder="1" applyAlignment="1">
      <alignment horizontal="center"/>
    </xf>
    <xf numFmtId="2" fontId="71" fillId="24" borderId="48" xfId="0" applyNumberFormat="1" applyFont="1" applyFill="1" applyBorder="1" applyAlignment="1">
      <alignment horizontal="center"/>
    </xf>
    <xf numFmtId="1" fontId="71" fillId="24" borderId="47" xfId="0" applyNumberFormat="1" applyFont="1" applyFill="1" applyBorder="1" applyAlignment="1">
      <alignment horizontal="center"/>
    </xf>
    <xf numFmtId="1" fontId="71" fillId="24" borderId="12" xfId="0" applyNumberFormat="1" applyFont="1" applyFill="1" applyBorder="1" applyAlignment="1">
      <alignment horizontal="center"/>
    </xf>
    <xf numFmtId="0" fontId="7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9" fillId="2" borderId="17" xfId="0" applyNumberFormat="1" applyFont="1" applyFill="1" applyBorder="1" applyAlignment="1">
      <alignment horizontal="center" vertical="center"/>
    </xf>
    <xf numFmtId="0" fontId="66" fillId="17" borderId="0" xfId="0" applyFont="1" applyFill="1" applyAlignment="1">
      <alignment horizontal="center" vertical="center"/>
    </xf>
    <xf numFmtId="14" fontId="24" fillId="22" borderId="20" xfId="0" applyNumberFormat="1" applyFon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3" fillId="23" borderId="28" xfId="0" applyNumberFormat="1" applyFont="1" applyFill="1" applyBorder="1" applyAlignment="1">
      <alignment horizontal="left" vertical="center" wrapText="1"/>
    </xf>
    <xf numFmtId="0" fontId="66" fillId="23" borderId="21" xfId="0" applyFont="1" applyFill="1" applyBorder="1" applyAlignment="1">
      <alignment horizontal="center"/>
    </xf>
    <xf numFmtId="14" fontId="23" fillId="23" borderId="10" xfId="0" applyNumberFormat="1" applyFont="1" applyFill="1" applyBorder="1" applyAlignment="1">
      <alignment horizontal="center" vertical="center"/>
    </xf>
    <xf numFmtId="14" fontId="23" fillId="23" borderId="17" xfId="0" applyNumberFormat="1" applyFont="1" applyFill="1" applyBorder="1" applyAlignment="1">
      <alignment horizontal="left" vertical="center" wrapText="1"/>
    </xf>
    <xf numFmtId="14" fontId="1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7" fillId="17" borderId="28" xfId="0" applyNumberFormat="1" applyFont="1" applyFill="1" applyBorder="1" applyAlignment="1">
      <alignment horizontal="left" vertical="center" wrapText="1"/>
    </xf>
    <xf numFmtId="14" fontId="19" fillId="22" borderId="28" xfId="0" applyNumberFormat="1" applyFont="1" applyFill="1" applyBorder="1" applyAlignment="1">
      <alignment horizontal="center" vertical="center"/>
    </xf>
    <xf numFmtId="0" fontId="6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9" fillId="5" borderId="18" xfId="0" applyFont="1" applyFill="1" applyBorder="1"/>
    <xf numFmtId="0" fontId="69" fillId="5" borderId="67" xfId="0" applyFont="1" applyFill="1" applyBorder="1"/>
    <xf numFmtId="170" fontId="69" fillId="5" borderId="0" xfId="3" applyNumberFormat="1" applyFont="1" applyFill="1" applyBorder="1"/>
    <xf numFmtId="0" fontId="69" fillId="5" borderId="13" xfId="0" applyFont="1" applyFill="1" applyBorder="1"/>
    <xf numFmtId="0" fontId="69" fillId="5" borderId="51" xfId="0" applyFont="1" applyFill="1" applyBorder="1"/>
    <xf numFmtId="0" fontId="69" fillId="5" borderId="26" xfId="0" applyFont="1" applyFill="1" applyBorder="1"/>
    <xf numFmtId="181" fontId="0" fillId="2" borderId="0" xfId="0" applyNumberFormat="1" applyFill="1"/>
    <xf numFmtId="0" fontId="70" fillId="5" borderId="0" xfId="0" applyFont="1" applyFill="1"/>
    <xf numFmtId="169" fontId="69" fillId="5" borderId="0" xfId="3" applyNumberFormat="1" applyFont="1" applyFill="1" applyBorder="1"/>
    <xf numFmtId="10" fontId="7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8" fillId="2" borderId="0" xfId="0" applyFont="1" applyFill="1"/>
    <xf numFmtId="180" fontId="69" fillId="0" borderId="72" xfId="3" applyNumberFormat="1" applyFont="1" applyFill="1" applyBorder="1"/>
    <xf numFmtId="0" fontId="66" fillId="3" borderId="71" xfId="0" applyFont="1" applyFill="1" applyBorder="1"/>
    <xf numFmtId="178" fontId="0" fillId="2" borderId="72" xfId="0" applyNumberFormat="1" applyFill="1" applyBorder="1"/>
    <xf numFmtId="0" fontId="69" fillId="23" borderId="18" xfId="0" applyFont="1" applyFill="1" applyBorder="1"/>
    <xf numFmtId="0" fontId="69" fillId="23" borderId="0" xfId="0" applyFont="1" applyFill="1"/>
    <xf numFmtId="171" fontId="69" fillId="23" borderId="0" xfId="0" applyNumberFormat="1" applyFont="1" applyFill="1"/>
    <xf numFmtId="0" fontId="69" fillId="23" borderId="67" xfId="0" applyFont="1" applyFill="1" applyBorder="1"/>
    <xf numFmtId="172" fontId="69" fillId="23" borderId="0" xfId="0" applyNumberFormat="1" applyFont="1" applyFill="1"/>
    <xf numFmtId="1" fontId="65" fillId="23" borderId="20" xfId="0" applyNumberFormat="1" applyFont="1" applyFill="1" applyBorder="1" applyAlignment="1">
      <alignment horizontal="center" vertical="center"/>
    </xf>
    <xf numFmtId="0" fontId="21" fillId="23" borderId="20" xfId="0" applyFont="1" applyFill="1" applyBorder="1" applyAlignment="1">
      <alignment horizontal="left" vertical="center"/>
    </xf>
    <xf numFmtId="14" fontId="65" fillId="23" borderId="74" xfId="0" applyNumberFormat="1" applyFont="1" applyFill="1" applyBorder="1" applyAlignment="1">
      <alignment horizontal="center" vertical="center"/>
    </xf>
    <xf numFmtId="20" fontId="65" fillId="23" borderId="74" xfId="0" applyNumberFormat="1" applyFont="1" applyFill="1" applyBorder="1" applyAlignment="1">
      <alignment horizontal="center" vertical="center"/>
    </xf>
    <xf numFmtId="1" fontId="65" fillId="23" borderId="74" xfId="0" applyNumberFormat="1" applyFont="1" applyFill="1" applyBorder="1" applyAlignment="1">
      <alignment horizontal="center" vertical="center"/>
    </xf>
    <xf numFmtId="0" fontId="24" fillId="23" borderId="74" xfId="0" applyFont="1" applyFill="1" applyBorder="1" applyAlignment="1">
      <alignment horizontal="left" vertical="center" wrapText="1"/>
    </xf>
    <xf numFmtId="0" fontId="50" fillId="23" borderId="76" xfId="0" applyFont="1" applyFill="1" applyBorder="1" applyAlignment="1">
      <alignment horizontal="center" vertical="center"/>
    </xf>
    <xf numFmtId="20" fontId="65" fillId="23" borderId="76" xfId="0" applyNumberFormat="1" applyFont="1" applyFill="1" applyBorder="1" applyAlignment="1">
      <alignment horizontal="center" vertical="center"/>
    </xf>
    <xf numFmtId="1" fontId="65" fillId="23" borderId="76" xfId="0" applyNumberFormat="1" applyFont="1" applyFill="1" applyBorder="1" applyAlignment="1">
      <alignment horizontal="center" vertical="center"/>
    </xf>
    <xf numFmtId="0" fontId="50" fillId="23" borderId="76" xfId="0" applyFont="1" applyFill="1" applyBorder="1" applyAlignment="1">
      <alignment horizontal="left" vertical="center"/>
    </xf>
    <xf numFmtId="20" fontId="65" fillId="22" borderId="28" xfId="0" applyNumberFormat="1" applyFont="1" applyFill="1" applyBorder="1" applyAlignment="1">
      <alignment horizontal="center" vertical="center"/>
    </xf>
    <xf numFmtId="1" fontId="65" fillId="22" borderId="28" xfId="0" applyNumberFormat="1" applyFont="1" applyFill="1" applyBorder="1" applyAlignment="1">
      <alignment horizontal="center" vertical="center"/>
    </xf>
    <xf numFmtId="0" fontId="17" fillId="22" borderId="28" xfId="0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 wrapText="1"/>
    </xf>
    <xf numFmtId="14" fontId="26" fillId="2" borderId="12" xfId="0" applyNumberFormat="1" applyFont="1" applyFill="1" applyBorder="1" applyAlignment="1">
      <alignment horizontal="center" vertical="center"/>
    </xf>
    <xf numFmtId="14" fontId="23" fillId="2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left" vertical="center" wrapText="1"/>
    </xf>
    <xf numFmtId="14" fontId="19" fillId="23" borderId="12" xfId="0" applyNumberFormat="1" applyFont="1" applyFill="1" applyBorder="1" applyAlignment="1">
      <alignment horizontal="center" vertical="center"/>
    </xf>
    <xf numFmtId="14" fontId="19" fillId="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6" fillId="23" borderId="20" xfId="0" applyFont="1" applyFill="1" applyBorder="1" applyAlignment="1">
      <alignment horizontal="center" vertical="center"/>
    </xf>
    <xf numFmtId="0" fontId="16" fillId="23" borderId="74" xfId="0" applyFont="1" applyFill="1" applyBorder="1" applyAlignment="1">
      <alignment horizontal="center" vertical="center"/>
    </xf>
    <xf numFmtId="0" fontId="1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4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9" fontId="66" fillId="22" borderId="12" xfId="0" applyNumberFormat="1" applyFont="1" applyFill="1" applyBorder="1" applyAlignment="1">
      <alignment horizontal="center"/>
    </xf>
    <xf numFmtId="1" fontId="66" fillId="22" borderId="27" xfId="0" applyNumberFormat="1" applyFont="1" applyFill="1" applyBorder="1" applyAlignment="1">
      <alignment horizontal="center" vertical="center"/>
    </xf>
    <xf numFmtId="1" fontId="66" fillId="22" borderId="12" xfId="0" applyNumberFormat="1" applyFont="1" applyFill="1" applyBorder="1" applyAlignment="1">
      <alignment horizontal="center"/>
    </xf>
    <xf numFmtId="176" fontId="66" fillId="22" borderId="23" xfId="0" applyNumberFormat="1" applyFont="1" applyFill="1" applyBorder="1" applyAlignment="1">
      <alignment horizontal="center" vertical="center"/>
    </xf>
    <xf numFmtId="176" fontId="66" fillId="22" borderId="11" xfId="0" applyNumberFormat="1" applyFont="1" applyFill="1" applyBorder="1" applyAlignment="1">
      <alignment horizontal="center" vertical="center"/>
    </xf>
    <xf numFmtId="176" fontId="66" fillId="22" borderId="25" xfId="0" applyNumberFormat="1" applyFont="1" applyFill="1" applyBorder="1" applyAlignment="1">
      <alignment horizontal="center" vertical="center"/>
    </xf>
    <xf numFmtId="176" fontId="66" fillId="22" borderId="54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6" fillId="23" borderId="10" xfId="0" applyNumberFormat="1" applyFont="1" applyFill="1" applyBorder="1" applyAlignment="1">
      <alignment horizontal="left" vertical="center" wrapText="1"/>
    </xf>
    <xf numFmtId="14" fontId="16" fillId="22" borderId="28" xfId="0" applyNumberFormat="1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 vertical="center"/>
    </xf>
    <xf numFmtId="20" fontId="59" fillId="22" borderId="12" xfId="0" applyNumberFormat="1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4" fillId="2" borderId="28" xfId="0" applyNumberFormat="1" applyFont="1" applyFill="1" applyBorder="1" applyAlignment="1">
      <alignment horizontal="center" vertical="center"/>
    </xf>
    <xf numFmtId="0" fontId="6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0" fontId="6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6" fillId="3" borderId="30" xfId="0" applyFont="1" applyFill="1" applyBorder="1" applyAlignment="1">
      <alignment horizontal="center" vertical="center"/>
    </xf>
    <xf numFmtId="0" fontId="66" fillId="3" borderId="31" xfId="0" applyFont="1" applyFill="1" applyBorder="1" applyAlignment="1">
      <alignment horizontal="center" vertical="center"/>
    </xf>
    <xf numFmtId="0" fontId="66" fillId="3" borderId="20" xfId="0" applyFont="1" applyFill="1" applyBorder="1" applyAlignment="1">
      <alignment horizontal="center" vertical="center"/>
    </xf>
    <xf numFmtId="0" fontId="66" fillId="3" borderId="20" xfId="0" applyFont="1" applyFill="1" applyBorder="1" applyAlignment="1">
      <alignment horizontal="center" vertical="center" wrapText="1"/>
    </xf>
    <xf numFmtId="1" fontId="66" fillId="23" borderId="74" xfId="0" applyNumberFormat="1" applyFont="1" applyFill="1" applyBorder="1" applyAlignment="1">
      <alignment horizontal="center"/>
    </xf>
    <xf numFmtId="1" fontId="6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14" fontId="1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6" fillId="23" borderId="7" xfId="0" applyFont="1" applyFill="1" applyBorder="1" applyAlignment="1">
      <alignment horizontal="center"/>
    </xf>
    <xf numFmtId="14" fontId="66" fillId="23" borderId="12" xfId="0" applyNumberFormat="1" applyFont="1" applyFill="1" applyBorder="1" applyAlignment="1">
      <alignment horizontal="center" vertical="center"/>
    </xf>
    <xf numFmtId="176" fontId="66" fillId="23" borderId="25" xfId="0" applyNumberFormat="1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center" vertical="center"/>
    </xf>
    <xf numFmtId="166" fontId="65" fillId="23" borderId="12" xfId="0" applyNumberFormat="1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0" fontId="11" fillId="2" borderId="7" xfId="0" applyFont="1" applyFill="1" applyBorder="1" applyAlignment="1">
      <alignment vertical="center"/>
    </xf>
    <xf numFmtId="0" fontId="10" fillId="22" borderId="12" xfId="0" applyFont="1" applyFill="1" applyBorder="1" applyAlignment="1">
      <alignment horizontal="left" vertical="center" wrapText="1"/>
    </xf>
    <xf numFmtId="0" fontId="1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/>
    </xf>
    <xf numFmtId="14" fontId="66" fillId="22" borderId="12" xfId="0" applyNumberFormat="1" applyFont="1" applyFill="1" applyBorder="1" applyAlignment="1">
      <alignment horizontal="center" vertical="center" wrapText="1"/>
    </xf>
    <xf numFmtId="14" fontId="23" fillId="23" borderId="12" xfId="0" applyNumberFormat="1" applyFont="1" applyFill="1" applyBorder="1" applyAlignment="1">
      <alignment horizontal="center" vertical="center" wrapText="1"/>
    </xf>
    <xf numFmtId="14" fontId="22" fillId="22" borderId="12" xfId="0" applyNumberFormat="1" applyFont="1" applyFill="1" applyBorder="1" applyAlignment="1">
      <alignment horizontal="center" vertical="center" wrapText="1"/>
    </xf>
    <xf numFmtId="0" fontId="9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89" fillId="2" borderId="1" xfId="0" applyFont="1" applyFill="1" applyBorder="1"/>
    <xf numFmtId="0" fontId="89" fillId="2" borderId="2" xfId="0" applyFont="1" applyFill="1" applyBorder="1"/>
    <xf numFmtId="0" fontId="89" fillId="2" borderId="3" xfId="0" applyFont="1" applyFill="1" applyBorder="1"/>
    <xf numFmtId="0" fontId="89" fillId="2" borderId="0" xfId="0" applyFont="1" applyFill="1"/>
    <xf numFmtId="0" fontId="90" fillId="2" borderId="18" xfId="0" applyFont="1" applyFill="1" applyBorder="1" applyAlignment="1">
      <alignment horizontal="center"/>
    </xf>
    <xf numFmtId="0" fontId="91" fillId="2" borderId="18" xfId="0" applyFont="1" applyFill="1" applyBorder="1"/>
    <xf numFmtId="0" fontId="90" fillId="2" borderId="1" xfId="0" applyFont="1" applyFill="1" applyBorder="1"/>
    <xf numFmtId="0" fontId="90" fillId="2" borderId="2" xfId="0" applyFont="1" applyFill="1" applyBorder="1"/>
    <xf numFmtId="0" fontId="90" fillId="2" borderId="3" xfId="0" applyFont="1" applyFill="1" applyBorder="1"/>
    <xf numFmtId="0" fontId="90" fillId="2" borderId="0" xfId="0" applyFont="1" applyFill="1"/>
    <xf numFmtId="0" fontId="89" fillId="2" borderId="18" xfId="0" applyFont="1" applyFill="1" applyBorder="1"/>
    <xf numFmtId="0" fontId="89" fillId="2" borderId="67" xfId="0" applyFont="1" applyFill="1" applyBorder="1"/>
    <xf numFmtId="0" fontId="90" fillId="4" borderId="12" xfId="0" applyFont="1" applyFill="1" applyBorder="1" applyAlignment="1">
      <alignment horizontal="center"/>
    </xf>
    <xf numFmtId="0" fontId="89" fillId="2" borderId="18" xfId="0" applyFont="1" applyFill="1" applyBorder="1" applyAlignment="1">
      <alignment horizontal="center"/>
    </xf>
    <xf numFmtId="0" fontId="91" fillId="2" borderId="12" xfId="0" applyFont="1" applyFill="1" applyBorder="1" applyAlignment="1">
      <alignment horizontal="center"/>
    </xf>
    <xf numFmtId="0" fontId="89" fillId="2" borderId="12" xfId="0" applyFont="1" applyFill="1" applyBorder="1" applyAlignment="1">
      <alignment horizontal="center"/>
    </xf>
    <xf numFmtId="0" fontId="89" fillId="2" borderId="12" xfId="0" applyFont="1" applyFill="1" applyBorder="1"/>
    <xf numFmtId="0" fontId="89" fillId="2" borderId="13" xfId="0" applyFont="1" applyFill="1" applyBorder="1"/>
    <xf numFmtId="0" fontId="89" fillId="2" borderId="51" xfId="0" applyFont="1" applyFill="1" applyBorder="1"/>
    <xf numFmtId="0" fontId="89" fillId="2" borderId="26" xfId="0" applyFont="1" applyFill="1" applyBorder="1"/>
    <xf numFmtId="14" fontId="91" fillId="2" borderId="12" xfId="0" applyNumberFormat="1" applyFont="1" applyFill="1" applyBorder="1" applyAlignment="1">
      <alignment horizontal="center"/>
    </xf>
    <xf numFmtId="14" fontId="89" fillId="2" borderId="12" xfId="0" applyNumberFormat="1" applyFont="1" applyFill="1" applyBorder="1" applyAlignment="1">
      <alignment horizontal="center"/>
    </xf>
    <xf numFmtId="0" fontId="66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1" fillId="18" borderId="29" xfId="0" applyFont="1" applyFill="1" applyBorder="1" applyAlignment="1">
      <alignment vertical="center"/>
    </xf>
    <xf numFmtId="0" fontId="8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1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6" fillId="22" borderId="12" xfId="0" applyNumberFormat="1" applyFont="1" applyFill="1" applyBorder="1" applyAlignment="1">
      <alignment horizontal="center" vertical="center"/>
    </xf>
    <xf numFmtId="9" fontId="6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6" fillId="3" borderId="12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center" vertical="center"/>
    </xf>
    <xf numFmtId="20" fontId="62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6" fillId="3" borderId="12" xfId="0" applyFont="1" applyFill="1" applyBorder="1" applyAlignment="1">
      <alignment horizontal="center" vertical="center" wrapText="1"/>
    </xf>
    <xf numFmtId="14" fontId="66" fillId="22" borderId="28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66" fillId="2" borderId="20" xfId="0" applyFont="1" applyFill="1" applyBorder="1" applyAlignment="1">
      <alignment horizontal="center" vertical="center"/>
    </xf>
    <xf numFmtId="0" fontId="66" fillId="2" borderId="28" xfId="0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0" fontId="66" fillId="23" borderId="20" xfId="0" applyFont="1" applyFill="1" applyBorder="1" applyAlignment="1">
      <alignment horizontal="center" vertical="center"/>
    </xf>
    <xf numFmtId="0" fontId="66" fillId="23" borderId="74" xfId="0" applyFont="1" applyFill="1" applyBorder="1" applyAlignment="1">
      <alignment horizontal="center" vertical="center"/>
    </xf>
    <xf numFmtId="0" fontId="66" fillId="23" borderId="76" xfId="0" applyFont="1" applyFill="1" applyBorder="1" applyAlignment="1">
      <alignment horizontal="center" vertical="center"/>
    </xf>
    <xf numFmtId="0" fontId="66" fillId="22" borderId="10" xfId="0" applyFont="1" applyFill="1" applyBorder="1" applyAlignment="1">
      <alignment horizontal="center" vertical="center"/>
    </xf>
    <xf numFmtId="0" fontId="66" fillId="22" borderId="20" xfId="0" applyFont="1" applyFill="1" applyBorder="1" applyAlignment="1">
      <alignment horizontal="center" vertical="center"/>
    </xf>
    <xf numFmtId="0" fontId="66" fillId="23" borderId="10" xfId="0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horizontal="center" vertical="center"/>
    </xf>
    <xf numFmtId="0" fontId="66" fillId="3" borderId="78" xfId="0" applyFont="1" applyFill="1" applyBorder="1" applyAlignment="1">
      <alignment horizontal="center" vertical="center" wrapText="1"/>
    </xf>
    <xf numFmtId="0" fontId="66" fillId="23" borderId="81" xfId="0" applyFont="1" applyFill="1" applyBorder="1" applyAlignment="1">
      <alignment horizontal="center" vertical="center"/>
    </xf>
    <xf numFmtId="0" fontId="66" fillId="23" borderId="83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wrapText="1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6" fillId="23" borderId="12" xfId="0" applyFont="1" applyFill="1" applyBorder="1" applyAlignment="1">
      <alignment horizontal="left" vertical="center" wrapText="1"/>
    </xf>
    <xf numFmtId="166" fontId="65" fillId="17" borderId="12" xfId="0" applyNumberFormat="1" applyFont="1" applyFill="1" applyBorder="1" applyAlignment="1">
      <alignment horizontal="center" vertical="center"/>
    </xf>
    <xf numFmtId="1" fontId="6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14" fontId="6" fillId="17" borderId="12" xfId="0" applyNumberFormat="1" applyFont="1" applyFill="1" applyBorder="1" applyAlignment="1">
      <alignment horizontal="center" vertical="center"/>
    </xf>
    <xf numFmtId="0" fontId="6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2" fillId="2" borderId="72" xfId="0" applyFont="1" applyFill="1" applyBorder="1" applyAlignment="1">
      <alignment wrapText="1"/>
    </xf>
    <xf numFmtId="1" fontId="93" fillId="2" borderId="71" xfId="0" applyNumberFormat="1" applyFont="1" applyFill="1" applyBorder="1" applyAlignment="1">
      <alignment horizontal="center" vertical="center"/>
    </xf>
    <xf numFmtId="1" fontId="94" fillId="2" borderId="71" xfId="0" applyNumberFormat="1" applyFont="1" applyFill="1" applyBorder="1" applyAlignment="1">
      <alignment horizontal="center" vertical="center"/>
    </xf>
    <xf numFmtId="9" fontId="9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6" fillId="18" borderId="60" xfId="0" applyFont="1" applyFill="1" applyBorder="1" applyAlignment="1">
      <alignment horizontal="center"/>
    </xf>
    <xf numFmtId="0" fontId="6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6" fillId="19" borderId="12" xfId="0" applyFont="1" applyFill="1" applyBorder="1" applyAlignment="1">
      <alignment horizontal="center" vertical="center"/>
    </xf>
    <xf numFmtId="14" fontId="65" fillId="19" borderId="12" xfId="0" applyNumberFormat="1" applyFont="1" applyFill="1" applyBorder="1" applyAlignment="1">
      <alignment horizontal="center" vertical="center"/>
    </xf>
    <xf numFmtId="0" fontId="6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6" fillId="4" borderId="12" xfId="0" applyNumberFormat="1" applyFont="1" applyFill="1" applyBorder="1" applyAlignment="1">
      <alignment horizontal="center"/>
    </xf>
    <xf numFmtId="14" fontId="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6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6" fillId="18" borderId="12" xfId="0" applyNumberFormat="1" applyFont="1" applyFill="1" applyBorder="1" applyAlignment="1">
      <alignment horizontal="center"/>
    </xf>
    <xf numFmtId="14" fontId="86" fillId="2" borderId="4" xfId="0" applyNumberFormat="1" applyFont="1" applyFill="1" applyBorder="1" applyAlignment="1">
      <alignment horizontal="center" vertical="center"/>
    </xf>
    <xf numFmtId="14" fontId="4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" fillId="19" borderId="12" xfId="0" applyFont="1" applyFill="1" applyBorder="1" applyAlignment="1">
      <alignment horizontal="center" vertical="center"/>
    </xf>
    <xf numFmtId="166" fontId="65" fillId="19" borderId="12" xfId="0" applyNumberFormat="1" applyFont="1" applyFill="1" applyBorder="1" applyAlignment="1">
      <alignment horizontal="center" vertical="center"/>
    </xf>
    <xf numFmtId="1" fontId="65" fillId="19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1" fillId="24" borderId="12" xfId="0" applyNumberFormat="1" applyFont="1" applyFill="1" applyBorder="1" applyAlignment="1">
      <alignment horizontal="center"/>
    </xf>
    <xf numFmtId="1" fontId="86" fillId="2" borderId="15" xfId="0" applyNumberFormat="1" applyFont="1" applyFill="1" applyBorder="1" applyAlignment="1">
      <alignment horizontal="center" vertical="center"/>
    </xf>
    <xf numFmtId="1" fontId="86" fillId="2" borderId="25" xfId="0" applyNumberFormat="1" applyFont="1" applyFill="1" applyBorder="1" applyAlignment="1">
      <alignment horizontal="center" vertical="center"/>
    </xf>
    <xf numFmtId="0" fontId="86" fillId="2" borderId="5" xfId="0" applyFont="1" applyFill="1" applyBorder="1" applyAlignment="1">
      <alignment vertical="center"/>
    </xf>
    <xf numFmtId="165" fontId="86" fillId="2" borderId="5" xfId="1" applyNumberFormat="1" applyFont="1" applyFill="1" applyBorder="1" applyAlignment="1">
      <alignment horizontal="center" vertical="center"/>
    </xf>
    <xf numFmtId="166" fontId="86" fillId="2" borderId="5" xfId="0" applyNumberFormat="1" applyFont="1" applyFill="1" applyBorder="1" applyAlignment="1">
      <alignment horizontal="center" vertical="center"/>
    </xf>
    <xf numFmtId="9" fontId="86" fillId="2" borderId="5" xfId="2" applyFont="1" applyFill="1" applyBorder="1" applyAlignment="1">
      <alignment horizontal="center" vertical="center"/>
    </xf>
    <xf numFmtId="167" fontId="86" fillId="2" borderId="6" xfId="1" applyNumberFormat="1" applyFont="1" applyFill="1" applyBorder="1" applyAlignment="1">
      <alignment horizontal="center" vertical="center"/>
    </xf>
    <xf numFmtId="0" fontId="86" fillId="2" borderId="6" xfId="0" applyFont="1" applyFill="1" applyBorder="1" applyAlignment="1">
      <alignment horizontal="center" vertical="center"/>
    </xf>
    <xf numFmtId="1" fontId="86" fillId="2" borderId="6" xfId="0" applyNumberFormat="1" applyFont="1" applyFill="1" applyBorder="1" applyAlignment="1">
      <alignment horizontal="center" vertical="center"/>
    </xf>
    <xf numFmtId="1" fontId="86" fillId="2" borderId="5" xfId="0" applyNumberFormat="1" applyFont="1" applyFill="1" applyBorder="1" applyAlignment="1">
      <alignment horizontal="center" vertical="center"/>
    </xf>
    <xf numFmtId="1" fontId="86" fillId="2" borderId="59" xfId="0" applyNumberFormat="1" applyFont="1" applyFill="1" applyBorder="1" applyAlignment="1">
      <alignment horizontal="center" vertical="center"/>
    </xf>
    <xf numFmtId="167" fontId="86" fillId="2" borderId="32" xfId="1" applyNumberFormat="1" applyFont="1" applyFill="1" applyBorder="1" applyAlignment="1">
      <alignment horizontal="center" vertical="center"/>
    </xf>
    <xf numFmtId="0" fontId="86" fillId="2" borderId="32" xfId="0" applyFont="1" applyFill="1" applyBorder="1" applyAlignment="1">
      <alignment horizontal="center" vertical="center"/>
    </xf>
    <xf numFmtId="1" fontId="86" fillId="2" borderId="6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165" fontId="86" fillId="2" borderId="12" xfId="1" applyNumberFormat="1" applyFont="1" applyFill="1" applyBorder="1" applyAlignment="1">
      <alignment horizontal="center" vertical="center"/>
    </xf>
    <xf numFmtId="166" fontId="86" fillId="2" borderId="12" xfId="0" applyNumberFormat="1" applyFont="1" applyFill="1" applyBorder="1" applyAlignment="1">
      <alignment horizontal="center" vertical="center"/>
    </xf>
    <xf numFmtId="9" fontId="86" fillId="2" borderId="12" xfId="2" applyFont="1" applyFill="1" applyBorder="1" applyAlignment="1">
      <alignment horizontal="center" vertical="center"/>
    </xf>
    <xf numFmtId="167" fontId="86" fillId="2" borderId="12" xfId="1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1" fontId="86" fillId="2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0" fontId="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5" fillId="17" borderId="12" xfId="0" applyFont="1" applyFill="1" applyBorder="1" applyAlignment="1">
      <alignment horizontal="center" vertical="center"/>
    </xf>
    <xf numFmtId="0" fontId="65" fillId="17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0" fontId="66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2" fillId="19" borderId="12" xfId="0" applyNumberFormat="1" applyFont="1" applyFill="1" applyBorder="1" applyAlignment="1">
      <alignment horizontal="center" vertical="center" wrapText="1"/>
    </xf>
    <xf numFmtId="173" fontId="71" fillId="0" borderId="0" xfId="0" applyNumberFormat="1" applyFont="1" applyAlignment="1">
      <alignment horizontal="center"/>
    </xf>
    <xf numFmtId="173" fontId="71" fillId="0" borderId="49" xfId="0" applyNumberFormat="1" applyFont="1" applyBorder="1" applyAlignment="1">
      <alignment horizontal="center"/>
    </xf>
    <xf numFmtId="174" fontId="71" fillId="0" borderId="47" xfId="0" applyNumberFormat="1" applyFont="1" applyBorder="1" applyAlignment="1">
      <alignment horizontal="center"/>
    </xf>
    <xf numFmtId="176" fontId="71" fillId="0" borderId="47" xfId="0" applyNumberFormat="1" applyFont="1" applyBorder="1" applyAlignment="1">
      <alignment horizontal="center"/>
    </xf>
    <xf numFmtId="1" fontId="71" fillId="21" borderId="28" xfId="0" applyNumberFormat="1" applyFont="1" applyFill="1" applyBorder="1" applyAlignment="1">
      <alignment horizontal="center"/>
    </xf>
    <xf numFmtId="2" fontId="71" fillId="21" borderId="28" xfId="0" applyNumberFormat="1" applyFont="1" applyFill="1" applyBorder="1" applyAlignment="1">
      <alignment horizontal="center"/>
    </xf>
    <xf numFmtId="176" fontId="71" fillId="21" borderId="28" xfId="0" applyNumberFormat="1" applyFont="1" applyFill="1" applyBorder="1" applyAlignment="1">
      <alignment horizontal="center"/>
    </xf>
    <xf numFmtId="9" fontId="71" fillId="21" borderId="28" xfId="0" applyNumberFormat="1" applyFont="1" applyFill="1" applyBorder="1" applyAlignment="1">
      <alignment horizontal="center"/>
    </xf>
    <xf numFmtId="0" fontId="71" fillId="21" borderId="28" xfId="0" applyFont="1" applyFill="1" applyBorder="1" applyAlignment="1">
      <alignment horizontal="center"/>
    </xf>
    <xf numFmtId="176" fontId="71" fillId="0" borderId="12" xfId="0" applyNumberFormat="1" applyFont="1" applyBorder="1" applyAlignment="1">
      <alignment horizontal="center"/>
    </xf>
    <xf numFmtId="9" fontId="71" fillId="22" borderId="48" xfId="2" applyFont="1" applyFill="1" applyBorder="1" applyAlignment="1">
      <alignment horizontal="center" vertical="center"/>
    </xf>
    <xf numFmtId="0" fontId="71" fillId="0" borderId="49" xfId="0" applyFont="1" applyBorder="1"/>
    <xf numFmtId="0" fontId="71" fillId="24" borderId="7" xfId="0" applyFont="1" applyFill="1" applyBorder="1"/>
    <xf numFmtId="0" fontId="71" fillId="0" borderId="7" xfId="0" applyFont="1" applyBorder="1"/>
    <xf numFmtId="0" fontId="71" fillId="0" borderId="30" xfId="0" applyFont="1" applyBorder="1"/>
    <xf numFmtId="0" fontId="71" fillId="24" borderId="8" xfId="0" applyFont="1" applyFill="1" applyBorder="1" applyAlignment="1">
      <alignment horizontal="center"/>
    </xf>
    <xf numFmtId="0" fontId="71" fillId="0" borderId="8" xfId="0" applyFont="1" applyBorder="1" applyAlignment="1">
      <alignment horizontal="center"/>
    </xf>
    <xf numFmtId="0" fontId="71" fillId="0" borderId="31" xfId="0" applyFont="1" applyBorder="1" applyAlignment="1">
      <alignment horizontal="center"/>
    </xf>
    <xf numFmtId="0" fontId="73" fillId="3" borderId="40" xfId="0" applyFont="1" applyFill="1" applyBorder="1" applyAlignment="1">
      <alignment horizontal="center" vertical="center" wrapText="1"/>
    </xf>
    <xf numFmtId="0" fontId="72" fillId="3" borderId="44" xfId="0" applyFont="1" applyFill="1" applyBorder="1" applyAlignment="1">
      <alignment vertical="center"/>
    </xf>
    <xf numFmtId="1" fontId="73" fillId="3" borderId="41" xfId="0" applyNumberFormat="1" applyFont="1" applyFill="1" applyBorder="1" applyAlignment="1">
      <alignment horizontal="center" vertical="center" wrapText="1"/>
    </xf>
    <xf numFmtId="0" fontId="72" fillId="3" borderId="42" xfId="0" applyFont="1" applyFill="1" applyBorder="1" applyAlignment="1">
      <alignment vertical="center"/>
    </xf>
    <xf numFmtId="0" fontId="72" fillId="3" borderId="43" xfId="0" applyFont="1" applyFill="1" applyBorder="1" applyAlignment="1">
      <alignment vertical="center"/>
    </xf>
    <xf numFmtId="1" fontId="73" fillId="3" borderId="40" xfId="0" applyNumberFormat="1" applyFont="1" applyFill="1" applyBorder="1" applyAlignment="1">
      <alignment horizontal="center" vertical="center" wrapText="1"/>
    </xf>
    <xf numFmtId="0" fontId="73" fillId="3" borderId="41" xfId="0" applyFont="1" applyFill="1" applyBorder="1" applyAlignment="1">
      <alignment horizontal="center" vertical="center" wrapText="1"/>
    </xf>
    <xf numFmtId="0" fontId="72" fillId="3" borderId="46" xfId="0" applyFont="1" applyFill="1" applyBorder="1" applyAlignment="1">
      <alignment vertical="center"/>
    </xf>
    <xf numFmtId="1" fontId="73" fillId="3" borderId="44" xfId="0" applyNumberFormat="1" applyFont="1" applyFill="1" applyBorder="1" applyAlignment="1">
      <alignment horizontal="center" vertical="center" wrapText="1"/>
    </xf>
    <xf numFmtId="0" fontId="66" fillId="20" borderId="12" xfId="0" applyFont="1" applyFill="1" applyBorder="1" applyAlignment="1">
      <alignment horizontal="center"/>
    </xf>
    <xf numFmtId="0" fontId="78" fillId="15" borderId="51" xfId="0" applyFont="1" applyFill="1" applyBorder="1" applyAlignment="1">
      <alignment horizontal="center"/>
    </xf>
    <xf numFmtId="0" fontId="79" fillId="15" borderId="0" xfId="0" applyFont="1" applyFill="1" applyAlignment="1">
      <alignment horizontal="center"/>
    </xf>
    <xf numFmtId="0" fontId="83" fillId="3" borderId="42" xfId="0" applyFont="1" applyFill="1" applyBorder="1" applyAlignment="1">
      <alignment horizontal="center" vertical="center"/>
    </xf>
    <xf numFmtId="0" fontId="83" fillId="3" borderId="43" xfId="0" applyFont="1" applyFill="1" applyBorder="1" applyAlignment="1">
      <alignment horizontal="center" vertical="center"/>
    </xf>
    <xf numFmtId="0" fontId="73" fillId="3" borderId="42" xfId="0" applyFont="1" applyFill="1" applyBorder="1" applyAlignment="1">
      <alignment horizontal="center" vertical="center" wrapText="1"/>
    </xf>
    <xf numFmtId="0" fontId="73" fillId="3" borderId="43" xfId="0" applyFont="1" applyFill="1" applyBorder="1" applyAlignment="1">
      <alignment horizontal="center" vertical="center" wrapText="1"/>
    </xf>
    <xf numFmtId="0" fontId="66" fillId="4" borderId="12" xfId="0" applyFont="1" applyFill="1" applyBorder="1" applyAlignment="1">
      <alignment horizontal="center"/>
    </xf>
    <xf numFmtId="0" fontId="86" fillId="2" borderId="20" xfId="0" applyFont="1" applyFill="1" applyBorder="1" applyAlignment="1">
      <alignment horizontal="left" wrapText="1"/>
    </xf>
    <xf numFmtId="0" fontId="86" fillId="2" borderId="28" xfId="0" applyFont="1" applyFill="1" applyBorder="1" applyAlignment="1">
      <alignment horizontal="left" wrapText="1"/>
    </xf>
    <xf numFmtId="14" fontId="86" fillId="2" borderId="1" xfId="0" applyNumberFormat="1" applyFont="1" applyFill="1" applyBorder="1" applyAlignment="1">
      <alignment horizontal="center" vertical="center"/>
    </xf>
    <xf numFmtId="14" fontId="86" fillId="2" borderId="4" xfId="0" applyNumberFormat="1" applyFont="1" applyFill="1" applyBorder="1" applyAlignment="1">
      <alignment horizontal="center" vertical="center"/>
    </xf>
    <xf numFmtId="14" fontId="86" fillId="2" borderId="13" xfId="0" applyNumberFormat="1" applyFont="1" applyFill="1" applyBorder="1" applyAlignment="1">
      <alignment horizontal="center" vertical="center"/>
    </xf>
    <xf numFmtId="14" fontId="86" fillId="2" borderId="14" xfId="0" applyNumberFormat="1" applyFont="1" applyFill="1" applyBorder="1" applyAlignment="1">
      <alignment horizontal="center" vertical="center"/>
    </xf>
    <xf numFmtId="165" fontId="86" fillId="2" borderId="0" xfId="0" applyNumberFormat="1" applyFont="1" applyFill="1" applyAlignment="1">
      <alignment horizontal="center" vertical="center"/>
    </xf>
    <xf numFmtId="0" fontId="86" fillId="2" borderId="53" xfId="0" applyFont="1" applyFill="1" applyBorder="1" applyAlignment="1">
      <alignment horizontal="center" vertical="center"/>
    </xf>
    <xf numFmtId="165" fontId="86" fillId="2" borderId="6" xfId="0" applyNumberFormat="1" applyFont="1" applyFill="1" applyBorder="1" applyAlignment="1">
      <alignment horizontal="center" vertical="center"/>
    </xf>
    <xf numFmtId="0" fontId="86" fillId="2" borderId="16" xfId="0" applyFont="1" applyFill="1" applyBorder="1" applyAlignment="1">
      <alignment horizontal="center" vertical="center"/>
    </xf>
    <xf numFmtId="14" fontId="81" fillId="4" borderId="18" xfId="0" applyNumberFormat="1" applyFont="1" applyFill="1" applyBorder="1" applyAlignment="1">
      <alignment horizontal="center" vertical="center"/>
    </xf>
    <xf numFmtId="14" fontId="81" fillId="4" borderId="19" xfId="0" applyNumberFormat="1" applyFont="1" applyFill="1" applyBorder="1" applyAlignment="1">
      <alignment horizontal="center" vertical="center"/>
    </xf>
    <xf numFmtId="0" fontId="81" fillId="4" borderId="24" xfId="0" applyFont="1" applyFill="1" applyBorder="1" applyAlignment="1">
      <alignment horizontal="center"/>
    </xf>
    <xf numFmtId="0" fontId="81" fillId="4" borderId="17" xfId="0" applyFont="1" applyFill="1" applyBorder="1" applyAlignment="1">
      <alignment horizontal="center"/>
    </xf>
    <xf numFmtId="165" fontId="86" fillId="2" borderId="5" xfId="0" applyNumberFormat="1" applyFont="1" applyFill="1" applyBorder="1" applyAlignment="1">
      <alignment horizontal="center" vertical="center"/>
    </xf>
    <xf numFmtId="165" fontId="86" fillId="2" borderId="15" xfId="0" applyNumberFormat="1" applyFont="1" applyFill="1" applyBorder="1" applyAlignment="1">
      <alignment horizontal="center" vertical="center"/>
    </xf>
    <xf numFmtId="165" fontId="86" fillId="2" borderId="21" xfId="0" applyNumberFormat="1" applyFont="1" applyFill="1" applyBorder="1" applyAlignment="1">
      <alignment horizontal="center" vertical="center"/>
    </xf>
    <xf numFmtId="14" fontId="86" fillId="17" borderId="1" xfId="0" applyNumberFormat="1" applyFont="1" applyFill="1" applyBorder="1" applyAlignment="1">
      <alignment horizontal="center" vertical="center"/>
    </xf>
    <xf numFmtId="14" fontId="86" fillId="17" borderId="4" xfId="0" applyNumberFormat="1" applyFont="1" applyFill="1" applyBorder="1" applyAlignment="1">
      <alignment horizontal="center" vertical="center"/>
    </xf>
    <xf numFmtId="14" fontId="86" fillId="17" borderId="13" xfId="0" applyNumberFormat="1" applyFont="1" applyFill="1" applyBorder="1" applyAlignment="1">
      <alignment horizontal="center" vertical="center"/>
    </xf>
    <xf numFmtId="14" fontId="86" fillId="17" borderId="14" xfId="0" applyNumberFormat="1" applyFont="1" applyFill="1" applyBorder="1" applyAlignment="1">
      <alignment horizontal="center" vertical="center"/>
    </xf>
    <xf numFmtId="165" fontId="86" fillId="17" borderId="5" xfId="0" applyNumberFormat="1" applyFont="1" applyFill="1" applyBorder="1" applyAlignment="1">
      <alignment horizontal="center" vertical="center"/>
    </xf>
    <xf numFmtId="165" fontId="86" fillId="17" borderId="15" xfId="0" applyNumberFormat="1" applyFont="1" applyFill="1" applyBorder="1" applyAlignment="1">
      <alignment horizontal="center" vertical="center"/>
    </xf>
    <xf numFmtId="0" fontId="81" fillId="3" borderId="36" xfId="0" applyFont="1" applyFill="1" applyBorder="1" applyAlignment="1">
      <alignment horizontal="center"/>
    </xf>
    <xf numFmtId="0" fontId="81" fillId="3" borderId="55" xfId="0" applyFont="1" applyFill="1" applyBorder="1" applyAlignment="1">
      <alignment horizontal="center"/>
    </xf>
    <xf numFmtId="0" fontId="81" fillId="3" borderId="56" xfId="0" applyFont="1" applyFill="1" applyBorder="1" applyAlignment="1">
      <alignment horizontal="center"/>
    </xf>
    <xf numFmtId="14" fontId="86" fillId="2" borderId="18" xfId="0" applyNumberFormat="1" applyFont="1" applyFill="1" applyBorder="1" applyAlignment="1">
      <alignment horizontal="center" vertical="center"/>
    </xf>
    <xf numFmtId="14" fontId="86" fillId="2" borderId="19" xfId="0" applyNumberFormat="1" applyFont="1" applyFill="1" applyBorder="1" applyAlignment="1">
      <alignment horizontal="center" vertical="center"/>
    </xf>
    <xf numFmtId="0" fontId="81" fillId="3" borderId="18" xfId="0" applyFont="1" applyFill="1" applyBorder="1" applyAlignment="1">
      <alignment horizontal="center" vertical="center"/>
    </xf>
    <xf numFmtId="0" fontId="81" fillId="3" borderId="19" xfId="0" applyFont="1" applyFill="1" applyBorder="1" applyAlignment="1">
      <alignment horizontal="center" vertical="center"/>
    </xf>
    <xf numFmtId="0" fontId="66" fillId="3" borderId="7" xfId="0" applyFont="1" applyFill="1" applyBorder="1" applyAlignment="1">
      <alignment horizontal="center"/>
    </xf>
    <xf numFmtId="0" fontId="66" fillId="3" borderId="8" xfId="0" applyFont="1" applyFill="1" applyBorder="1" applyAlignment="1">
      <alignment horizontal="center"/>
    </xf>
    <xf numFmtId="0" fontId="76" fillId="16" borderId="36" xfId="0" applyFont="1" applyFill="1" applyBorder="1" applyAlignment="1">
      <alignment horizontal="center"/>
    </xf>
    <xf numFmtId="0" fontId="76" fillId="16" borderId="55" xfId="0" applyFont="1" applyFill="1" applyBorder="1" applyAlignment="1">
      <alignment horizontal="center"/>
    </xf>
    <xf numFmtId="0" fontId="76" fillId="16" borderId="56" xfId="0" applyFont="1" applyFill="1" applyBorder="1" applyAlignment="1">
      <alignment horizontal="center"/>
    </xf>
    <xf numFmtId="0" fontId="66" fillId="4" borderId="1" xfId="0" applyFont="1" applyFill="1" applyBorder="1" applyAlignment="1">
      <alignment horizontal="center"/>
    </xf>
    <xf numFmtId="0" fontId="66" fillId="4" borderId="2" xfId="0" applyFont="1" applyFill="1" applyBorder="1" applyAlignment="1">
      <alignment horizontal="center"/>
    </xf>
    <xf numFmtId="0" fontId="66" fillId="4" borderId="3" xfId="0" applyFont="1" applyFill="1" applyBorder="1" applyAlignment="1">
      <alignment horizontal="center"/>
    </xf>
    <xf numFmtId="0" fontId="66" fillId="4" borderId="18" xfId="0" applyFont="1" applyFill="1" applyBorder="1" applyAlignment="1">
      <alignment horizontal="center"/>
    </xf>
    <xf numFmtId="0" fontId="66" fillId="4" borderId="0" xfId="0" applyFont="1" applyFill="1" applyAlignment="1">
      <alignment horizontal="center"/>
    </xf>
    <xf numFmtId="0" fontId="66" fillId="4" borderId="67" xfId="0" applyFont="1" applyFill="1" applyBorder="1" applyAlignment="1">
      <alignment horizontal="center"/>
    </xf>
    <xf numFmtId="0" fontId="81" fillId="4" borderId="0" xfId="0" applyFont="1" applyFill="1" applyAlignment="1">
      <alignment horizontal="center"/>
    </xf>
    <xf numFmtId="177" fontId="66" fillId="4" borderId="12" xfId="0" applyNumberFormat="1" applyFont="1" applyFill="1" applyBorder="1" applyAlignment="1">
      <alignment horizontal="center"/>
    </xf>
    <xf numFmtId="0" fontId="66" fillId="19" borderId="57" xfId="0" applyFont="1" applyFill="1" applyBorder="1" applyAlignment="1">
      <alignment horizontal="center"/>
    </xf>
    <xf numFmtId="0" fontId="66" fillId="19" borderId="10" xfId="0" applyFont="1" applyFill="1" applyBorder="1" applyAlignment="1">
      <alignment horizontal="center"/>
    </xf>
    <xf numFmtId="177" fontId="66" fillId="19" borderId="10" xfId="0" applyNumberFormat="1" applyFont="1" applyFill="1" applyBorder="1" applyAlignment="1">
      <alignment horizontal="center"/>
    </xf>
    <xf numFmtId="0" fontId="66" fillId="19" borderId="23" xfId="0" applyFont="1" applyFill="1" applyBorder="1" applyAlignment="1">
      <alignment horizontal="center"/>
    </xf>
    <xf numFmtId="0" fontId="81" fillId="18" borderId="0" xfId="0" applyFont="1" applyFill="1" applyAlignment="1">
      <alignment horizontal="center"/>
    </xf>
    <xf numFmtId="0" fontId="66" fillId="18" borderId="12" xfId="0" applyFont="1" applyFill="1" applyBorder="1" applyAlignment="1">
      <alignment horizontal="center"/>
    </xf>
    <xf numFmtId="0" fontId="66" fillId="3" borderId="29" xfId="0" applyFont="1" applyFill="1" applyBorder="1" applyAlignment="1">
      <alignment horizontal="center"/>
    </xf>
    <xf numFmtId="0" fontId="66" fillId="3" borderId="0" xfId="0" applyFont="1" applyFill="1" applyAlignment="1">
      <alignment horizontal="center"/>
    </xf>
    <xf numFmtId="14" fontId="63" fillId="2" borderId="32" xfId="0" applyNumberFormat="1" applyFont="1" applyFill="1" applyBorder="1" applyAlignment="1">
      <alignment horizontal="center" vertical="center"/>
    </xf>
    <xf numFmtId="14" fontId="65" fillId="2" borderId="33" xfId="0" applyNumberFormat="1" applyFont="1" applyFill="1" applyBorder="1" applyAlignment="1">
      <alignment horizontal="center" vertical="center"/>
    </xf>
    <xf numFmtId="0" fontId="76" fillId="20" borderId="7" xfId="0" applyFont="1" applyFill="1" applyBorder="1" applyAlignment="1">
      <alignment horizontal="center"/>
    </xf>
    <xf numFmtId="0" fontId="76" fillId="20" borderId="8" xfId="0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0" fontId="66" fillId="3" borderId="30" xfId="0" applyFont="1" applyFill="1" applyBorder="1" applyAlignment="1">
      <alignment horizontal="center"/>
    </xf>
    <xf numFmtId="0" fontId="66" fillId="3" borderId="34" xfId="0" applyFont="1" applyFill="1" applyBorder="1" applyAlignment="1">
      <alignment horizontal="center"/>
    </xf>
    <xf numFmtId="0" fontId="66" fillId="3" borderId="31" xfId="0" applyFont="1" applyFill="1" applyBorder="1" applyAlignment="1">
      <alignment horizontal="center"/>
    </xf>
    <xf numFmtId="0" fontId="65" fillId="3" borderId="36" xfId="0" applyFont="1" applyFill="1" applyBorder="1" applyAlignment="1">
      <alignment horizontal="center"/>
    </xf>
    <xf numFmtId="0" fontId="65" fillId="3" borderId="37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0" fontId="88" fillId="22" borderId="20" xfId="0" applyFont="1" applyFill="1" applyBorder="1" applyAlignment="1">
      <alignment horizontal="center" vertical="center"/>
    </xf>
    <xf numFmtId="0" fontId="88" fillId="22" borderId="21" xfId="0" applyFont="1" applyFill="1" applyBorder="1" applyAlignment="1">
      <alignment horizontal="center" vertical="center"/>
    </xf>
    <xf numFmtId="0" fontId="88" fillId="22" borderId="28" xfId="0" applyFont="1" applyFill="1" applyBorder="1" applyAlignment="1">
      <alignment horizontal="center" vertical="center"/>
    </xf>
    <xf numFmtId="0" fontId="66" fillId="18" borderId="0" xfId="0" applyFont="1" applyFill="1" applyAlignment="1">
      <alignment horizontal="center"/>
    </xf>
    <xf numFmtId="0" fontId="88" fillId="23" borderId="20" xfId="0" applyFont="1" applyFill="1" applyBorder="1" applyAlignment="1">
      <alignment horizontal="center" vertical="center"/>
    </xf>
    <xf numFmtId="0" fontId="88" fillId="23" borderId="21" xfId="0" applyFont="1" applyFill="1" applyBorder="1" applyAlignment="1">
      <alignment horizontal="center" vertical="center"/>
    </xf>
    <xf numFmtId="0" fontId="88" fillId="23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66" fillId="3" borderId="22" xfId="0" applyFont="1" applyFill="1" applyBorder="1" applyAlignment="1">
      <alignment horizontal="center"/>
    </xf>
    <xf numFmtId="14" fontId="48" fillId="22" borderId="28" xfId="0" applyNumberFormat="1" applyFont="1" applyFill="1" applyBorder="1" applyAlignment="1">
      <alignment horizontal="center" vertical="center"/>
    </xf>
    <xf numFmtId="14" fontId="65" fillId="22" borderId="28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0" fontId="66" fillId="3" borderId="12" xfId="0" applyFont="1" applyFill="1" applyBorder="1" applyAlignment="1">
      <alignment horizontal="center" vertical="center"/>
    </xf>
    <xf numFmtId="14" fontId="48" fillId="17" borderId="12" xfId="0" applyNumberFormat="1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14" fontId="48" fillId="19" borderId="12" xfId="0" applyNumberFormat="1" applyFont="1" applyFill="1" applyBorder="1" applyAlignment="1">
      <alignment horizontal="center" vertical="center"/>
    </xf>
    <xf numFmtId="14" fontId="65" fillId="19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48" fillId="23" borderId="69" xfId="0" applyNumberFormat="1" applyFont="1" applyFill="1" applyBorder="1" applyAlignment="1">
      <alignment horizontal="center" vertical="center"/>
    </xf>
    <xf numFmtId="14" fontId="65" fillId="23" borderId="70" xfId="0" applyNumberFormat="1" applyFont="1" applyFill="1" applyBorder="1" applyAlignment="1">
      <alignment horizontal="center" vertical="center"/>
    </xf>
    <xf numFmtId="14" fontId="48" fillId="23" borderId="28" xfId="0" applyNumberFormat="1" applyFont="1" applyFill="1" applyBorder="1" applyAlignment="1">
      <alignment horizontal="center" vertical="center"/>
    </xf>
    <xf numFmtId="14" fontId="65" fillId="23" borderId="28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48" fillId="23" borderId="73" xfId="0" applyNumberFormat="1" applyFont="1" applyFill="1" applyBorder="1" applyAlignment="1">
      <alignment horizontal="center" vertical="center"/>
    </xf>
    <xf numFmtId="14" fontId="65" fillId="23" borderId="74" xfId="0" applyNumberFormat="1" applyFont="1" applyFill="1" applyBorder="1" applyAlignment="1">
      <alignment horizontal="center" vertical="center"/>
    </xf>
    <xf numFmtId="0" fontId="88" fillId="22" borderId="80" xfId="0" applyFont="1" applyFill="1" applyBorder="1" applyAlignment="1">
      <alignment horizontal="center" vertical="center"/>
    </xf>
    <xf numFmtId="0" fontId="88" fillId="22" borderId="30" xfId="0" applyFont="1" applyFill="1" applyBorder="1" applyAlignment="1">
      <alignment horizontal="center" vertical="center"/>
    </xf>
    <xf numFmtId="0" fontId="88" fillId="22" borderId="22" xfId="0" applyFont="1" applyFill="1" applyBorder="1" applyAlignment="1">
      <alignment horizontal="center" vertical="center"/>
    </xf>
    <xf numFmtId="0" fontId="88" fillId="22" borderId="53" xfId="0" applyFont="1" applyFill="1" applyBorder="1" applyAlignment="1">
      <alignment horizontal="center" vertical="center"/>
    </xf>
    <xf numFmtId="14" fontId="48" fillId="23" borderId="75" xfId="0" applyNumberFormat="1" applyFont="1" applyFill="1" applyBorder="1" applyAlignment="1">
      <alignment horizontal="center" vertical="center"/>
    </xf>
    <xf numFmtId="14" fontId="65" fillId="23" borderId="76" xfId="0" applyNumberFormat="1" applyFont="1" applyFill="1" applyBorder="1" applyAlignment="1">
      <alignment horizontal="center" vertical="center"/>
    </xf>
    <xf numFmtId="0" fontId="88" fillId="19" borderId="20" xfId="0" applyFont="1" applyFill="1" applyBorder="1" applyAlignment="1">
      <alignment horizontal="center" vertical="center"/>
    </xf>
    <xf numFmtId="0" fontId="88" fillId="19" borderId="21" xfId="0" applyFont="1" applyFill="1" applyBorder="1" applyAlignment="1">
      <alignment horizontal="center" vertical="center"/>
    </xf>
    <xf numFmtId="0" fontId="88" fillId="19" borderId="28" xfId="0" applyFont="1" applyFill="1" applyBorder="1" applyAlignment="1">
      <alignment horizontal="center" vertical="center"/>
    </xf>
    <xf numFmtId="0" fontId="88" fillId="23" borderId="20" xfId="0" applyFont="1" applyFill="1" applyBorder="1" applyAlignment="1">
      <alignment horizontal="center" vertical="center" wrapText="1"/>
    </xf>
    <xf numFmtId="0" fontId="88" fillId="23" borderId="21" xfId="0" applyFont="1" applyFill="1" applyBorder="1" applyAlignment="1">
      <alignment horizontal="center" vertical="center" wrapText="1"/>
    </xf>
    <xf numFmtId="0" fontId="88" fillId="23" borderId="28" xfId="0" applyFont="1" applyFill="1" applyBorder="1" applyAlignment="1">
      <alignment horizontal="center" vertical="center" wrapText="1"/>
    </xf>
    <xf numFmtId="0" fontId="88" fillId="23" borderId="30" xfId="0" applyFont="1" applyFill="1" applyBorder="1" applyAlignment="1">
      <alignment horizontal="center" vertical="center"/>
    </xf>
    <xf numFmtId="0" fontId="88" fillId="23" borderId="22" xfId="0" applyFont="1" applyFill="1" applyBorder="1" applyAlignment="1">
      <alignment horizontal="center" vertical="center"/>
    </xf>
    <xf numFmtId="0" fontId="88" fillId="23" borderId="32" xfId="0" applyFont="1" applyFill="1" applyBorder="1" applyAlignment="1">
      <alignment horizontal="center" vertical="center"/>
    </xf>
    <xf numFmtId="0" fontId="88" fillId="23" borderId="34" xfId="0" applyFont="1" applyFill="1" applyBorder="1" applyAlignment="1">
      <alignment horizontal="center" vertical="center"/>
    </xf>
    <xf numFmtId="0" fontId="88" fillId="23" borderId="0" xfId="0" applyFont="1" applyFill="1" applyAlignment="1">
      <alignment horizontal="center" vertical="center"/>
    </xf>
    <xf numFmtId="0" fontId="88" fillId="23" borderId="77" xfId="0" applyFont="1" applyFill="1" applyBorder="1" applyAlignment="1">
      <alignment horizontal="center" vertical="center"/>
    </xf>
    <xf numFmtId="0" fontId="66" fillId="18" borderId="12" xfId="0" applyFont="1" applyFill="1" applyBorder="1" applyAlignment="1">
      <alignment horizontal="center" vertical="center"/>
    </xf>
    <xf numFmtId="0" fontId="66" fillId="18" borderId="30" xfId="0" applyFont="1" applyFill="1" applyBorder="1" applyAlignment="1">
      <alignment horizontal="center" vertical="center"/>
    </xf>
    <xf numFmtId="0" fontId="66" fillId="18" borderId="34" xfId="0" applyFont="1" applyFill="1" applyBorder="1" applyAlignment="1">
      <alignment horizontal="center" vertical="center"/>
    </xf>
    <xf numFmtId="0" fontId="66" fillId="18" borderId="31" xfId="0" applyFont="1" applyFill="1" applyBorder="1" applyAlignment="1">
      <alignment horizontal="center" vertical="center"/>
    </xf>
    <xf numFmtId="0" fontId="66" fillId="18" borderId="32" xfId="0" applyFont="1" applyFill="1" applyBorder="1" applyAlignment="1">
      <alignment horizontal="center" vertical="center"/>
    </xf>
    <xf numFmtId="0" fontId="66" fillId="18" borderId="53" xfId="0" applyFont="1" applyFill="1" applyBorder="1" applyAlignment="1">
      <alignment horizontal="center" vertical="center"/>
    </xf>
    <xf numFmtId="0" fontId="66" fillId="18" borderId="33" xfId="0" applyFont="1" applyFill="1" applyBorder="1" applyAlignment="1">
      <alignment horizontal="center" vertical="center"/>
    </xf>
    <xf numFmtId="0" fontId="66" fillId="18" borderId="20" xfId="0" applyFont="1" applyFill="1" applyBorder="1" applyAlignment="1">
      <alignment horizontal="center" vertical="center"/>
    </xf>
    <xf numFmtId="0" fontId="66" fillId="18" borderId="28" xfId="0" applyFont="1" applyFill="1" applyBorder="1" applyAlignment="1">
      <alignment horizontal="center" vertical="center"/>
    </xf>
    <xf numFmtId="0" fontId="66" fillId="18" borderId="20" xfId="0" applyFont="1" applyFill="1" applyBorder="1" applyAlignment="1">
      <alignment horizontal="center" wrapText="1"/>
    </xf>
    <xf numFmtId="0" fontId="66" fillId="18" borderId="28" xfId="0" applyFont="1" applyFill="1" applyBorder="1" applyAlignment="1">
      <alignment horizontal="center" wrapText="1"/>
    </xf>
    <xf numFmtId="0" fontId="66" fillId="18" borderId="7" xfId="0" applyFont="1" applyFill="1" applyBorder="1" applyAlignment="1">
      <alignment horizontal="center"/>
    </xf>
    <xf numFmtId="0" fontId="66" fillId="18" borderId="29" xfId="0" applyFont="1" applyFill="1" applyBorder="1" applyAlignment="1">
      <alignment horizontal="center"/>
    </xf>
    <xf numFmtId="0" fontId="66" fillId="18" borderId="8" xfId="0" applyFont="1" applyFill="1" applyBorder="1" applyAlignment="1">
      <alignment horizontal="center"/>
    </xf>
    <xf numFmtId="0" fontId="85" fillId="4" borderId="36" xfId="0" applyFont="1" applyFill="1" applyBorder="1" applyAlignment="1">
      <alignment horizontal="center"/>
    </xf>
    <xf numFmtId="0" fontId="85" fillId="4" borderId="55" xfId="0" applyFont="1" applyFill="1" applyBorder="1" applyAlignment="1">
      <alignment horizontal="center"/>
    </xf>
    <xf numFmtId="0" fontId="85" fillId="4" borderId="56" xfId="0" applyFont="1" applyFill="1" applyBorder="1" applyAlignment="1">
      <alignment horizontal="center"/>
    </xf>
    <xf numFmtId="0" fontId="66" fillId="18" borderId="12" xfId="0" applyFont="1" applyFill="1" applyBorder="1" applyAlignment="1">
      <alignment horizontal="center" vertical="center" wrapText="1"/>
    </xf>
    <xf numFmtId="0" fontId="66" fillId="18" borderId="21" xfId="0" applyFont="1" applyFill="1" applyBorder="1" applyAlignment="1">
      <alignment horizontal="center" vertical="center"/>
    </xf>
    <xf numFmtId="17" fontId="85" fillId="4" borderId="36" xfId="0" applyNumberFormat="1" applyFont="1" applyFill="1" applyBorder="1" applyAlignment="1">
      <alignment horizontal="center"/>
    </xf>
    <xf numFmtId="17" fontId="85" fillId="4" borderId="55" xfId="0" applyNumberFormat="1" applyFont="1" applyFill="1" applyBorder="1" applyAlignment="1">
      <alignment horizontal="center"/>
    </xf>
    <xf numFmtId="17" fontId="85" fillId="4" borderId="56" xfId="0" applyNumberFormat="1" applyFon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66" fillId="2" borderId="20" xfId="0" applyFont="1" applyFill="1" applyBorder="1" applyAlignment="1">
      <alignment horizontal="center" vertical="center"/>
    </xf>
    <xf numFmtId="0" fontId="66" fillId="2" borderId="28" xfId="0" applyFont="1" applyFill="1" applyBorder="1" applyAlignment="1">
      <alignment horizontal="center" vertical="center"/>
    </xf>
    <xf numFmtId="0" fontId="67" fillId="25" borderId="36" xfId="0" applyFont="1" applyFill="1" applyBorder="1" applyAlignment="1">
      <alignment horizontal="center" vertical="center" wrapText="1"/>
    </xf>
    <xf numFmtId="0" fontId="67" fillId="25" borderId="55" xfId="0" applyFont="1" applyFill="1" applyBorder="1" applyAlignment="1">
      <alignment horizontal="center" vertical="center" wrapText="1"/>
    </xf>
    <xf numFmtId="0" fontId="67" fillId="25" borderId="56" xfId="0" applyFont="1" applyFill="1" applyBorder="1" applyAlignment="1">
      <alignment horizontal="center" vertical="center" wrapText="1"/>
    </xf>
    <xf numFmtId="14" fontId="65" fillId="2" borderId="1" xfId="0" applyNumberFormat="1" applyFont="1" applyFill="1" applyBorder="1" applyAlignment="1">
      <alignment horizontal="center" vertical="center"/>
    </xf>
    <xf numFmtId="14" fontId="65" fillId="2" borderId="4" xfId="0" applyNumberFormat="1" applyFont="1" applyFill="1" applyBorder="1" applyAlignment="1">
      <alignment horizontal="center" vertical="center"/>
    </xf>
    <xf numFmtId="14" fontId="65" fillId="2" borderId="13" xfId="0" applyNumberFormat="1" applyFont="1" applyFill="1" applyBorder="1" applyAlignment="1">
      <alignment horizontal="center" vertical="center"/>
    </xf>
    <xf numFmtId="14" fontId="65" fillId="2" borderId="14" xfId="0" applyNumberFormat="1" applyFont="1" applyFill="1" applyBorder="1" applyAlignment="1">
      <alignment horizontal="center" vertical="center"/>
    </xf>
    <xf numFmtId="14" fontId="65" fillId="2" borderId="18" xfId="0" applyNumberFormat="1" applyFont="1" applyFill="1" applyBorder="1" applyAlignment="1">
      <alignment horizontal="center" vertical="center"/>
    </xf>
    <xf numFmtId="14" fontId="65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5" fillId="19" borderId="1" xfId="0" applyNumberFormat="1" applyFont="1" applyFill="1" applyBorder="1" applyAlignment="1">
      <alignment horizontal="center" vertical="center"/>
    </xf>
    <xf numFmtId="14" fontId="65" fillId="19" borderId="4" xfId="0" applyNumberFormat="1" applyFont="1" applyFill="1" applyBorder="1" applyAlignment="1">
      <alignment horizontal="center" vertical="center"/>
    </xf>
    <xf numFmtId="14" fontId="65" fillId="19" borderId="13" xfId="0" applyNumberFormat="1" applyFont="1" applyFill="1" applyBorder="1" applyAlignment="1">
      <alignment horizontal="center" vertical="center"/>
    </xf>
    <xf numFmtId="14" fontId="65" fillId="19" borderId="14" xfId="0" applyNumberFormat="1" applyFont="1" applyFill="1" applyBorder="1" applyAlignment="1">
      <alignment horizontal="center" vertical="center"/>
    </xf>
    <xf numFmtId="14" fontId="65" fillId="17" borderId="1" xfId="0" applyNumberFormat="1" applyFont="1" applyFill="1" applyBorder="1" applyAlignment="1">
      <alignment horizontal="center" vertical="center"/>
    </xf>
    <xf numFmtId="14" fontId="65" fillId="17" borderId="4" xfId="0" applyNumberFormat="1" applyFont="1" applyFill="1" applyBorder="1" applyAlignment="1">
      <alignment horizontal="center" vertical="center"/>
    </xf>
    <xf numFmtId="14" fontId="65" fillId="17" borderId="13" xfId="0" applyNumberFormat="1" applyFont="1" applyFill="1" applyBorder="1" applyAlignment="1">
      <alignment horizontal="center" vertical="center"/>
    </xf>
    <xf numFmtId="14" fontId="65" fillId="17" borderId="14" xfId="0" applyNumberFormat="1" applyFont="1" applyFill="1" applyBorder="1" applyAlignment="1">
      <alignment horizontal="center" vertical="center"/>
    </xf>
    <xf numFmtId="14" fontId="65" fillId="23" borderId="1" xfId="0" applyNumberFormat="1" applyFont="1" applyFill="1" applyBorder="1" applyAlignment="1">
      <alignment horizontal="center" vertical="center"/>
    </xf>
    <xf numFmtId="14" fontId="65" fillId="23" borderId="4" xfId="0" applyNumberFormat="1" applyFont="1" applyFill="1" applyBorder="1" applyAlignment="1">
      <alignment horizontal="center" vertical="center"/>
    </xf>
    <xf numFmtId="14" fontId="65" fillId="23" borderId="13" xfId="0" applyNumberFormat="1" applyFont="1" applyFill="1" applyBorder="1" applyAlignment="1">
      <alignment horizontal="center" vertical="center"/>
    </xf>
    <xf numFmtId="14" fontId="65" fillId="23" borderId="14" xfId="0" applyNumberFormat="1" applyFont="1" applyFill="1" applyBorder="1" applyAlignment="1">
      <alignment horizontal="center" vertical="center"/>
    </xf>
    <xf numFmtId="1" fontId="66" fillId="22" borderId="12" xfId="0" applyNumberFormat="1" applyFont="1" applyFill="1" applyBorder="1" applyAlignment="1">
      <alignment horizontal="center" vertical="center"/>
    </xf>
    <xf numFmtId="14" fontId="65" fillId="22" borderId="1" xfId="0" applyNumberFormat="1" applyFont="1" applyFill="1" applyBorder="1" applyAlignment="1">
      <alignment horizontal="center" vertical="center"/>
    </xf>
    <xf numFmtId="14" fontId="65" fillId="22" borderId="4" xfId="0" applyNumberFormat="1" applyFont="1" applyFill="1" applyBorder="1" applyAlignment="1">
      <alignment horizontal="center" vertical="center"/>
    </xf>
    <xf numFmtId="14" fontId="65" fillId="22" borderId="13" xfId="0" applyNumberFormat="1" applyFont="1" applyFill="1" applyBorder="1" applyAlignment="1">
      <alignment horizontal="center" vertical="center"/>
    </xf>
    <xf numFmtId="14" fontId="65" fillId="22" borderId="14" xfId="0" applyNumberFormat="1" applyFont="1" applyFill="1" applyBorder="1" applyAlignment="1">
      <alignment horizontal="center" vertical="center"/>
    </xf>
    <xf numFmtId="14" fontId="65" fillId="2" borderId="84" xfId="0" applyNumberFormat="1" applyFont="1" applyFill="1" applyBorder="1" applyAlignment="1">
      <alignment horizontal="center" vertical="center"/>
    </xf>
    <xf numFmtId="14" fontId="65" fillId="2" borderId="31" xfId="0" applyNumberFormat="1" applyFont="1" applyFill="1" applyBorder="1" applyAlignment="1">
      <alignment horizontal="center" vertical="center"/>
    </xf>
    <xf numFmtId="14" fontId="65" fillId="22" borderId="84" xfId="0" applyNumberFormat="1" applyFont="1" applyFill="1" applyBorder="1" applyAlignment="1">
      <alignment horizontal="center" vertical="center"/>
    </xf>
    <xf numFmtId="14" fontId="65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6" fillId="23" borderId="20" xfId="0" applyNumberFormat="1" applyFont="1" applyFill="1" applyBorder="1" applyAlignment="1">
      <alignment horizontal="center" vertical="center"/>
    </xf>
    <xf numFmtId="1" fontId="66" fillId="23" borderId="21" xfId="0" applyNumberFormat="1" applyFont="1" applyFill="1" applyBorder="1" applyAlignment="1">
      <alignment horizontal="center" vertical="center"/>
    </xf>
    <xf numFmtId="1" fontId="66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5" fillId="0" borderId="28" xfId="0" applyNumberFormat="1" applyFont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1" fontId="66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6" fillId="3" borderId="30" xfId="0" applyFont="1" applyFill="1" applyBorder="1" applyAlignment="1">
      <alignment horizontal="center" vertical="center"/>
    </xf>
    <xf numFmtId="0" fontId="66" fillId="3" borderId="31" xfId="0" applyFont="1" applyFill="1" applyBorder="1" applyAlignment="1">
      <alignment horizontal="center" vertical="center"/>
    </xf>
    <xf numFmtId="14" fontId="65" fillId="23" borderId="73" xfId="0" applyNumberFormat="1" applyFont="1" applyFill="1" applyBorder="1" applyAlignment="1">
      <alignment horizontal="center" vertical="center"/>
    </xf>
    <xf numFmtId="14" fontId="65" fillId="23" borderId="75" xfId="0" applyNumberFormat="1" applyFont="1" applyFill="1" applyBorder="1" applyAlignment="1">
      <alignment horizontal="center" vertical="center"/>
    </xf>
    <xf numFmtId="14" fontId="34" fillId="23" borderId="74" xfId="0" applyNumberFormat="1" applyFont="1" applyFill="1" applyBorder="1" applyAlignment="1">
      <alignment horizontal="center" vertical="center" wrapText="1"/>
    </xf>
    <xf numFmtId="14" fontId="65" fillId="23" borderId="76" xfId="0" applyNumberFormat="1" applyFont="1" applyFill="1" applyBorder="1" applyAlignment="1">
      <alignment horizontal="center" vertical="center" wrapText="1"/>
    </xf>
    <xf numFmtId="0" fontId="66" fillId="19" borderId="67" xfId="0" applyFont="1" applyFill="1" applyBorder="1" applyAlignment="1">
      <alignment horizontal="center" vertical="center"/>
    </xf>
    <xf numFmtId="0" fontId="66" fillId="23" borderId="67" xfId="0" applyFont="1" applyFill="1" applyBorder="1" applyAlignment="1">
      <alignment horizontal="center" vertical="center"/>
    </xf>
    <xf numFmtId="0" fontId="66" fillId="22" borderId="67" xfId="0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6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6" fillId="18" borderId="57" xfId="0" applyFont="1" applyFill="1" applyBorder="1" applyAlignment="1">
      <alignment horizontal="center"/>
    </xf>
    <xf numFmtId="0" fontId="66" fillId="18" borderId="10" xfId="0" applyFont="1" applyFill="1" applyBorder="1" applyAlignment="1">
      <alignment horizontal="center"/>
    </xf>
    <xf numFmtId="0" fontId="6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0" fillId="2" borderId="1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0" fillId="2" borderId="67" xfId="0" applyFont="1" applyFill="1" applyBorder="1" applyAlignment="1">
      <alignment horizontal="center"/>
    </xf>
    <xf numFmtId="0" fontId="90" fillId="2" borderId="13" xfId="0" applyFont="1" applyFill="1" applyBorder="1" applyAlignment="1">
      <alignment horizontal="center"/>
    </xf>
    <xf numFmtId="0" fontId="90" fillId="2" borderId="51" xfId="0" applyFont="1" applyFill="1" applyBorder="1" applyAlignment="1">
      <alignment horizontal="center"/>
    </xf>
    <xf numFmtId="0" fontId="90" fillId="2" borderId="26" xfId="0" applyFont="1" applyFill="1" applyBorder="1" applyAlignment="1">
      <alignment horizontal="center"/>
    </xf>
    <xf numFmtId="0" fontId="92" fillId="2" borderId="18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0" fontId="92" fillId="2" borderId="67" xfId="0" applyFont="1" applyFill="1" applyBorder="1" applyAlignment="1">
      <alignment horizontal="center"/>
    </xf>
    <xf numFmtId="0" fontId="92" fillId="2" borderId="13" xfId="0" applyFont="1" applyFill="1" applyBorder="1" applyAlignment="1">
      <alignment horizontal="center"/>
    </xf>
    <xf numFmtId="0" fontId="92" fillId="2" borderId="51" xfId="0" applyFont="1" applyFill="1" applyBorder="1" applyAlignment="1">
      <alignment horizontal="center"/>
    </xf>
    <xf numFmtId="0" fontId="92" fillId="2" borderId="26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14" fontId="65" fillId="2" borderId="32" xfId="0" applyNumberFormat="1" applyFont="1" applyFill="1" applyBorder="1" applyAlignment="1">
      <alignment horizontal="center" vertical="center"/>
    </xf>
    <xf numFmtId="0" fontId="80" fillId="4" borderId="1" xfId="0" applyFont="1" applyFill="1" applyBorder="1" applyAlignment="1">
      <alignment horizontal="center" vertical="center"/>
    </xf>
    <xf numFmtId="0" fontId="80" fillId="4" borderId="2" xfId="0" applyFont="1" applyFill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80" fillId="4" borderId="13" xfId="0" applyFont="1" applyFill="1" applyBorder="1" applyAlignment="1">
      <alignment horizontal="center" vertical="center"/>
    </xf>
    <xf numFmtId="0" fontId="80" fillId="4" borderId="51" xfId="0" applyFont="1" applyFill="1" applyBorder="1" applyAlignment="1">
      <alignment horizontal="center" vertical="center"/>
    </xf>
    <xf numFmtId="0" fontId="80" fillId="4" borderId="26" xfId="0" applyFont="1" applyFill="1" applyBorder="1" applyAlignment="1">
      <alignment horizontal="center" vertical="center"/>
    </xf>
    <xf numFmtId="20" fontId="73" fillId="11" borderId="7" xfId="0" applyNumberFormat="1" applyFont="1" applyFill="1" applyBorder="1" applyAlignment="1">
      <alignment horizontal="center" vertical="center"/>
    </xf>
    <xf numFmtId="20" fontId="73" fillId="11" borderId="29" xfId="0" applyNumberFormat="1" applyFont="1" applyFill="1" applyBorder="1" applyAlignment="1">
      <alignment horizontal="center" vertical="center"/>
    </xf>
    <xf numFmtId="20" fontId="73" fillId="11" borderId="8" xfId="0" applyNumberFormat="1" applyFont="1" applyFill="1" applyBorder="1" applyAlignment="1">
      <alignment horizontal="center" vertical="center"/>
    </xf>
    <xf numFmtId="20" fontId="75" fillId="10" borderId="7" xfId="0" applyNumberFormat="1" applyFont="1" applyFill="1" applyBorder="1" applyAlignment="1">
      <alignment horizontal="center"/>
    </xf>
    <xf numFmtId="20" fontId="75" fillId="10" borderId="29" xfId="0" applyNumberFormat="1" applyFont="1" applyFill="1" applyBorder="1" applyAlignment="1">
      <alignment horizontal="center"/>
    </xf>
    <xf numFmtId="20" fontId="75" fillId="10" borderId="8" xfId="0" applyNumberFormat="1" applyFont="1" applyFill="1" applyBorder="1" applyAlignment="1">
      <alignment horizontal="center"/>
    </xf>
    <xf numFmtId="0" fontId="73" fillId="11" borderId="29" xfId="0" applyFont="1" applyFill="1" applyBorder="1" applyAlignment="1">
      <alignment horizontal="center" vertical="center"/>
    </xf>
    <xf numFmtId="0" fontId="73" fillId="11" borderId="8" xfId="0" applyFont="1" applyFill="1" applyBorder="1" applyAlignment="1">
      <alignment horizontal="center" vertical="center"/>
    </xf>
    <xf numFmtId="0" fontId="73" fillId="11" borderId="7" xfId="0" applyFont="1" applyFill="1" applyBorder="1" applyAlignment="1">
      <alignment horizontal="center" vertical="center"/>
    </xf>
    <xf numFmtId="14" fontId="71" fillId="7" borderId="5" xfId="0" applyNumberFormat="1" applyFont="1" applyFill="1" applyBorder="1" applyAlignment="1">
      <alignment horizontal="center" vertical="center"/>
    </xf>
    <xf numFmtId="14" fontId="71" fillId="7" borderId="21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horizontal="center"/>
    </xf>
    <xf numFmtId="0" fontId="72" fillId="2" borderId="21" xfId="0" applyFont="1" applyFill="1" applyBorder="1" applyAlignment="1">
      <alignment horizontal="center"/>
    </xf>
    <xf numFmtId="0" fontId="72" fillId="2" borderId="28" xfId="0" applyFont="1" applyFill="1" applyBorder="1" applyAlignment="1">
      <alignment horizontal="center"/>
    </xf>
    <xf numFmtId="0" fontId="72" fillId="2" borderId="20" xfId="0" applyFont="1" applyFill="1" applyBorder="1" applyAlignment="1">
      <alignment horizontal="center" vertical="center"/>
    </xf>
    <xf numFmtId="0" fontId="72" fillId="2" borderId="21" xfId="0" applyFont="1" applyFill="1" applyBorder="1" applyAlignment="1">
      <alignment horizontal="center" vertical="center"/>
    </xf>
    <xf numFmtId="0" fontId="72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6" fillId="10" borderId="12" xfId="0" applyFont="1" applyFill="1" applyBorder="1" applyAlignment="1">
      <alignment horizontal="center" vertical="center"/>
    </xf>
    <xf numFmtId="14" fontId="71" fillId="7" borderId="20" xfId="0" applyNumberFormat="1" applyFont="1" applyFill="1" applyBorder="1" applyAlignment="1">
      <alignment horizontal="center" vertical="center"/>
    </xf>
    <xf numFmtId="0" fontId="66" fillId="10" borderId="12" xfId="0" applyFont="1" applyFill="1" applyBorder="1" applyAlignment="1">
      <alignment horizontal="center"/>
    </xf>
    <xf numFmtId="14" fontId="71" fillId="7" borderId="57" xfId="0" applyNumberFormat="1" applyFont="1" applyFill="1" applyBorder="1" applyAlignment="1">
      <alignment horizontal="center" vertical="center"/>
    </xf>
    <xf numFmtId="14" fontId="71" fillId="7" borderId="60" xfId="0" applyNumberFormat="1" applyFont="1" applyFill="1" applyBorder="1" applyAlignment="1">
      <alignment horizontal="center" vertical="center"/>
    </xf>
    <xf numFmtId="14" fontId="71" fillId="7" borderId="24" xfId="0" applyNumberFormat="1" applyFont="1" applyFill="1" applyBorder="1" applyAlignment="1">
      <alignment horizontal="center" vertical="center"/>
    </xf>
    <xf numFmtId="14" fontId="71" fillId="7" borderId="12" xfId="0" applyNumberFormat="1" applyFont="1" applyFill="1" applyBorder="1" applyAlignment="1">
      <alignment horizontal="center" vertical="center"/>
    </xf>
    <xf numFmtId="14" fontId="7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2" fillId="2" borderId="12" xfId="0" applyFont="1" applyFill="1" applyBorder="1"/>
    <xf numFmtId="14" fontId="71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71" fillId="2" borderId="12" xfId="0" applyFont="1" applyFill="1" applyBorder="1" applyAlignment="1">
      <alignment horizontal="left" vertical="top" wrapText="1"/>
    </xf>
    <xf numFmtId="0" fontId="71" fillId="8" borderId="12" xfId="0" applyFont="1" applyFill="1" applyBorder="1" applyAlignment="1">
      <alignment horizontal="center" vertical="center"/>
    </xf>
    <xf numFmtId="0" fontId="71" fillId="8" borderId="20" xfId="0" applyFont="1" applyFill="1" applyBorder="1" applyAlignment="1">
      <alignment horizontal="center" vertical="center"/>
    </xf>
    <xf numFmtId="0" fontId="71" fillId="8" borderId="21" xfId="0" applyFont="1" applyFill="1" applyBorder="1" applyAlignment="1">
      <alignment horizontal="center" vertical="center"/>
    </xf>
    <xf numFmtId="0" fontId="71" fillId="8" borderId="28" xfId="0" applyFont="1" applyFill="1" applyBorder="1" applyAlignment="1">
      <alignment horizontal="center" vertical="center"/>
    </xf>
    <xf numFmtId="0" fontId="71" fillId="2" borderId="59" xfId="0" applyFont="1" applyFill="1" applyBorder="1" applyAlignment="1">
      <alignment horizontal="center" vertical="top" wrapText="1"/>
    </xf>
    <xf numFmtId="0" fontId="71" fillId="2" borderId="61" xfId="0" applyFont="1" applyFill="1" applyBorder="1" applyAlignment="1">
      <alignment horizontal="center" vertical="top" wrapText="1"/>
    </xf>
    <xf numFmtId="0" fontId="71" fillId="2" borderId="62" xfId="0" applyFont="1" applyFill="1" applyBorder="1" applyAlignment="1">
      <alignment horizontal="center" vertical="top" wrapText="1"/>
    </xf>
    <xf numFmtId="0" fontId="71" fillId="2" borderId="63" xfId="0" applyFont="1" applyFill="1" applyBorder="1" applyAlignment="1">
      <alignment horizontal="center" vertical="top" wrapText="1"/>
    </xf>
    <xf numFmtId="0" fontId="71" fillId="2" borderId="64" xfId="0" applyFont="1" applyFill="1" applyBorder="1" applyAlignment="1">
      <alignment horizontal="center" vertical="top" wrapText="1"/>
    </xf>
    <xf numFmtId="0" fontId="7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5" fillId="23" borderId="18" xfId="0" applyNumberFormat="1" applyFont="1" applyFill="1" applyBorder="1" applyAlignment="1">
      <alignment horizontal="center" vertical="center"/>
    </xf>
    <xf numFmtId="14" fontId="65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5" fillId="23" borderId="36" xfId="0" applyNumberFormat="1" applyFont="1" applyFill="1" applyBorder="1" applyAlignment="1">
      <alignment horizontal="center" vertical="center"/>
    </xf>
    <xf numFmtId="14" fontId="65" fillId="23" borderId="37" xfId="0" applyNumberFormat="1" applyFont="1" applyFill="1" applyBorder="1" applyAlignment="1">
      <alignment horizontal="center" vertical="center"/>
    </xf>
    <xf numFmtId="14" fontId="65" fillId="0" borderId="30" xfId="0" applyNumberFormat="1" applyFont="1" applyBorder="1" applyAlignment="1">
      <alignment horizontal="center" vertical="center"/>
    </xf>
    <xf numFmtId="14" fontId="65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4" fillId="23" borderId="5" xfId="0" applyNumberFormat="1" applyFont="1" applyFill="1" applyBorder="1" applyAlignment="1">
      <alignment horizontal="center" vertical="center" wrapText="1"/>
    </xf>
    <xf numFmtId="14" fontId="6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66" fillId="22" borderId="0" xfId="0" applyFont="1" applyFill="1" applyAlignment="1">
      <alignment horizontal="center" vertical="center"/>
    </xf>
    <xf numFmtId="14" fontId="1" fillId="17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9" fontId="0" fillId="17" borderId="12" xfId="2" applyFont="1" applyFill="1" applyBorder="1" applyAlignment="1">
      <alignment horizontal="center" vertical="center"/>
    </xf>
    <xf numFmtId="0" fontId="0" fillId="2" borderId="0" xfId="0" quotePrefix="1" applyFill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1.3029864887303138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14" t="s">
        <v>340</v>
      </c>
      <c r="D3" s="1114"/>
      <c r="E3" s="1114"/>
      <c r="F3" s="1114"/>
      <c r="G3" s="1114"/>
      <c r="H3" s="1114"/>
      <c r="L3" s="1114" t="s">
        <v>340</v>
      </c>
      <c r="M3" s="1114"/>
      <c r="N3" s="1114"/>
      <c r="O3" s="1114"/>
      <c r="P3" s="1114"/>
      <c r="Q3" s="1114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1">
        <v>1</v>
      </c>
      <c r="D5" s="121" t="s">
        <v>345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399</v>
      </c>
      <c r="N5" s="264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346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400</v>
      </c>
      <c r="N6" s="264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347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401</v>
      </c>
      <c r="N7" s="264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348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402</v>
      </c>
      <c r="N8" s="264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349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403</v>
      </c>
      <c r="N9" s="264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350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404</v>
      </c>
      <c r="N10" s="264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351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405</v>
      </c>
      <c r="N11" s="264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352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406</v>
      </c>
      <c r="N12" s="264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353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407</v>
      </c>
      <c r="N13" s="264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354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387</v>
      </c>
      <c r="N14" s="264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355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388</v>
      </c>
      <c r="N15" s="264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356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389</v>
      </c>
      <c r="N16" s="264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357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408</v>
      </c>
      <c r="N17" s="264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358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409</v>
      </c>
      <c r="N18" s="264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359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393</v>
      </c>
      <c r="N19" s="264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360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395</v>
      </c>
      <c r="N20" s="264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361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397</v>
      </c>
      <c r="N21" s="264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362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399</v>
      </c>
      <c r="N22" s="264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363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401</v>
      </c>
      <c r="N23" s="264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364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403</v>
      </c>
      <c r="N24" s="264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365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405</v>
      </c>
      <c r="N25" s="264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366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407</v>
      </c>
      <c r="N26" s="264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360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388</v>
      </c>
      <c r="N27" s="264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361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408</v>
      </c>
      <c r="N28" s="264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362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410</v>
      </c>
      <c r="N29" s="264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363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393</v>
      </c>
      <c r="N30" s="264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364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395</v>
      </c>
      <c r="N31" s="264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365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397</v>
      </c>
      <c r="N32" s="264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366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399</v>
      </c>
      <c r="N33" s="264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367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401</v>
      </c>
      <c r="N34" s="264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368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403</v>
      </c>
      <c r="N35" s="264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369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405</v>
      </c>
      <c r="N36" s="264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378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407</v>
      </c>
      <c r="N37" s="264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379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388</v>
      </c>
      <c r="N38" s="264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380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395</v>
      </c>
      <c r="N39" s="264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381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397</v>
      </c>
      <c r="N40" s="264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382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399</v>
      </c>
      <c r="N41" s="264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383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401</v>
      </c>
      <c r="N42" s="264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384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403</v>
      </c>
      <c r="N43" s="264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385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405</v>
      </c>
      <c r="N44" s="264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386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407</v>
      </c>
      <c r="N45" s="264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387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388</v>
      </c>
      <c r="N46" s="264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388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408</v>
      </c>
      <c r="N47" s="264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389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393</v>
      </c>
      <c r="N48" s="264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393</v>
      </c>
      <c r="E49" s="264">
        <v>46253</v>
      </c>
      <c r="F49" s="121">
        <v>0.35099999999999998</v>
      </c>
      <c r="G49" s="121"/>
      <c r="H49" s="121"/>
      <c r="L49" s="121">
        <v>95</v>
      </c>
      <c r="M49" s="121" t="s">
        <v>395</v>
      </c>
      <c r="N49" s="264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394</v>
      </c>
      <c r="E50" s="264">
        <v>46253</v>
      </c>
      <c r="F50" s="121">
        <v>2.028</v>
      </c>
      <c r="G50" s="121"/>
      <c r="H50" s="121"/>
      <c r="L50" s="121">
        <v>96</v>
      </c>
      <c r="M50" s="121" t="s">
        <v>397</v>
      </c>
      <c r="N50" s="264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395</v>
      </c>
      <c r="E51" s="264">
        <v>46253</v>
      </c>
      <c r="F51" s="121">
        <v>1.8380000000000001</v>
      </c>
      <c r="G51" s="121"/>
      <c r="H51" s="121"/>
      <c r="L51" s="121">
        <v>97</v>
      </c>
      <c r="M51" s="121" t="s">
        <v>399</v>
      </c>
      <c r="N51" s="264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396</v>
      </c>
      <c r="E52" s="264">
        <v>46253</v>
      </c>
      <c r="F52" s="121">
        <v>1.3220000000000001</v>
      </c>
      <c r="G52" s="121"/>
      <c r="H52" s="121"/>
      <c r="L52" s="121">
        <v>98</v>
      </c>
      <c r="M52" s="121" t="s">
        <v>401</v>
      </c>
      <c r="N52" s="264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397</v>
      </c>
      <c r="E53" s="264">
        <v>46253</v>
      </c>
      <c r="F53" s="121">
        <v>0.65100000000000002</v>
      </c>
      <c r="G53" s="121"/>
      <c r="H53" s="121"/>
      <c r="L53" s="121">
        <v>99</v>
      </c>
      <c r="M53" s="121" t="s">
        <v>403</v>
      </c>
      <c r="N53" s="264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398</v>
      </c>
      <c r="E54" s="264">
        <v>46253</v>
      </c>
      <c r="F54" s="121">
        <v>0.50600000000000001</v>
      </c>
      <c r="G54" s="121"/>
      <c r="H54" s="121"/>
      <c r="L54" s="121">
        <v>100</v>
      </c>
      <c r="M54" s="121" t="s">
        <v>405</v>
      </c>
      <c r="N54" s="264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407</v>
      </c>
      <c r="N55" s="264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388</v>
      </c>
      <c r="N56" s="264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401</v>
      </c>
      <c r="N57" s="264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403</v>
      </c>
      <c r="N58" s="264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405</v>
      </c>
      <c r="N59" s="264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407</v>
      </c>
      <c r="N60" s="264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388</v>
      </c>
      <c r="N61" s="264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408</v>
      </c>
      <c r="N62" s="264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410</v>
      </c>
      <c r="N63" s="264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70" zoomScaleNormal="40" workbookViewId="0">
      <pane xSplit="2" topLeftCell="S1" activePane="topRight" state="frozen"/>
      <selection activeCell="A2" sqref="A2"/>
      <selection pane="topRight" activeCell="AB12" sqref="AB12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08" t="s">
        <v>125</v>
      </c>
      <c r="I1" s="1108"/>
      <c r="J1" s="1108"/>
      <c r="K1" s="1108"/>
      <c r="L1" s="1108"/>
      <c r="M1" s="1108"/>
      <c r="N1" s="1108"/>
      <c r="O1" s="1108"/>
      <c r="P1" s="1108"/>
      <c r="Q1" s="1108"/>
      <c r="R1" s="1108"/>
      <c r="S1" s="1108"/>
      <c r="T1" s="1108"/>
      <c r="U1" s="1108"/>
      <c r="V1" s="1108"/>
      <c r="W1" s="1108"/>
      <c r="X1" s="1108"/>
      <c r="Y1" s="1108"/>
      <c r="Z1" s="1108"/>
      <c r="AA1" s="1108"/>
      <c r="AB1" s="1108"/>
      <c r="AC1" s="1108"/>
      <c r="AD1" s="1108"/>
      <c r="AE1" s="1108"/>
      <c r="AF1" s="1108"/>
      <c r="AG1" s="1108"/>
      <c r="AH1" s="1108"/>
      <c r="AI1" s="1108"/>
      <c r="AJ1" s="110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09" t="s">
        <v>126</v>
      </c>
      <c r="I2" s="1109"/>
      <c r="J2" s="1109"/>
      <c r="K2" s="1109"/>
      <c r="L2" s="1109"/>
      <c r="M2" s="1109"/>
      <c r="N2" s="1109"/>
      <c r="O2" s="1109"/>
      <c r="P2" s="1109"/>
      <c r="Q2" s="1109"/>
      <c r="R2" s="1109"/>
      <c r="S2" s="1109"/>
      <c r="T2" s="1109"/>
      <c r="U2" s="1109"/>
      <c r="V2" s="1109"/>
      <c r="W2" s="1109"/>
      <c r="X2" s="1109"/>
      <c r="Y2" s="1109"/>
      <c r="Z2" s="1109"/>
      <c r="AA2" s="1109"/>
      <c r="AB2" s="1109"/>
      <c r="AC2" s="1109"/>
      <c r="AD2" s="1109"/>
      <c r="AE2" s="1109"/>
      <c r="AF2" s="1109"/>
      <c r="AG2" s="1109"/>
      <c r="AH2" s="1109"/>
      <c r="AI2" s="1109"/>
      <c r="AJ2" s="110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98" t="s">
        <v>73</v>
      </c>
      <c r="C5" s="1100" t="s">
        <v>74</v>
      </c>
      <c r="D5" s="1101"/>
      <c r="E5" s="1101"/>
      <c r="F5" s="1101"/>
      <c r="G5" s="1101"/>
      <c r="H5" s="1102"/>
      <c r="I5" s="1103" t="s">
        <v>438</v>
      </c>
      <c r="J5" s="1103" t="s">
        <v>322</v>
      </c>
      <c r="K5" s="1104" t="s">
        <v>75</v>
      </c>
      <c r="L5" s="1101"/>
      <c r="M5" s="1101"/>
      <c r="N5" s="1098" t="s">
        <v>76</v>
      </c>
      <c r="O5" s="1110" t="s">
        <v>178</v>
      </c>
      <c r="P5" s="1110"/>
      <c r="Q5" s="1110"/>
      <c r="R5" s="1110"/>
      <c r="S5" s="1110"/>
      <c r="T5" s="1110"/>
      <c r="U5" s="1110"/>
      <c r="V5" s="1110"/>
      <c r="W5" s="1110"/>
      <c r="X5" s="1110"/>
      <c r="Y5" s="1111"/>
      <c r="Z5" s="1104" t="s">
        <v>77</v>
      </c>
      <c r="AA5" s="1112"/>
      <c r="AB5" s="1112"/>
      <c r="AC5" s="1112"/>
      <c r="AD5" s="1112"/>
      <c r="AE5" s="1112"/>
      <c r="AF5" s="1112"/>
      <c r="AG5" s="1113"/>
      <c r="AH5" s="1104" t="s">
        <v>78</v>
      </c>
      <c r="AI5" s="1102"/>
      <c r="AJ5" s="1104" t="s">
        <v>79</v>
      </c>
      <c r="AK5" s="1101"/>
      <c r="AL5" s="1101"/>
      <c r="AM5" s="1101"/>
      <c r="AN5" s="1101"/>
      <c r="AO5" s="1102"/>
      <c r="AP5" s="1104" t="s">
        <v>80</v>
      </c>
      <c r="AQ5" s="1102"/>
      <c r="AR5" s="75"/>
      <c r="AS5" s="85" t="s">
        <v>81</v>
      </c>
    </row>
    <row r="6" spans="1:45" ht="29.4" thickBot="1" x14ac:dyDescent="0.35">
      <c r="A6" s="84"/>
      <c r="B6" s="1099"/>
      <c r="C6" s="151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99"/>
      <c r="J6" s="1106"/>
      <c r="K6" s="86" t="s">
        <v>87</v>
      </c>
      <c r="L6" s="86" t="s">
        <v>88</v>
      </c>
      <c r="M6" s="86" t="s">
        <v>127</v>
      </c>
      <c r="N6" s="1105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2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65" customFormat="1" ht="14.4" x14ac:dyDescent="0.3">
      <c r="A7" s="653"/>
      <c r="B7" s="654">
        <v>46174</v>
      </c>
      <c r="C7" s="655">
        <f>Crushing!N6</f>
        <v>0</v>
      </c>
      <c r="D7" s="655">
        <f>C7</f>
        <v>0</v>
      </c>
      <c r="E7" s="655" t="e">
        <f>C7/I7</f>
        <v>#DIV/0!</v>
      </c>
      <c r="F7" s="663"/>
      <c r="G7" s="656">
        <f>C7*F7</f>
        <v>0</v>
      </c>
      <c r="H7" s="657">
        <f>G7/1000</f>
        <v>0</v>
      </c>
      <c r="I7" s="655"/>
      <c r="J7" s="655">
        <v>0</v>
      </c>
      <c r="K7" s="658"/>
      <c r="L7" s="658">
        <v>0</v>
      </c>
      <c r="M7" s="658">
        <v>1</v>
      </c>
      <c r="N7" s="658">
        <f>IF(L7=100%,I7/24*100%,L7)</f>
        <v>0</v>
      </c>
      <c r="O7" s="666"/>
      <c r="P7" s="666"/>
      <c r="Q7" s="663"/>
      <c r="R7" s="663"/>
      <c r="S7" s="663"/>
      <c r="T7" s="663">
        <f>(O7*R7)-(S7*O7)</f>
        <v>0</v>
      </c>
      <c r="U7" s="1090" t="str">
        <f>IFERROR((R7-S7)/R7,"")</f>
        <v/>
      </c>
      <c r="V7" s="662"/>
      <c r="W7" s="662"/>
      <c r="X7" s="662"/>
      <c r="Y7" s="662"/>
      <c r="Z7" s="663">
        <f>'Reagent Consumption'!O7</f>
        <v>0</v>
      </c>
      <c r="AA7" s="655">
        <f>'Fuel Consumption'!D4</f>
        <v>320</v>
      </c>
      <c r="AB7" s="663">
        <f>'Reagent Consumption'!Q7</f>
        <v>0</v>
      </c>
      <c r="AC7" s="663">
        <f>'Reagent Consumption'!P7</f>
        <v>0</v>
      </c>
      <c r="AD7" s="663">
        <f>'Reagent Consumption'!R7</f>
        <v>0</v>
      </c>
      <c r="AE7" s="663">
        <f>'Reagent Consumption'!S7</f>
        <v>0</v>
      </c>
      <c r="AF7" s="663">
        <f>'Reagent Consumption'!T7</f>
        <v>0</v>
      </c>
      <c r="AG7" s="663">
        <f>'Fuel Consumption'!D4</f>
        <v>320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2"/>
      <c r="AR7" s="664"/>
      <c r="AS7" s="664" t="s">
        <v>111</v>
      </c>
    </row>
    <row r="8" spans="1:45" s="665" customFormat="1" ht="14.4" x14ac:dyDescent="0.3">
      <c r="A8" s="653"/>
      <c r="B8" s="654">
        <v>46175</v>
      </c>
      <c r="C8" s="655">
        <f>Crushing!N8</f>
        <v>78.043500000000009</v>
      </c>
      <c r="D8" s="655">
        <f t="shared" ref="D8:D13" si="0">D7+C8</f>
        <v>78.043500000000009</v>
      </c>
      <c r="E8" s="655">
        <f t="shared" ref="E8:E11" si="1">C8/I8</f>
        <v>7.0734290030211486</v>
      </c>
      <c r="F8" s="663">
        <v>1.45</v>
      </c>
      <c r="G8" s="655">
        <f>C8*F8</f>
        <v>113.16307500000001</v>
      </c>
      <c r="H8" s="657">
        <f>G8/1000</f>
        <v>0.113163075</v>
      </c>
      <c r="I8" s="655">
        <f>'Crushing Down Time Hours'!L7</f>
        <v>11.033333333333333</v>
      </c>
      <c r="J8" s="655">
        <v>0</v>
      </c>
      <c r="K8" s="658"/>
      <c r="L8" s="658">
        <f t="shared" ref="L8:L23" si="2">J8/24</f>
        <v>0</v>
      </c>
      <c r="M8" s="658">
        <v>1</v>
      </c>
      <c r="N8" s="658">
        <f>IF(L8=100%,I8/24*100%,L8)</f>
        <v>0</v>
      </c>
      <c r="O8" s="661"/>
      <c r="P8" s="661"/>
      <c r="Q8" s="662"/>
      <c r="R8" s="662"/>
      <c r="S8" s="662"/>
      <c r="T8" s="663">
        <f t="shared" ref="T8:T37" si="3">(P8*R8)-(S8*P8)</f>
        <v>0</v>
      </c>
      <c r="U8" s="1090" t="str">
        <f t="shared" ref="U8:U55" si="4">IFERROR((R8-S8)/R8,"")</f>
        <v/>
      </c>
      <c r="V8" s="662"/>
      <c r="W8" s="662"/>
      <c r="X8" s="662"/>
      <c r="Y8" s="662"/>
      <c r="Z8" s="663">
        <f>'Reagent Consumption'!O8</f>
        <v>0</v>
      </c>
      <c r="AA8" s="655">
        <f>'Fuel Consumption'!D5</f>
        <v>320</v>
      </c>
      <c r="AB8" s="663">
        <f>'Reagent Consumption'!Q8</f>
        <v>0</v>
      </c>
      <c r="AC8" s="663">
        <f>'Reagent Consumption'!P8</f>
        <v>0</v>
      </c>
      <c r="AD8" s="663">
        <f>'Reagent Consumption'!R8</f>
        <v>0</v>
      </c>
      <c r="AE8" s="663">
        <f>'Reagent Consumption'!S8</f>
        <v>0</v>
      </c>
      <c r="AF8" s="663">
        <f>'Reagent Consumption'!T8</f>
        <v>0</v>
      </c>
      <c r="AG8" s="663">
        <f>'Fuel Consumption'!D5</f>
        <v>320</v>
      </c>
      <c r="AH8" s="663"/>
      <c r="AI8" s="663"/>
      <c r="AJ8" s="663"/>
      <c r="AK8" s="663"/>
      <c r="AL8" s="663"/>
      <c r="AM8" s="663"/>
      <c r="AN8" s="663"/>
      <c r="AO8" s="663"/>
      <c r="AP8" s="663"/>
      <c r="AQ8" s="662"/>
      <c r="AR8" s="664"/>
      <c r="AS8" s="664" t="s">
        <v>112</v>
      </c>
    </row>
    <row r="9" spans="1:45" s="665" customFormat="1" ht="14.4" x14ac:dyDescent="0.3">
      <c r="A9" s="653"/>
      <c r="B9" s="654">
        <v>46176</v>
      </c>
      <c r="C9" s="655">
        <f>Crushing!N10</f>
        <v>17.712000000000003</v>
      </c>
      <c r="D9" s="655">
        <f t="shared" si="0"/>
        <v>95.755500000000012</v>
      </c>
      <c r="E9" s="655">
        <f t="shared" si="1"/>
        <v>1.6053172205438069</v>
      </c>
      <c r="F9" s="667">
        <v>1.45</v>
      </c>
      <c r="G9" s="668">
        <f t="shared" ref="G9:G16" si="5">F9*C9</f>
        <v>25.682400000000005</v>
      </c>
      <c r="H9" s="669">
        <f t="shared" ref="H9:H17" si="6">G9/1000</f>
        <v>2.5682400000000005E-2</v>
      </c>
      <c r="I9" s="655">
        <f>'Crushing Down Time Hours'!L8</f>
        <v>11.033333333333333</v>
      </c>
      <c r="J9" s="655">
        <v>0</v>
      </c>
      <c r="K9" s="658"/>
      <c r="L9" s="658">
        <f t="shared" si="2"/>
        <v>0</v>
      </c>
      <c r="M9" s="658">
        <v>1</v>
      </c>
      <c r="N9" s="658">
        <f>IF(L9=100%,(I9/24),L9)</f>
        <v>0</v>
      </c>
      <c r="O9" s="661"/>
      <c r="P9" s="661"/>
      <c r="Q9" s="662"/>
      <c r="R9" s="662"/>
      <c r="S9" s="662"/>
      <c r="T9" s="663">
        <f t="shared" si="3"/>
        <v>0</v>
      </c>
      <c r="U9" s="1090" t="str">
        <f t="shared" si="4"/>
        <v/>
      </c>
      <c r="V9" s="662"/>
      <c r="W9" s="662"/>
      <c r="X9" s="662"/>
      <c r="Y9" s="662"/>
      <c r="Z9" s="663">
        <f>'Reagent Consumption'!O9</f>
        <v>0</v>
      </c>
      <c r="AA9" s="655">
        <f>'Fuel Consumption'!D6</f>
        <v>388</v>
      </c>
      <c r="AB9" s="663">
        <f>'Reagent Consumption'!Q9</f>
        <v>0</v>
      </c>
      <c r="AC9" s="663">
        <f>'Reagent Consumption'!P9</f>
        <v>0</v>
      </c>
      <c r="AD9" s="663">
        <f>'Reagent Consumption'!R9</f>
        <v>0</v>
      </c>
      <c r="AE9" s="663">
        <f>'Reagent Consumption'!S9</f>
        <v>0</v>
      </c>
      <c r="AF9" s="663">
        <f>'Reagent Consumption'!T9</f>
        <v>0</v>
      </c>
      <c r="AG9" s="663">
        <f>'Fuel Consumption'!D6</f>
        <v>388</v>
      </c>
      <c r="AH9" s="663"/>
      <c r="AI9" s="663"/>
      <c r="AJ9" s="663"/>
      <c r="AK9" s="663"/>
      <c r="AL9" s="663"/>
      <c r="AM9" s="663"/>
      <c r="AN9" s="663"/>
      <c r="AO9" s="663"/>
      <c r="AP9" s="663"/>
      <c r="AQ9" s="662"/>
      <c r="AR9" s="664"/>
      <c r="AS9" s="664" t="s">
        <v>113</v>
      </c>
    </row>
    <row r="10" spans="1:45" s="665" customFormat="1" ht="14.4" x14ac:dyDescent="0.3">
      <c r="A10" s="653"/>
      <c r="B10" s="654">
        <v>46177</v>
      </c>
      <c r="C10" s="655">
        <f>Crushing!N12</f>
        <v>157.9905</v>
      </c>
      <c r="D10" s="655">
        <f t="shared" si="0"/>
        <v>253.74600000000001</v>
      </c>
      <c r="E10" s="655">
        <f t="shared" si="1"/>
        <v>16.74810954063604</v>
      </c>
      <c r="F10" s="663">
        <v>1.45</v>
      </c>
      <c r="G10" s="668">
        <f t="shared" si="5"/>
        <v>229.08622499999998</v>
      </c>
      <c r="H10" s="669">
        <f t="shared" si="6"/>
        <v>0.22908622499999998</v>
      </c>
      <c r="I10" s="655">
        <f>'Crushing Down Time Hours'!L9</f>
        <v>9.4333333333333353</v>
      </c>
      <c r="J10" s="655">
        <v>0</v>
      </c>
      <c r="K10" s="658"/>
      <c r="L10" s="658">
        <f t="shared" si="2"/>
        <v>0</v>
      </c>
      <c r="M10" s="658">
        <v>1</v>
      </c>
      <c r="N10" s="658">
        <f t="shared" ref="N10:N23" si="7">IF(L10=100%,I10/24*100%,L10)</f>
        <v>0</v>
      </c>
      <c r="O10" s="670"/>
      <c r="P10" s="661"/>
      <c r="Q10" s="662"/>
      <c r="R10" s="653"/>
      <c r="S10" s="662"/>
      <c r="T10" s="663">
        <f t="shared" si="3"/>
        <v>0</v>
      </c>
      <c r="U10" s="1090" t="str">
        <f t="shared" si="4"/>
        <v/>
      </c>
      <c r="V10" s="662"/>
      <c r="W10" s="662"/>
      <c r="X10" s="662"/>
      <c r="Y10" s="662"/>
      <c r="Z10" s="663">
        <f>'Reagent Consumption'!O10</f>
        <v>150</v>
      </c>
      <c r="AA10" s="655">
        <f>'Fuel Consumption'!D7</f>
        <v>425</v>
      </c>
      <c r="AB10" s="663">
        <f>'Reagent Consumption'!Q10</f>
        <v>0</v>
      </c>
      <c r="AC10" s="663">
        <f>'Reagent Consumption'!P10</f>
        <v>250</v>
      </c>
      <c r="AD10" s="663">
        <f>'Reagent Consumption'!R10</f>
        <v>0</v>
      </c>
      <c r="AE10" s="663">
        <f>'Reagent Consumption'!S10</f>
        <v>0</v>
      </c>
      <c r="AF10" s="663">
        <f>'Reagent Consumption'!T10</f>
        <v>0</v>
      </c>
      <c r="AG10" s="663">
        <f>'Fuel Consumption'!D7</f>
        <v>425</v>
      </c>
      <c r="AH10" s="663"/>
      <c r="AI10" s="663"/>
      <c r="AJ10" s="663"/>
      <c r="AK10" s="663"/>
      <c r="AL10" s="663"/>
      <c r="AM10" s="663"/>
      <c r="AN10" s="663"/>
      <c r="AO10" s="663"/>
      <c r="AP10" s="663"/>
      <c r="AQ10" s="662"/>
      <c r="AR10" s="664"/>
      <c r="AS10" s="664" t="s">
        <v>114</v>
      </c>
    </row>
    <row r="11" spans="1:45" s="665" customFormat="1" ht="14.4" x14ac:dyDescent="0.3">
      <c r="A11" s="653"/>
      <c r="B11" s="654">
        <v>46252</v>
      </c>
      <c r="C11" s="655">
        <f>Crushing!N14</f>
        <v>37.919199999999996</v>
      </c>
      <c r="D11" s="655">
        <f t="shared" si="0"/>
        <v>291.66520000000003</v>
      </c>
      <c r="E11" s="655">
        <f t="shared" si="1"/>
        <v>18.648786885245901</v>
      </c>
      <c r="F11" s="663">
        <v>0.77</v>
      </c>
      <c r="G11" s="668">
        <f t="shared" si="5"/>
        <v>29.197783999999999</v>
      </c>
      <c r="H11" s="669">
        <f t="shared" si="6"/>
        <v>2.9197783999999997E-2</v>
      </c>
      <c r="I11" s="655">
        <f>'Crushing Down Time Hours'!L6</f>
        <v>2.0333333333333332</v>
      </c>
      <c r="J11" s="655">
        <v>0</v>
      </c>
      <c r="K11" s="658">
        <f>'Crushing Down Time Hours'!M6</f>
        <v>0.16944444444444443</v>
      </c>
      <c r="L11" s="658">
        <f t="shared" si="2"/>
        <v>0</v>
      </c>
      <c r="M11" s="658">
        <v>1</v>
      </c>
      <c r="N11" s="658">
        <f t="shared" si="7"/>
        <v>0</v>
      </c>
      <c r="O11" s="662"/>
      <c r="P11" s="662"/>
      <c r="Q11" s="671"/>
      <c r="R11" s="670"/>
      <c r="S11" s="662"/>
      <c r="T11" s="663">
        <f t="shared" si="3"/>
        <v>0</v>
      </c>
      <c r="U11" s="1090" t="str">
        <f t="shared" si="4"/>
        <v/>
      </c>
      <c r="V11" s="662"/>
      <c r="W11" s="662"/>
      <c r="X11" s="662"/>
      <c r="Y11" s="662"/>
      <c r="Z11" s="663">
        <f>'Reagent Consumption'!O11</f>
        <v>225</v>
      </c>
      <c r="AA11" s="655">
        <f>'Fuel Consumption'!D8</f>
        <v>452</v>
      </c>
      <c r="AB11" s="663">
        <f>'Reagent Consumption'!Q11</f>
        <v>1000</v>
      </c>
      <c r="AC11" s="663">
        <f>'Reagent Consumption'!P11</f>
        <v>1250</v>
      </c>
      <c r="AD11" s="663">
        <f>'Reagent Consumption'!R11</f>
        <v>0</v>
      </c>
      <c r="AE11" s="663">
        <f>'Reagent Consumption'!S11</f>
        <v>0</v>
      </c>
      <c r="AF11" s="663">
        <f>'Reagent Consumption'!T11</f>
        <v>25</v>
      </c>
      <c r="AG11" s="663">
        <f>'Fuel Consumption'!D8</f>
        <v>452</v>
      </c>
      <c r="AH11" s="663"/>
      <c r="AI11" s="663"/>
      <c r="AJ11" s="663"/>
      <c r="AK11" s="663"/>
      <c r="AL11" s="663"/>
      <c r="AM11" s="663"/>
      <c r="AN11" s="663"/>
      <c r="AO11" s="663"/>
      <c r="AP11" s="663"/>
      <c r="AQ11" s="662"/>
      <c r="AR11" s="664"/>
      <c r="AS11" s="664" t="s">
        <v>115</v>
      </c>
    </row>
    <row r="12" spans="1:45" s="665" customFormat="1" ht="14.4" x14ac:dyDescent="0.3">
      <c r="A12" s="653"/>
      <c r="B12" s="654">
        <v>46253</v>
      </c>
      <c r="C12" s="655">
        <f>Crushing!N16</f>
        <v>283.17079999999999</v>
      </c>
      <c r="D12" s="655">
        <f t="shared" si="0"/>
        <v>574.83600000000001</v>
      </c>
      <c r="E12" s="655">
        <f>C12/I12</f>
        <v>25.665027190332324</v>
      </c>
      <c r="F12" s="672">
        <v>1.0209999999999999</v>
      </c>
      <c r="G12" s="668">
        <f>F12*C12</f>
        <v>289.11738679999996</v>
      </c>
      <c r="H12" s="669">
        <f t="shared" si="6"/>
        <v>0.28911738679999999</v>
      </c>
      <c r="I12" s="655">
        <f>'Crushing Down Time Hours'!L7</f>
        <v>11.033333333333333</v>
      </c>
      <c r="J12" s="655">
        <v>0</v>
      </c>
      <c r="K12" s="658">
        <f>'Crushing Down Time Hours'!M7</f>
        <v>0.9194444444444444</v>
      </c>
      <c r="L12" s="658">
        <f t="shared" si="2"/>
        <v>0</v>
      </c>
      <c r="M12" s="658">
        <v>1</v>
      </c>
      <c r="N12" s="658">
        <f t="shared" si="7"/>
        <v>0</v>
      </c>
      <c r="O12" s="662"/>
      <c r="P12" s="662"/>
      <c r="Q12" s="671"/>
      <c r="R12" s="670"/>
      <c r="S12" s="662"/>
      <c r="T12" s="663">
        <f t="shared" si="3"/>
        <v>0</v>
      </c>
      <c r="U12" s="1090" t="str">
        <f t="shared" si="4"/>
        <v/>
      </c>
      <c r="V12" s="662"/>
      <c r="W12" s="662"/>
      <c r="X12" s="662"/>
      <c r="Y12" s="662"/>
      <c r="Z12" s="663">
        <f>'Reagent Consumption'!O13</f>
        <v>275</v>
      </c>
      <c r="AA12" s="655">
        <f>'Fuel Consumption'!D9</f>
        <v>397</v>
      </c>
      <c r="AB12" s="663">
        <f>'Reagent Consumption'!Q13</f>
        <v>1000</v>
      </c>
      <c r="AC12" s="663">
        <f>'Reagent Consumption'!P13</f>
        <v>500</v>
      </c>
      <c r="AD12" s="663">
        <f>'Reagent Consumption'!R13</f>
        <v>0</v>
      </c>
      <c r="AE12" s="663">
        <f>'Reagent Consumption'!S13</f>
        <v>0</v>
      </c>
      <c r="AF12" s="663">
        <f>'Reagent Consumption'!T13</f>
        <v>25</v>
      </c>
      <c r="AG12" s="663">
        <f>'Fuel Consumption'!D9</f>
        <v>397</v>
      </c>
      <c r="AH12" s="663"/>
      <c r="AI12" s="663"/>
      <c r="AJ12" s="663"/>
      <c r="AK12" s="663"/>
      <c r="AL12" s="663"/>
      <c r="AM12" s="663"/>
      <c r="AN12" s="663"/>
      <c r="AO12" s="663"/>
      <c r="AP12" s="663"/>
      <c r="AQ12" s="662"/>
      <c r="AR12" s="664"/>
      <c r="AS12" s="664" t="s">
        <v>116</v>
      </c>
    </row>
    <row r="13" spans="1:45" s="665" customFormat="1" ht="14.4" x14ac:dyDescent="0.3">
      <c r="A13" s="653"/>
      <c r="B13" s="654">
        <v>46254</v>
      </c>
      <c r="C13" s="655">
        <f>Crushing!N18</f>
        <v>337.14449999999999</v>
      </c>
      <c r="D13" s="655">
        <f t="shared" si="0"/>
        <v>911.98050000000001</v>
      </c>
      <c r="E13" s="656">
        <f t="shared" ref="E13:E23" si="8">C13/I13</f>
        <v>33.658352745424288</v>
      </c>
      <c r="F13" s="663">
        <v>0.60399999999999998</v>
      </c>
      <c r="G13" s="655">
        <f>F13*C13</f>
        <v>203.635278</v>
      </c>
      <c r="H13" s="657">
        <f t="shared" si="6"/>
        <v>0.203635278</v>
      </c>
      <c r="I13" s="655">
        <f>'Crushing Down Time Hours'!L12</f>
        <v>10.016666666666667</v>
      </c>
      <c r="J13" s="655">
        <v>0</v>
      </c>
      <c r="K13" s="658">
        <f>'Crushing Down Time Hours'!M8</f>
        <v>0.9194444444444444</v>
      </c>
      <c r="L13" s="658">
        <f t="shared" si="2"/>
        <v>0</v>
      </c>
      <c r="M13" s="658">
        <v>1</v>
      </c>
      <c r="N13" s="658">
        <f t="shared" si="7"/>
        <v>0</v>
      </c>
      <c r="O13" s="662"/>
      <c r="P13" s="662"/>
      <c r="Q13" s="671"/>
      <c r="R13" s="670"/>
      <c r="S13" s="662"/>
      <c r="T13" s="663">
        <f t="shared" si="3"/>
        <v>0</v>
      </c>
      <c r="U13" s="1090" t="str">
        <f t="shared" si="4"/>
        <v/>
      </c>
      <c r="V13" s="662" t="s">
        <v>117</v>
      </c>
      <c r="W13" s="662"/>
      <c r="X13" s="662"/>
      <c r="Y13" s="662"/>
      <c r="Z13" s="663">
        <f>'Reagent Consumption'!O15</f>
        <v>100</v>
      </c>
      <c r="AA13" s="655">
        <f>'Fuel Consumption'!D10</f>
        <v>283</v>
      </c>
      <c r="AB13" s="663">
        <f>'Reagent Consumption'!Q15</f>
        <v>0</v>
      </c>
      <c r="AC13" s="663">
        <f>'Reagent Consumption'!P15</f>
        <v>250</v>
      </c>
      <c r="AD13" s="663">
        <f>'Reagent Consumption'!R15</f>
        <v>0</v>
      </c>
      <c r="AE13" s="663">
        <f>'Reagent Consumption'!S15</f>
        <v>0</v>
      </c>
      <c r="AF13" s="663">
        <f>'Reagent Consumption'!T15</f>
        <v>0</v>
      </c>
      <c r="AG13" s="663">
        <f>'Fuel Consumption'!D10</f>
        <v>283</v>
      </c>
      <c r="AH13" s="663"/>
      <c r="AI13" s="663"/>
      <c r="AJ13" s="663"/>
      <c r="AK13" s="663"/>
      <c r="AL13" s="663"/>
      <c r="AM13" s="663"/>
      <c r="AN13" s="663"/>
      <c r="AO13" s="663"/>
      <c r="AP13" s="663"/>
      <c r="AQ13" s="662"/>
      <c r="AR13" s="664"/>
      <c r="AS13" s="664" t="s">
        <v>118</v>
      </c>
    </row>
    <row r="14" spans="1:45" s="665" customFormat="1" ht="14.4" x14ac:dyDescent="0.3">
      <c r="A14" s="653"/>
      <c r="B14" s="654">
        <v>46255</v>
      </c>
      <c r="C14" s="655">
        <f>Crushing!N20</f>
        <v>290.85750000000002</v>
      </c>
      <c r="D14" s="655">
        <f>D13+C14</f>
        <v>1202.838</v>
      </c>
      <c r="E14" s="656">
        <f t="shared" si="8"/>
        <v>30.83295053003533</v>
      </c>
      <c r="F14" s="663">
        <v>0.442</v>
      </c>
      <c r="G14" s="655">
        <f>F14*C14</f>
        <v>128.55901500000002</v>
      </c>
      <c r="H14" s="657">
        <f t="shared" si="6"/>
        <v>0.12855901500000003</v>
      </c>
      <c r="I14" s="655">
        <f>'Crushing Down Time Hours'!L9</f>
        <v>9.4333333333333353</v>
      </c>
      <c r="J14" s="655">
        <v>0</v>
      </c>
      <c r="K14" s="658">
        <f>'Crushing Down Time Hours'!M9</f>
        <v>0.78611111111111132</v>
      </c>
      <c r="L14" s="658">
        <f t="shared" si="2"/>
        <v>0</v>
      </c>
      <c r="M14" s="658">
        <v>1</v>
      </c>
      <c r="N14" s="658">
        <f t="shared" si="7"/>
        <v>0</v>
      </c>
      <c r="O14" s="662"/>
      <c r="P14" s="662"/>
      <c r="Q14" s="671"/>
      <c r="R14" s="661"/>
      <c r="S14" s="662"/>
      <c r="T14" s="663">
        <f t="shared" si="3"/>
        <v>0</v>
      </c>
      <c r="U14" s="1090" t="str">
        <f t="shared" si="4"/>
        <v/>
      </c>
      <c r="V14" s="662"/>
      <c r="W14" s="662"/>
      <c r="X14" s="662"/>
      <c r="Y14" s="662"/>
      <c r="Z14" s="663">
        <f>'Reagent Consumption'!O16</f>
        <v>0</v>
      </c>
      <c r="AA14" s="655">
        <f>'Fuel Consumption'!D11</f>
        <v>347</v>
      </c>
      <c r="AB14" s="663">
        <f>'Reagent Consumption'!Q16</f>
        <v>0</v>
      </c>
      <c r="AC14" s="663">
        <f>'Reagent Consumption'!P16</f>
        <v>0</v>
      </c>
      <c r="AD14" s="663">
        <f>'Reagent Consumption'!R16</f>
        <v>0</v>
      </c>
      <c r="AE14" s="663">
        <f>'Reagent Consumption'!S16</f>
        <v>0</v>
      </c>
      <c r="AF14" s="663">
        <f>'Reagent Consumption'!T16</f>
        <v>25</v>
      </c>
      <c r="AG14" s="663">
        <f>'Fuel Consumption'!D11</f>
        <v>347</v>
      </c>
      <c r="AH14" s="663"/>
      <c r="AI14" s="663"/>
      <c r="AJ14" s="663"/>
      <c r="AK14" s="663"/>
      <c r="AL14" s="663"/>
      <c r="AM14" s="663"/>
      <c r="AN14" s="663"/>
      <c r="AO14" s="663"/>
      <c r="AP14" s="663"/>
      <c r="AQ14" s="662"/>
      <c r="AR14" s="664"/>
      <c r="AS14" s="664" t="s">
        <v>119</v>
      </c>
    </row>
    <row r="15" spans="1:45" s="665" customFormat="1" ht="14.4" x14ac:dyDescent="0.3">
      <c r="A15" s="653"/>
      <c r="B15" s="654">
        <v>46256</v>
      </c>
      <c r="C15" s="655">
        <f>Crushing!N22</f>
        <v>197.0325</v>
      </c>
      <c r="D15" s="655">
        <f t="shared" ref="D15:D36" si="9">D14+C15</f>
        <v>1399.8705</v>
      </c>
      <c r="E15" s="656">
        <f t="shared" si="8"/>
        <v>21.852033271719037</v>
      </c>
      <c r="F15" s="657">
        <f>AVERAGE('Rom File Inventory'!T93:T101)</f>
        <v>0.62933333333333319</v>
      </c>
      <c r="G15" s="655">
        <f t="shared" si="5"/>
        <v>123.99911999999998</v>
      </c>
      <c r="H15" s="657">
        <f t="shared" si="6"/>
        <v>0.12399911999999998</v>
      </c>
      <c r="I15" s="655">
        <f>'Crushing Down Time Hours'!L10</f>
        <v>9.0166666666666675</v>
      </c>
      <c r="J15" s="655">
        <v>0</v>
      </c>
      <c r="K15" s="658">
        <f>'Crushing Down Time Hours'!M10</f>
        <v>0.75138888888888899</v>
      </c>
      <c r="L15" s="658">
        <f t="shared" si="2"/>
        <v>0</v>
      </c>
      <c r="M15" s="658">
        <v>1</v>
      </c>
      <c r="N15" s="673">
        <f t="shared" si="7"/>
        <v>0</v>
      </c>
      <c r="O15" s="653"/>
      <c r="P15" s="653"/>
      <c r="Q15" s="662"/>
      <c r="R15" s="662"/>
      <c r="S15" s="662"/>
      <c r="T15" s="663">
        <f t="shared" si="3"/>
        <v>0</v>
      </c>
      <c r="U15" s="1090" t="str">
        <f t="shared" si="4"/>
        <v/>
      </c>
      <c r="V15" s="662"/>
      <c r="W15" s="662"/>
      <c r="X15" s="662"/>
      <c r="Y15" s="662"/>
      <c r="Z15" s="663">
        <f>'Reagent Consumption'!O17</f>
        <v>100</v>
      </c>
      <c r="AA15" s="655">
        <f>'Fuel Consumption'!D12</f>
        <v>346</v>
      </c>
      <c r="AB15" s="663">
        <f>'Reagent Consumption'!Q17</f>
        <v>0</v>
      </c>
      <c r="AC15" s="663">
        <f>'Reagent Consumption'!P17</f>
        <v>0</v>
      </c>
      <c r="AD15" s="663">
        <f>'Reagent Consumption'!R17</f>
        <v>0</v>
      </c>
      <c r="AE15" s="663">
        <f>'Reagent Consumption'!S17</f>
        <v>0</v>
      </c>
      <c r="AF15" s="663">
        <f>'Reagent Consumption'!T17</f>
        <v>0</v>
      </c>
      <c r="AG15" s="663">
        <f>'Fuel Consumption'!D12</f>
        <v>346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2"/>
      <c r="AR15" s="664"/>
      <c r="AS15" s="664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90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65" customFormat="1" ht="14.4" x14ac:dyDescent="0.3">
      <c r="A17" s="653"/>
      <c r="B17" s="654">
        <v>46258</v>
      </c>
      <c r="C17" s="655">
        <f>Crushing!N26</f>
        <v>163.881</v>
      </c>
      <c r="D17" s="655">
        <f>D16+C17</f>
        <v>1563.7515000000001</v>
      </c>
      <c r="E17" s="656">
        <f>C17/I17</f>
        <v>16.360831946755408</v>
      </c>
      <c r="F17" s="674">
        <f>AVERAGE('Rom File Inventory'!T102:T110)</f>
        <v>1.0302222222222222</v>
      </c>
      <c r="G17" s="655">
        <f>F17*C17</f>
        <v>168.83384799999999</v>
      </c>
      <c r="H17" s="657">
        <f t="shared" si="6"/>
        <v>0.16883384799999998</v>
      </c>
      <c r="I17" s="655">
        <f>'Crushing Down Time Hours'!L12</f>
        <v>10.016666666666667</v>
      </c>
      <c r="J17" s="655">
        <v>0</v>
      </c>
      <c r="K17" s="658">
        <f>'Crushing Down Time Hours'!M12</f>
        <v>0.83472222222222225</v>
      </c>
      <c r="L17" s="658">
        <f t="shared" si="2"/>
        <v>0</v>
      </c>
      <c r="M17" s="659">
        <v>1</v>
      </c>
      <c r="N17" s="660">
        <f t="shared" si="7"/>
        <v>0</v>
      </c>
      <c r="O17" s="661"/>
      <c r="P17" s="661"/>
      <c r="Q17" s="662"/>
      <c r="R17" s="662"/>
      <c r="S17" s="662"/>
      <c r="T17" s="663">
        <f t="shared" si="3"/>
        <v>0</v>
      </c>
      <c r="U17" s="1090" t="str">
        <f t="shared" si="4"/>
        <v/>
      </c>
      <c r="V17" s="662"/>
      <c r="W17" s="662"/>
      <c r="X17" s="662"/>
      <c r="Y17" s="662"/>
      <c r="Z17" s="663">
        <f>'Reagent Consumption'!O19</f>
        <v>300</v>
      </c>
      <c r="AA17" s="655">
        <f>'Fuel Consumption'!D14</f>
        <v>304</v>
      </c>
      <c r="AB17" s="663">
        <f>'Reagent Consumption'!Q19</f>
        <v>0</v>
      </c>
      <c r="AC17" s="663">
        <f>'Reagent Consumption'!P19</f>
        <v>750</v>
      </c>
      <c r="AD17" s="663">
        <f>'Reagent Consumption'!R19</f>
        <v>0</v>
      </c>
      <c r="AE17" s="663">
        <f>'Reagent Consumption'!S19</f>
        <v>0</v>
      </c>
      <c r="AF17" s="663">
        <f>'Reagent Consumption'!T19</f>
        <v>0</v>
      </c>
      <c r="AG17" s="663">
        <f>'Fuel Consumption'!D14</f>
        <v>304</v>
      </c>
      <c r="AH17" s="663"/>
      <c r="AI17" s="663"/>
      <c r="AJ17" s="663"/>
      <c r="AK17" s="663"/>
      <c r="AL17" s="663"/>
      <c r="AM17" s="663"/>
      <c r="AN17" s="663"/>
      <c r="AO17" s="663"/>
      <c r="AP17" s="663"/>
      <c r="AQ17" s="662"/>
      <c r="AR17" s="664"/>
      <c r="AS17" s="664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90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90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5" customFormat="1" ht="14.4" x14ac:dyDescent="0.3">
      <c r="A20" s="653"/>
      <c r="B20" s="654">
        <v>46261</v>
      </c>
      <c r="C20" s="655">
        <f>Crushing!N32</f>
        <v>124.94709999999999</v>
      </c>
      <c r="D20" s="655">
        <f t="shared" si="9"/>
        <v>1688.6986000000002</v>
      </c>
      <c r="E20" s="656">
        <f t="shared" si="8"/>
        <v>23.724132911392402</v>
      </c>
      <c r="F20" s="657">
        <f>AVERAGE('Rom File Inventory'!T111:T117)</f>
        <v>0.751142857142857</v>
      </c>
      <c r="G20" s="655">
        <f t="shared" si="10"/>
        <v>93.853121685714257</v>
      </c>
      <c r="H20" s="657">
        <f t="shared" si="11"/>
        <v>9.3853121685714261E-2</v>
      </c>
      <c r="I20" s="655">
        <f>'Crushing Down Time Hours'!L15</f>
        <v>5.2666666666666666</v>
      </c>
      <c r="J20" s="655">
        <v>0</v>
      </c>
      <c r="K20" s="658">
        <f>'Crushing Down Time Hours'!M15</f>
        <v>0.43888888888888888</v>
      </c>
      <c r="L20" s="658">
        <f t="shared" si="2"/>
        <v>0</v>
      </c>
      <c r="M20" s="94">
        <v>1</v>
      </c>
      <c r="N20" s="660">
        <f t="shared" si="7"/>
        <v>0</v>
      </c>
      <c r="O20" s="661"/>
      <c r="P20" s="670"/>
      <c r="Q20" s="662"/>
      <c r="R20" s="662"/>
      <c r="S20" s="662"/>
      <c r="T20" s="663">
        <f t="shared" si="3"/>
        <v>0</v>
      </c>
      <c r="U20" s="1090" t="str">
        <f t="shared" si="4"/>
        <v/>
      </c>
      <c r="V20" s="662"/>
      <c r="W20" s="662"/>
      <c r="X20" s="662"/>
      <c r="Y20" s="662"/>
      <c r="Z20" s="663">
        <f>'Reagent Consumption'!O24</f>
        <v>300</v>
      </c>
      <c r="AA20" s="655">
        <f>'Fuel Consumption'!D17</f>
        <v>300</v>
      </c>
      <c r="AB20" s="663">
        <f>'Reagent Consumption'!Q24</f>
        <v>500</v>
      </c>
      <c r="AC20" s="663">
        <f>'Reagent Consumption'!P24</f>
        <v>0</v>
      </c>
      <c r="AD20" s="663">
        <f>'Reagent Consumption'!R24</f>
        <v>0</v>
      </c>
      <c r="AE20" s="663">
        <f>'Reagent Consumption'!S24</f>
        <v>0</v>
      </c>
      <c r="AF20" s="663">
        <f>'Reagent Consumption'!T24</f>
        <v>0</v>
      </c>
      <c r="AG20" s="663">
        <f>'Fuel Consumption'!D17</f>
        <v>300</v>
      </c>
      <c r="AH20" s="663"/>
      <c r="AI20" s="663"/>
      <c r="AJ20" s="663"/>
      <c r="AK20" s="663"/>
      <c r="AL20" s="663"/>
      <c r="AM20" s="663"/>
      <c r="AN20" s="663"/>
      <c r="AO20" s="663"/>
      <c r="AP20" s="663"/>
      <c r="AQ20" s="662"/>
      <c r="AR20" s="664"/>
      <c r="AS20" s="664"/>
    </row>
    <row r="21" spans="1:45" s="665" customFormat="1" ht="14.4" x14ac:dyDescent="0.3">
      <c r="A21" s="653"/>
      <c r="B21" s="654">
        <v>46262</v>
      </c>
      <c r="C21" s="655">
        <f>Crushing!N34</f>
        <v>167.76500000000001</v>
      </c>
      <c r="D21" s="655">
        <f t="shared" si="9"/>
        <v>1856.4636000000003</v>
      </c>
      <c r="E21" s="656">
        <f>C21/I21</f>
        <v>20.927027027027027</v>
      </c>
      <c r="F21" s="657">
        <f>AVERAGE('Rom File Inventory'!T118:T126)</f>
        <v>0.6641111111111111</v>
      </c>
      <c r="G21" s="655">
        <f t="shared" si="10"/>
        <v>111.41460055555557</v>
      </c>
      <c r="H21" s="657">
        <f t="shared" si="11"/>
        <v>0.11141460055555556</v>
      </c>
      <c r="I21" s="655">
        <f>'Crushing Down Time Hours'!L16</f>
        <v>8.0166666666666675</v>
      </c>
      <c r="J21" s="655">
        <v>0</v>
      </c>
      <c r="K21" s="658">
        <f>'Crushing Down Time Hours'!M16</f>
        <v>0.66805555555555562</v>
      </c>
      <c r="L21" s="658">
        <f t="shared" si="2"/>
        <v>0</v>
      </c>
      <c r="M21" s="94">
        <v>1</v>
      </c>
      <c r="N21" s="660">
        <f t="shared" si="7"/>
        <v>0</v>
      </c>
      <c r="O21" s="661"/>
      <c r="P21" s="661"/>
      <c r="Q21" s="662"/>
      <c r="R21" s="662"/>
      <c r="S21" s="662"/>
      <c r="T21" s="663">
        <f t="shared" si="3"/>
        <v>0</v>
      </c>
      <c r="U21" s="1090" t="str">
        <f t="shared" si="4"/>
        <v/>
      </c>
      <c r="V21" s="662"/>
      <c r="W21" s="662"/>
      <c r="X21" s="662"/>
      <c r="Y21" s="662"/>
      <c r="Z21" s="663">
        <f>'Reagent Consumption'!O26</f>
        <v>200</v>
      </c>
      <c r="AA21" s="655">
        <f>'Fuel Consumption'!D18</f>
        <v>1798</v>
      </c>
      <c r="AB21" s="663">
        <f>'Reagent Consumption'!Q26</f>
        <v>500</v>
      </c>
      <c r="AC21" s="663">
        <f>'Reagent Consumption'!P26</f>
        <v>0</v>
      </c>
      <c r="AD21" s="663">
        <f>'Reagent Consumption'!R26</f>
        <v>0</v>
      </c>
      <c r="AE21" s="663">
        <f>'Reagent Consumption'!S26</f>
        <v>0</v>
      </c>
      <c r="AF21" s="663">
        <f>'Reagent Consumption'!T26</f>
        <v>50</v>
      </c>
      <c r="AG21" s="663">
        <f>'Fuel Consumption'!D18</f>
        <v>1798</v>
      </c>
      <c r="AH21" s="663"/>
      <c r="AI21" s="663"/>
      <c r="AJ21" s="663"/>
      <c r="AK21" s="663"/>
      <c r="AL21" s="663"/>
      <c r="AM21" s="663"/>
      <c r="AN21" s="663"/>
      <c r="AO21" s="663"/>
      <c r="AP21" s="663"/>
      <c r="AQ21" s="662"/>
      <c r="AR21" s="664"/>
      <c r="AS21" s="664"/>
    </row>
    <row r="22" spans="1:45" s="665" customFormat="1" ht="14.4" x14ac:dyDescent="0.3">
      <c r="A22" s="653"/>
      <c r="B22" s="654">
        <v>46263</v>
      </c>
      <c r="C22" s="655">
        <f>Crushing!N36</f>
        <v>240.43500000000003</v>
      </c>
      <c r="D22" s="655">
        <f t="shared" si="9"/>
        <v>2096.8986000000004</v>
      </c>
      <c r="E22" s="656">
        <f t="shared" si="8"/>
        <v>24.003494176372712</v>
      </c>
      <c r="F22" s="663">
        <f>AVERAGE('Rom File Inventory'!T127:T137)</f>
        <v>0.872</v>
      </c>
      <c r="G22" s="655">
        <f t="shared" si="10"/>
        <v>209.65932000000004</v>
      </c>
      <c r="H22" s="657">
        <f t="shared" si="11"/>
        <v>0.20965932000000004</v>
      </c>
      <c r="I22" s="655">
        <f>'Crushing Down Time Hours'!L17</f>
        <v>10.016666666666667</v>
      </c>
      <c r="J22" s="655">
        <v>0</v>
      </c>
      <c r="K22" s="658">
        <f>'Crushing Down Time Hours'!M17</f>
        <v>0.83472222222222225</v>
      </c>
      <c r="L22" s="658">
        <f t="shared" si="2"/>
        <v>0</v>
      </c>
      <c r="M22" s="94">
        <v>1</v>
      </c>
      <c r="N22" s="660">
        <f t="shared" si="7"/>
        <v>0</v>
      </c>
      <c r="O22" s="661"/>
      <c r="P22" s="661"/>
      <c r="Q22" s="662"/>
      <c r="R22" s="662"/>
      <c r="S22" s="662"/>
      <c r="T22" s="663">
        <f t="shared" si="3"/>
        <v>0</v>
      </c>
      <c r="U22" s="1090" t="str">
        <f t="shared" si="4"/>
        <v/>
      </c>
      <c r="V22" s="662"/>
      <c r="W22" s="662"/>
      <c r="X22" s="662"/>
      <c r="Y22" s="662"/>
      <c r="Z22" s="663">
        <f>'Reagent Consumption'!O27</f>
        <v>100</v>
      </c>
      <c r="AA22" s="655">
        <f>'Fuel Consumption'!D19</f>
        <v>1841</v>
      </c>
      <c r="AB22" s="663">
        <f>'Reagent Consumption'!Q27</f>
        <v>0</v>
      </c>
      <c r="AC22" s="663">
        <f>'Reagent Consumption'!P27</f>
        <v>0</v>
      </c>
      <c r="AD22" s="663">
        <f>'Reagent Consumption'!R27</f>
        <v>0</v>
      </c>
      <c r="AE22" s="663">
        <f>'Reagent Consumption'!S27</f>
        <v>0</v>
      </c>
      <c r="AF22" s="663">
        <f>'Reagent Consumption'!T27</f>
        <v>0</v>
      </c>
      <c r="AG22" s="663">
        <f>'Fuel Consumption'!D19</f>
        <v>1841</v>
      </c>
      <c r="AH22" s="663"/>
      <c r="AI22" s="663"/>
      <c r="AJ22" s="663"/>
      <c r="AK22" s="663"/>
      <c r="AL22" s="663"/>
      <c r="AM22" s="663"/>
      <c r="AN22" s="663"/>
      <c r="AO22" s="663"/>
      <c r="AP22" s="663"/>
      <c r="AQ22" s="662"/>
      <c r="AR22" s="664"/>
      <c r="AS22" s="664"/>
    </row>
    <row r="23" spans="1:45" s="665" customFormat="1" ht="14.4" x14ac:dyDescent="0.3">
      <c r="A23" s="653"/>
      <c r="B23" s="654">
        <v>46264</v>
      </c>
      <c r="C23" s="655">
        <f>Crushing!N38</f>
        <v>53.820000000000007</v>
      </c>
      <c r="D23" s="655">
        <f t="shared" si="9"/>
        <v>2150.7186000000006</v>
      </c>
      <c r="E23" s="656">
        <f t="shared" si="8"/>
        <v>26.4688524590164</v>
      </c>
      <c r="F23" s="663">
        <f>AVERAGE('Rom File Inventory'!T138:T141)</f>
        <v>0.98899999999999999</v>
      </c>
      <c r="G23" s="655">
        <f t="shared" si="10"/>
        <v>53.227980000000009</v>
      </c>
      <c r="H23" s="657">
        <f t="shared" si="11"/>
        <v>5.3227980000000008E-2</v>
      </c>
      <c r="I23" s="655">
        <f>'Crushing Down Time Hours'!L18</f>
        <v>2.0333333333333332</v>
      </c>
      <c r="J23" s="655">
        <v>0</v>
      </c>
      <c r="K23" s="658">
        <f>'Crushing Down Time Hours'!M18</f>
        <v>0.16944444444444443</v>
      </c>
      <c r="L23" s="658">
        <f t="shared" si="2"/>
        <v>0</v>
      </c>
      <c r="M23" s="94">
        <v>1</v>
      </c>
      <c r="N23" s="658">
        <f t="shared" si="7"/>
        <v>0</v>
      </c>
      <c r="O23" s="662"/>
      <c r="P23" s="662"/>
      <c r="Q23" s="662"/>
      <c r="R23" s="662"/>
      <c r="S23" s="662"/>
      <c r="T23" s="663">
        <f t="shared" si="3"/>
        <v>0</v>
      </c>
      <c r="U23" s="1090" t="str">
        <f t="shared" si="4"/>
        <v/>
      </c>
      <c r="V23" s="662"/>
      <c r="W23" s="662"/>
      <c r="X23" s="662"/>
      <c r="Y23" s="662"/>
      <c r="Z23" s="663">
        <f>'Reagent Consumption'!O28</f>
        <v>225</v>
      </c>
      <c r="AA23" s="655">
        <f>'Fuel Consumption'!D20</f>
        <v>2492</v>
      </c>
      <c r="AB23" s="663">
        <f>'Reagent Consumption'!Q28</f>
        <v>0</v>
      </c>
      <c r="AC23" s="663">
        <f>'Reagent Consumption'!P28</f>
        <v>0</v>
      </c>
      <c r="AD23" s="663">
        <f>'Reagent Consumption'!R28</f>
        <v>0</v>
      </c>
      <c r="AE23" s="663">
        <f>'Reagent Consumption'!S28</f>
        <v>0</v>
      </c>
      <c r="AF23" s="663">
        <f>'Reagent Consumption'!T28</f>
        <v>25</v>
      </c>
      <c r="AG23" s="663">
        <f>'Fuel Consumption'!D20</f>
        <v>2492</v>
      </c>
      <c r="AH23" s="663"/>
      <c r="AI23" s="663"/>
      <c r="AJ23" s="663"/>
      <c r="AK23" s="663"/>
      <c r="AL23" s="663"/>
      <c r="AM23" s="663"/>
      <c r="AN23" s="663"/>
      <c r="AO23" s="663"/>
      <c r="AP23" s="663"/>
      <c r="AQ23" s="662"/>
      <c r="AR23" s="664"/>
      <c r="AS23" s="664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90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90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90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90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90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90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90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90" t="str">
        <f t="shared" si="4"/>
        <v/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2655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90" t="str">
        <f t="shared" si="4"/>
        <v/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1557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90" t="str">
        <f t="shared" si="4"/>
        <v/>
      </c>
      <c r="V33" s="91"/>
      <c r="W33" s="91"/>
      <c r="X33" s="91"/>
      <c r="Y33" s="91"/>
      <c r="Z33" s="133">
        <f>'Reagent Consumption'!O42</f>
        <v>0</v>
      </c>
      <c r="AA33" s="212">
        <f>'Fuel Consumption'!D30</f>
        <v>1278</v>
      </c>
      <c r="AB33" s="133">
        <f>'Reagent Consumption'!Q42</f>
        <v>0</v>
      </c>
      <c r="AC33" s="133">
        <f>'Reagent Consumption'!P42</f>
        <v>0</v>
      </c>
      <c r="AD33" s="133">
        <f>'Reagent Consumption'!R42</f>
        <v>0</v>
      </c>
      <c r="AE33" s="133">
        <f>'Reagent Consumption'!S42</f>
        <v>0</v>
      </c>
      <c r="AF33" s="133">
        <f>'Reagent Consumption'!T42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5" customFormat="1" ht="14.4" x14ac:dyDescent="0.3">
      <c r="A34" s="653"/>
      <c r="B34" s="654">
        <v>46275</v>
      </c>
      <c r="C34" s="655">
        <f>Crushing!N60</f>
        <v>72.657000000000011</v>
      </c>
      <c r="D34" s="655">
        <f t="shared" si="9"/>
        <v>2223.3756000000008</v>
      </c>
      <c r="E34" s="90" t="str">
        <f t="shared" si="12"/>
        <v/>
      </c>
      <c r="F34" s="662"/>
      <c r="G34" s="655">
        <f t="shared" si="10"/>
        <v>0</v>
      </c>
      <c r="H34" s="657">
        <f t="shared" si="11"/>
        <v>0</v>
      </c>
      <c r="I34" s="655">
        <f>'Crushing Down Time Hours'!L29</f>
        <v>0</v>
      </c>
      <c r="J34" s="655">
        <f>'Milling Down Time Hours'!Q16</f>
        <v>12.983333333333333</v>
      </c>
      <c r="K34" s="658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62"/>
      <c r="P34" s="662"/>
      <c r="Q34" s="662"/>
      <c r="R34" s="662"/>
      <c r="S34" s="662"/>
      <c r="T34" s="663">
        <f t="shared" si="3"/>
        <v>0</v>
      </c>
      <c r="U34" s="1090" t="str">
        <f t="shared" si="4"/>
        <v/>
      </c>
      <c r="V34" s="662"/>
      <c r="W34" s="662"/>
      <c r="X34" s="662"/>
      <c r="Y34" s="671"/>
      <c r="Z34" s="677">
        <f>'Reagent Consumption'!O43</f>
        <v>0</v>
      </c>
      <c r="AA34" s="676">
        <f>'Fuel Consumption'!D31</f>
        <v>1099</v>
      </c>
      <c r="AB34" s="677">
        <f>'Reagent Consumption'!Q43</f>
        <v>0</v>
      </c>
      <c r="AC34" s="677">
        <f>'Reagent Consumption'!P43</f>
        <v>0</v>
      </c>
      <c r="AD34" s="677">
        <f>'Reagent Consumption'!R43</f>
        <v>0</v>
      </c>
      <c r="AE34" s="677">
        <f>'Reagent Consumption'!S43</f>
        <v>0</v>
      </c>
      <c r="AF34" s="677">
        <f>'Reagent Consumption'!T43</f>
        <v>0</v>
      </c>
      <c r="AG34" s="677">
        <f>'Fuel Consumption'!D31</f>
        <v>1099</v>
      </c>
      <c r="AH34" s="677"/>
      <c r="AI34" s="677"/>
      <c r="AJ34" s="677"/>
      <c r="AK34" s="677"/>
      <c r="AL34" s="677"/>
      <c r="AM34" s="677"/>
      <c r="AN34" s="677"/>
      <c r="AO34" s="677"/>
      <c r="AP34" s="663"/>
      <c r="AQ34" s="662"/>
      <c r="AR34" s="664"/>
      <c r="AS34" s="664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90" t="str">
        <f t="shared" si="4"/>
        <v/>
      </c>
      <c r="V35" s="91"/>
      <c r="W35" s="91"/>
      <c r="X35" s="91"/>
      <c r="Y35" s="1091"/>
      <c r="Z35" s="215">
        <f>'Reagent Consumption'!O44</f>
        <v>0</v>
      </c>
      <c r="AA35" s="213">
        <f>'Fuel Consumption'!D32</f>
        <v>1988</v>
      </c>
      <c r="AB35" s="215">
        <f>'Reagent Consumption'!Q44</f>
        <v>0</v>
      </c>
      <c r="AC35" s="215">
        <f>'Reagent Consumption'!P44</f>
        <v>0</v>
      </c>
      <c r="AD35" s="215">
        <f>'Reagent Consumption'!R44</f>
        <v>0</v>
      </c>
      <c r="AE35" s="215">
        <f>'Reagent Consumption'!S44</f>
        <v>0</v>
      </c>
      <c r="AF35" s="215">
        <f>'Reagent Consumption'!T44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5" customFormat="1" ht="14.4" x14ac:dyDescent="0.3">
      <c r="A36" s="653"/>
      <c r="B36" s="654">
        <v>46277</v>
      </c>
      <c r="C36" s="655">
        <f>Crushing!N64</f>
        <v>328.77</v>
      </c>
      <c r="D36" s="675">
        <f t="shared" si="9"/>
        <v>2552.1456000000007</v>
      </c>
      <c r="E36" s="90" t="str">
        <f t="shared" si="12"/>
        <v/>
      </c>
      <c r="F36" s="959">
        <f>AVERAGE('Rom File Inventory'!$T$142:$T$153)</f>
        <v>0.37108333333333338</v>
      </c>
      <c r="G36" s="655">
        <f t="shared" si="10"/>
        <v>122.0010675</v>
      </c>
      <c r="H36" s="657">
        <f t="shared" si="11"/>
        <v>0.1220010675</v>
      </c>
      <c r="I36" s="655">
        <f>'Crushing Down Time Hours'!L31</f>
        <v>0</v>
      </c>
      <c r="J36" s="655">
        <f>'Milling Down Time Hours'!Q19</f>
        <v>10</v>
      </c>
      <c r="K36" s="658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3"/>
      <c r="P36" s="653"/>
      <c r="Q36" s="653"/>
      <c r="R36" s="653"/>
      <c r="S36" s="653"/>
      <c r="T36" s="666">
        <f t="shared" si="3"/>
        <v>0</v>
      </c>
      <c r="U36" s="1090" t="str">
        <f t="shared" si="4"/>
        <v/>
      </c>
      <c r="V36" s="653"/>
      <c r="W36" s="653"/>
      <c r="X36" s="653"/>
      <c r="Y36" s="664"/>
      <c r="Z36" s="677">
        <f>'Reagent Consumption'!O45</f>
        <v>0</v>
      </c>
      <c r="AA36" s="676">
        <f>'Fuel Consumption'!D33</f>
        <v>1588</v>
      </c>
      <c r="AB36" s="677">
        <f>'Reagent Consumption'!Q45</f>
        <v>0</v>
      </c>
      <c r="AC36" s="677">
        <f>'Reagent Consumption'!P45</f>
        <v>0</v>
      </c>
      <c r="AD36" s="677">
        <f>'Reagent Consumption'!R45</f>
        <v>0</v>
      </c>
      <c r="AE36" s="677">
        <f>'Reagent Consumption'!S45</f>
        <v>0</v>
      </c>
      <c r="AF36" s="677">
        <f>'Reagent Consumption'!T45</f>
        <v>0</v>
      </c>
      <c r="AG36" s="677">
        <f>'Fuel Consumption'!D33</f>
        <v>1588</v>
      </c>
      <c r="AH36" s="677"/>
      <c r="AI36" s="677"/>
      <c r="AJ36" s="677"/>
      <c r="AK36" s="677"/>
      <c r="AL36" s="677"/>
      <c r="AM36" s="677"/>
      <c r="AN36" s="677"/>
      <c r="AO36" s="677"/>
      <c r="AP36" s="666"/>
      <c r="AQ36" s="653"/>
      <c r="AR36" s="664"/>
      <c r="AS36" s="664"/>
    </row>
    <row r="37" spans="1:45" s="665" customFormat="1" ht="14.4" x14ac:dyDescent="0.3">
      <c r="A37" s="664"/>
      <c r="B37" s="654">
        <v>46278</v>
      </c>
      <c r="C37" s="655">
        <f>Crushing!N66</f>
        <v>262.66500000000002</v>
      </c>
      <c r="D37" s="676">
        <f>D36+C37</f>
        <v>2814.8106000000007</v>
      </c>
      <c r="E37" s="90" t="str">
        <f t="shared" si="12"/>
        <v/>
      </c>
      <c r="F37" s="1033">
        <f>AVERAGE('Rom File Inventory'!T148:T161)</f>
        <v>0.63228571428571434</v>
      </c>
      <c r="G37" s="655">
        <f t="shared" si="10"/>
        <v>166.07932714285718</v>
      </c>
      <c r="H37" s="657">
        <f t="shared" si="11"/>
        <v>0.16607932714285717</v>
      </c>
      <c r="I37" s="655">
        <f>'Crushing Down Time Hours'!L32</f>
        <v>0</v>
      </c>
      <c r="J37" s="655">
        <f>'Milling Down Time Hours'!Q20</f>
        <v>24</v>
      </c>
      <c r="K37" s="658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61"/>
      <c r="P37" s="661"/>
      <c r="Q37" s="661"/>
      <c r="R37" s="661"/>
      <c r="S37" s="661"/>
      <c r="T37" s="677">
        <f t="shared" si="3"/>
        <v>0</v>
      </c>
      <c r="U37" s="1090" t="str">
        <f t="shared" si="4"/>
        <v/>
      </c>
      <c r="V37" s="661"/>
      <c r="W37" s="661"/>
      <c r="X37" s="661"/>
      <c r="Y37" s="1092"/>
      <c r="Z37" s="677">
        <f>'Reagent Consumption'!O46</f>
        <v>0</v>
      </c>
      <c r="AA37" s="676">
        <f>'Fuel Consumption'!D34</f>
        <v>2109</v>
      </c>
      <c r="AB37" s="677">
        <f>'Reagent Consumption'!Q46</f>
        <v>0</v>
      </c>
      <c r="AC37" s="677">
        <f>'Reagent Consumption'!P46</f>
        <v>0</v>
      </c>
      <c r="AD37" s="677">
        <f>'Reagent Consumption'!R46</f>
        <v>0</v>
      </c>
      <c r="AE37" s="677">
        <f>'Reagent Consumption'!S46</f>
        <v>0</v>
      </c>
      <c r="AF37" s="677">
        <f>'Reagent Consumption'!T46</f>
        <v>0</v>
      </c>
      <c r="AG37" s="677">
        <f>'Fuel Consumption'!D34</f>
        <v>2109</v>
      </c>
      <c r="AH37" s="677"/>
      <c r="AI37" s="677"/>
      <c r="AJ37" s="677"/>
      <c r="AK37" s="677"/>
      <c r="AL37" s="677"/>
      <c r="AM37" s="677"/>
      <c r="AN37" s="677"/>
      <c r="AO37" s="677"/>
      <c r="AP37" s="1095"/>
      <c r="AQ37" s="661"/>
      <c r="AR37" s="664"/>
      <c r="AS37" s="664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90" t="str">
        <f t="shared" si="4"/>
        <v/>
      </c>
      <c r="V38" s="95"/>
      <c r="W38" s="95"/>
      <c r="X38" s="95"/>
      <c r="Y38" s="1093"/>
      <c r="Z38" s="215">
        <f>'Reagent Consumption'!O47</f>
        <v>0</v>
      </c>
      <c r="AA38" s="213">
        <f>'Fuel Consumption'!D35</f>
        <v>2436</v>
      </c>
      <c r="AB38" s="215">
        <f>'Reagent Consumption'!Q47</f>
        <v>0</v>
      </c>
      <c r="AC38" s="215">
        <f>'Reagent Consumption'!P47</f>
        <v>0</v>
      </c>
      <c r="AD38" s="215">
        <f>'Reagent Consumption'!R47</f>
        <v>0</v>
      </c>
      <c r="AE38" s="215">
        <f>'Reagent Consumption'!S47</f>
        <v>0</v>
      </c>
      <c r="AF38" s="215">
        <f>'Reagent Consumption'!T47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96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90" t="str">
        <f t="shared" si="4"/>
        <v/>
      </c>
      <c r="V39" s="95"/>
      <c r="W39" s="95"/>
      <c r="X39" s="95"/>
      <c r="Y39" s="1093"/>
      <c r="Z39" s="215">
        <f>'Reagent Consumption'!O48</f>
        <v>0</v>
      </c>
      <c r="AA39" s="213">
        <f>'Fuel Consumption'!D36</f>
        <v>2232</v>
      </c>
      <c r="AB39" s="215">
        <f>'Reagent Consumption'!Q48</f>
        <v>0</v>
      </c>
      <c r="AC39" s="215">
        <f>'Reagent Consumption'!P48</f>
        <v>0</v>
      </c>
      <c r="AD39" s="215">
        <f>'Reagent Consumption'!R48</f>
        <v>0</v>
      </c>
      <c r="AE39" s="215">
        <f>'Reagent Consumption'!S48</f>
        <v>0</v>
      </c>
      <c r="AF39" s="215">
        <f>'Reagent Consumption'!T48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96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90" t="str">
        <f t="shared" si="4"/>
        <v/>
      </c>
      <c r="V40" s="95"/>
      <c r="W40" s="95"/>
      <c r="X40" s="95"/>
      <c r="Y40" s="1093"/>
      <c r="Z40" s="215">
        <f>'Reagent Consumption'!O49</f>
        <v>0</v>
      </c>
      <c r="AA40" s="213">
        <f>'Fuel Consumption'!D37</f>
        <v>1968</v>
      </c>
      <c r="AB40" s="215">
        <f>'Reagent Consumption'!Q49</f>
        <v>0</v>
      </c>
      <c r="AC40" s="215">
        <f>'Reagent Consumption'!P49</f>
        <v>0</v>
      </c>
      <c r="AD40" s="215">
        <f>'Reagent Consumption'!R49</f>
        <v>0</v>
      </c>
      <c r="AE40" s="215">
        <f>'Reagent Consumption'!S49</f>
        <v>0</v>
      </c>
      <c r="AF40" s="215">
        <f>'Reagent Consumption'!T49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96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90" t="str">
        <f t="shared" si="4"/>
        <v/>
      </c>
      <c r="V41" s="95"/>
      <c r="W41" s="95"/>
      <c r="X41" s="95"/>
      <c r="Y41" s="1093"/>
      <c r="Z41" s="215">
        <f>'Reagent Consumption'!O50</f>
        <v>0</v>
      </c>
      <c r="AA41" s="213">
        <f>'Fuel Consumption'!D38</f>
        <v>0</v>
      </c>
      <c r="AB41" s="215">
        <f>'Reagent Consumption'!Q50</f>
        <v>0</v>
      </c>
      <c r="AC41" s="215">
        <f>'Reagent Consumption'!P50</f>
        <v>0</v>
      </c>
      <c r="AD41" s="215">
        <f>'Reagent Consumption'!R50</f>
        <v>0</v>
      </c>
      <c r="AE41" s="215">
        <f>'Reagent Consumption'!S50</f>
        <v>0</v>
      </c>
      <c r="AF41" s="215">
        <f>'Reagent Consumption'!T50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96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210.6</v>
      </c>
      <c r="D42" s="213">
        <f t="shared" si="14"/>
        <v>3025.4106000000006</v>
      </c>
      <c r="E42" s="90" t="str">
        <f t="shared" si="12"/>
        <v/>
      </c>
      <c r="F42" s="95"/>
      <c r="G42" s="89">
        <f t="shared" si="10"/>
        <v>0</v>
      </c>
      <c r="H42" s="130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90" t="str">
        <f t="shared" si="4"/>
        <v/>
      </c>
      <c r="V42" s="95"/>
      <c r="W42" s="95"/>
      <c r="X42" s="95"/>
      <c r="Y42" s="1093"/>
      <c r="Z42" s="215">
        <f>'Reagent Consumption'!O51</f>
        <v>0</v>
      </c>
      <c r="AA42" s="213">
        <f>'Fuel Consumption'!D39</f>
        <v>0</v>
      </c>
      <c r="AB42" s="215">
        <f>'Reagent Consumption'!Q51</f>
        <v>0</v>
      </c>
      <c r="AC42" s="215">
        <f>'Reagent Consumption'!P51</f>
        <v>0</v>
      </c>
      <c r="AD42" s="215">
        <f>'Reagent Consumption'!R51</f>
        <v>0</v>
      </c>
      <c r="AE42" s="215">
        <f>'Reagent Consumption'!S51</f>
        <v>0</v>
      </c>
      <c r="AF42" s="215">
        <f>'Reagent Consumption'!T51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96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387.06799999999998</v>
      </c>
      <c r="D43" s="213">
        <f>D42+C43</f>
        <v>3412.4786000000004</v>
      </c>
      <c r="E43" s="90" t="str">
        <f t="shared" si="12"/>
        <v/>
      </c>
      <c r="F43" s="95"/>
      <c r="G43" s="89">
        <f t="shared" si="10"/>
        <v>0</v>
      </c>
      <c r="H43" s="130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90" t="str">
        <f t="shared" si="4"/>
        <v/>
      </c>
      <c r="V43" s="95"/>
      <c r="W43" s="95"/>
      <c r="X43" s="95"/>
      <c r="Y43" s="1093"/>
      <c r="Z43" s="215">
        <f>'Reagent Consumption'!O52</f>
        <v>0</v>
      </c>
      <c r="AA43" s="213">
        <f>'Fuel Consumption'!D40</f>
        <v>0</v>
      </c>
      <c r="AB43" s="215">
        <f>'Reagent Consumption'!Q52</f>
        <v>0</v>
      </c>
      <c r="AC43" s="215">
        <f>'Reagent Consumption'!P52</f>
        <v>0</v>
      </c>
      <c r="AD43" s="215">
        <f>'Reagent Consumption'!R52</f>
        <v>0</v>
      </c>
      <c r="AE43" s="215">
        <f>'Reagent Consumption'!S52</f>
        <v>0</v>
      </c>
      <c r="AF43" s="215">
        <f>'Reagent Consumption'!T52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96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3">
        <f t="shared" si="14"/>
        <v>3412.4786000000004</v>
      </c>
      <c r="E44" s="90" t="str">
        <f t="shared" si="12"/>
        <v/>
      </c>
      <c r="F44" s="95"/>
      <c r="G44" s="89">
        <f t="shared" si="10"/>
        <v>0</v>
      </c>
      <c r="H44" s="130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90" t="str">
        <f t="shared" si="4"/>
        <v/>
      </c>
      <c r="V44" s="95"/>
      <c r="W44" s="95"/>
      <c r="X44" s="95"/>
      <c r="Y44" s="1093"/>
      <c r="Z44" s="215">
        <f>'Reagent Consumption'!O53</f>
        <v>0</v>
      </c>
      <c r="AA44" s="213">
        <f>'Fuel Consumption'!D41</f>
        <v>0</v>
      </c>
      <c r="AB44" s="215">
        <f>'Reagent Consumption'!Q53</f>
        <v>0</v>
      </c>
      <c r="AC44" s="215">
        <f>'Reagent Consumption'!P53</f>
        <v>0</v>
      </c>
      <c r="AD44" s="215">
        <f>'Reagent Consumption'!R53</f>
        <v>0</v>
      </c>
      <c r="AE44" s="215">
        <f>'Reagent Consumption'!S53</f>
        <v>0</v>
      </c>
      <c r="AF44" s="215">
        <f>'Reagent Consumption'!T53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96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3412.4786000000004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</v>
      </c>
      <c r="M45" s="94">
        <v>1</v>
      </c>
      <c r="N45" s="92">
        <f t="shared" si="13"/>
        <v>0</v>
      </c>
      <c r="O45" s="95"/>
      <c r="P45" s="95"/>
      <c r="Q45" s="95"/>
      <c r="R45" s="95"/>
      <c r="S45" s="95"/>
      <c r="T45" s="215"/>
      <c r="U45" s="1090" t="str">
        <f t="shared" si="4"/>
        <v/>
      </c>
      <c r="V45" s="95"/>
      <c r="W45" s="95"/>
      <c r="X45" s="95"/>
      <c r="Y45" s="1093"/>
      <c r="Z45" s="215">
        <f>'Reagent Consumption'!O54</f>
        <v>0</v>
      </c>
      <c r="AA45" s="213">
        <f>'Fuel Consumption'!D42</f>
        <v>0</v>
      </c>
      <c r="AB45" s="215">
        <f>'Reagent Consumption'!Q54</f>
        <v>0</v>
      </c>
      <c r="AC45" s="215">
        <f>'Reagent Consumption'!P54</f>
        <v>0</v>
      </c>
      <c r="AD45" s="215">
        <f>'Reagent Consumption'!R54</f>
        <v>0</v>
      </c>
      <c r="AE45" s="215">
        <f>'Reagent Consumption'!S54</f>
        <v>0</v>
      </c>
      <c r="AF45" s="215">
        <f>'Reagent Consumption'!T54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96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3412.4786000000004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90" t="str">
        <f t="shared" si="4"/>
        <v/>
      </c>
      <c r="V46" s="95"/>
      <c r="W46" s="95"/>
      <c r="X46" s="95"/>
      <c r="Y46" s="1093"/>
      <c r="Z46" s="215">
        <f>'Reagent Consumption'!O55</f>
        <v>0</v>
      </c>
      <c r="AA46" s="213">
        <f>'Fuel Consumption'!D43</f>
        <v>0</v>
      </c>
      <c r="AB46" s="215">
        <f>'Reagent Consumption'!Q55</f>
        <v>0</v>
      </c>
      <c r="AC46" s="215">
        <f>'Reagent Consumption'!P55</f>
        <v>0</v>
      </c>
      <c r="AD46" s="215">
        <f>'Reagent Consumption'!R55</f>
        <v>0</v>
      </c>
      <c r="AE46" s="215">
        <f>'Reagent Consumption'!S55</f>
        <v>0</v>
      </c>
      <c r="AF46" s="215">
        <f>'Reagent Consumption'!T55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96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3412.4786000000004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90" t="str">
        <f t="shared" si="4"/>
        <v/>
      </c>
      <c r="V47" s="95"/>
      <c r="W47" s="95"/>
      <c r="X47" s="95"/>
      <c r="Y47" s="1093"/>
      <c r="Z47" s="215">
        <f>'Reagent Consumption'!O56</f>
        <v>0</v>
      </c>
      <c r="AA47" s="213">
        <f>'Fuel Consumption'!D44</f>
        <v>0</v>
      </c>
      <c r="AB47" s="215">
        <f>'Reagent Consumption'!Q56</f>
        <v>0</v>
      </c>
      <c r="AC47" s="215">
        <f>'Reagent Consumption'!P56</f>
        <v>0</v>
      </c>
      <c r="AD47" s="215">
        <f>'Reagent Consumption'!R56</f>
        <v>0</v>
      </c>
      <c r="AE47" s="215">
        <f>'Reagent Consumption'!S56</f>
        <v>0</v>
      </c>
      <c r="AF47" s="215">
        <f>'Reagent Consumption'!T56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96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3412.4786000000004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90" t="str">
        <f t="shared" si="4"/>
        <v/>
      </c>
      <c r="V48" s="95"/>
      <c r="W48" s="95"/>
      <c r="X48" s="95"/>
      <c r="Y48" s="1093"/>
      <c r="Z48" s="215">
        <f>'Reagent Consumption'!O57</f>
        <v>0</v>
      </c>
      <c r="AA48" s="213">
        <f>'Fuel Consumption'!D45</f>
        <v>0</v>
      </c>
      <c r="AB48" s="215">
        <f>'Reagent Consumption'!Q57</f>
        <v>0</v>
      </c>
      <c r="AC48" s="215">
        <f>'Reagent Consumption'!P57</f>
        <v>0</v>
      </c>
      <c r="AD48" s="215">
        <f>'Reagent Consumption'!R57</f>
        <v>0</v>
      </c>
      <c r="AE48" s="215">
        <f>'Reagent Consumption'!S57</f>
        <v>0</v>
      </c>
      <c r="AF48" s="215">
        <f>'Reagent Consumption'!T57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96"/>
      <c r="AQ48" s="95"/>
      <c r="AR48" s="75"/>
      <c r="AS48" s="75"/>
    </row>
    <row r="49" spans="1:45" ht="14.4" x14ac:dyDescent="0.3">
      <c r="A49" s="75"/>
      <c r="B49" s="408">
        <v>46290</v>
      </c>
      <c r="C49" s="212"/>
      <c r="D49" s="409">
        <f t="shared" si="14"/>
        <v>3412.4786000000004</v>
      </c>
      <c r="E49" s="1082">
        <f t="shared" si="12"/>
        <v>0</v>
      </c>
      <c r="F49" s="410"/>
      <c r="G49" s="212">
        <f t="shared" si="10"/>
        <v>0</v>
      </c>
      <c r="H49" s="1083">
        <f t="shared" si="11"/>
        <v>0</v>
      </c>
      <c r="I49" s="212">
        <f>'Crushing Down Time Hours'!L44</f>
        <v>0.61064814814814816</v>
      </c>
      <c r="J49" s="409"/>
      <c r="K49" s="411"/>
      <c r="L49" s="411"/>
      <c r="M49" s="94">
        <v>1</v>
      </c>
      <c r="N49" s="92">
        <f t="shared" si="13"/>
        <v>0</v>
      </c>
      <c r="O49" s="410"/>
      <c r="P49" s="410"/>
      <c r="Q49" s="410"/>
      <c r="R49" s="410"/>
      <c r="S49" s="410"/>
      <c r="T49" s="412"/>
      <c r="U49" s="1090" t="str">
        <f t="shared" si="4"/>
        <v/>
      </c>
      <c r="V49" s="410"/>
      <c r="W49" s="410"/>
      <c r="X49" s="410"/>
      <c r="Y49" s="1094"/>
      <c r="Z49" s="215">
        <f>'Reagent Consumption'!O58</f>
        <v>0</v>
      </c>
      <c r="AA49" s="213">
        <f>'Fuel Consumption'!D46</f>
        <v>0</v>
      </c>
      <c r="AB49" s="215">
        <f>'Reagent Consumption'!Q58</f>
        <v>0</v>
      </c>
      <c r="AC49" s="215">
        <f>'Reagent Consumption'!P58</f>
        <v>0</v>
      </c>
      <c r="AD49" s="215">
        <f>'Reagent Consumption'!R58</f>
        <v>0</v>
      </c>
      <c r="AE49" s="215">
        <f>'Reagent Consumption'!S58</f>
        <v>0</v>
      </c>
      <c r="AF49" s="215">
        <f>'Reagent Consumption'!T58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97"/>
      <c r="AQ49" s="410"/>
      <c r="AR49" s="75"/>
      <c r="AS49" s="75"/>
    </row>
    <row r="50" spans="1:45" ht="14.4" x14ac:dyDescent="0.3">
      <c r="A50" s="75"/>
      <c r="B50" s="1081">
        <v>46291</v>
      </c>
      <c r="C50" s="213"/>
      <c r="D50" s="409">
        <f>D49+C50</f>
        <v>3412.4786000000004</v>
      </c>
      <c r="E50" s="214"/>
      <c r="F50" s="95"/>
      <c r="G50" s="213"/>
      <c r="H50" s="1089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10"/>
      <c r="R50" s="410"/>
      <c r="S50" s="410"/>
      <c r="T50" s="412"/>
      <c r="U50" s="1090" t="str">
        <f t="shared" si="4"/>
        <v/>
      </c>
      <c r="V50" s="410"/>
      <c r="W50" s="410"/>
      <c r="X50" s="410"/>
      <c r="Y50" s="410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12"/>
      <c r="AQ50" s="410"/>
      <c r="AR50" s="75"/>
      <c r="AS50" s="75"/>
    </row>
    <row r="51" spans="1:45" ht="14.4" x14ac:dyDescent="0.3">
      <c r="A51" s="75"/>
      <c r="B51" s="1081">
        <v>46292</v>
      </c>
      <c r="C51" s="213"/>
      <c r="D51" s="409">
        <f t="shared" si="14"/>
        <v>3412.4786000000004</v>
      </c>
      <c r="E51" s="214"/>
      <c r="F51" s="95"/>
      <c r="G51" s="213"/>
      <c r="H51" s="1089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10"/>
      <c r="R51" s="410"/>
      <c r="S51" s="410"/>
      <c r="T51" s="412"/>
      <c r="U51" s="1090" t="str">
        <f t="shared" si="4"/>
        <v/>
      </c>
      <c r="V51" s="410"/>
      <c r="W51" s="410"/>
      <c r="X51" s="410"/>
      <c r="Y51" s="410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12"/>
      <c r="AQ51" s="410"/>
      <c r="AR51" s="75"/>
      <c r="AS51" s="75"/>
    </row>
    <row r="52" spans="1:45" ht="14.4" x14ac:dyDescent="0.3">
      <c r="A52" s="75"/>
      <c r="B52" s="1080">
        <v>46293</v>
      </c>
      <c r="C52" s="213"/>
      <c r="D52" s="409">
        <f t="shared" si="14"/>
        <v>3412.4786000000004</v>
      </c>
      <c r="E52" s="214"/>
      <c r="F52" s="95"/>
      <c r="G52" s="213"/>
      <c r="H52" s="1089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10"/>
      <c r="R52" s="410"/>
      <c r="S52" s="410"/>
      <c r="T52" s="412"/>
      <c r="U52" s="1090" t="str">
        <f t="shared" si="4"/>
        <v/>
      </c>
      <c r="V52" s="410"/>
      <c r="W52" s="410"/>
      <c r="X52" s="410"/>
      <c r="Y52" s="410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12"/>
      <c r="AQ52" s="410"/>
      <c r="AR52" s="75"/>
      <c r="AS52" s="75"/>
    </row>
    <row r="53" spans="1:45" ht="14.4" x14ac:dyDescent="0.3">
      <c r="A53" s="75"/>
      <c r="B53" s="1081">
        <v>46294</v>
      </c>
      <c r="C53" s="213"/>
      <c r="D53" s="409">
        <f t="shared" si="14"/>
        <v>3412.4786000000004</v>
      </c>
      <c r="E53" s="214"/>
      <c r="F53" s="95"/>
      <c r="G53" s="213"/>
      <c r="H53" s="1089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10"/>
      <c r="R53" s="410"/>
      <c r="S53" s="410"/>
      <c r="T53" s="412"/>
      <c r="U53" s="1090" t="str">
        <f t="shared" si="4"/>
        <v/>
      </c>
      <c r="V53" s="410"/>
      <c r="W53" s="410"/>
      <c r="X53" s="410"/>
      <c r="Y53" s="410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12"/>
      <c r="AQ53" s="410"/>
      <c r="AR53" s="75"/>
      <c r="AS53" s="75"/>
    </row>
    <row r="54" spans="1:45" ht="14.4" x14ac:dyDescent="0.3">
      <c r="A54" s="75"/>
      <c r="B54" s="1081">
        <v>46295</v>
      </c>
      <c r="C54" s="213"/>
      <c r="D54" s="409">
        <f t="shared" si="14"/>
        <v>3412.4786000000004</v>
      </c>
      <c r="E54" s="214"/>
      <c r="F54" s="95"/>
      <c r="G54" s="213"/>
      <c r="H54" s="1089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10"/>
      <c r="R54" s="410"/>
      <c r="S54" s="410"/>
      <c r="T54" s="412"/>
      <c r="U54" s="1090" t="str">
        <f t="shared" si="4"/>
        <v/>
      </c>
      <c r="V54" s="410"/>
      <c r="W54" s="410"/>
      <c r="X54" s="410"/>
      <c r="Y54" s="410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12"/>
      <c r="AQ54" s="410"/>
      <c r="AR54" s="75"/>
      <c r="AS54" s="75"/>
    </row>
    <row r="55" spans="1:45" ht="14.4" x14ac:dyDescent="0.3">
      <c r="A55" s="75"/>
      <c r="B55" s="1081">
        <v>46296</v>
      </c>
      <c r="C55" s="213"/>
      <c r="D55" s="409">
        <f t="shared" si="14"/>
        <v>3412.4786000000004</v>
      </c>
      <c r="E55" s="214"/>
      <c r="F55" s="95"/>
      <c r="G55" s="213"/>
      <c r="H55" s="1089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10"/>
      <c r="R55" s="410"/>
      <c r="S55" s="410"/>
      <c r="T55" s="412"/>
      <c r="U55" s="1090" t="str">
        <f t="shared" si="4"/>
        <v/>
      </c>
      <c r="V55" s="410"/>
      <c r="W55" s="410"/>
      <c r="X55" s="410"/>
      <c r="Y55" s="410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12"/>
      <c r="AQ55" s="410"/>
      <c r="AR55" s="75"/>
      <c r="AS55" s="75"/>
    </row>
    <row r="56" spans="1:45" ht="14.4" x14ac:dyDescent="0.3">
      <c r="A56" s="75"/>
      <c r="B56" s="413" t="s">
        <v>18</v>
      </c>
      <c r="C56" s="1084">
        <f>SUM(C7:C49)</f>
        <v>3412.4786000000004</v>
      </c>
      <c r="D56" s="1085"/>
      <c r="E56" s="1085"/>
      <c r="F56" s="1085"/>
      <c r="G56" s="1084">
        <f>SUM(G7:G49)</f>
        <v>2067.5095486841269</v>
      </c>
      <c r="H56" s="1086">
        <f>SUM(H7:H37)</f>
        <v>2.0675095486841273</v>
      </c>
      <c r="I56" s="424">
        <f>'Crushing Down Time Hours'!L45</f>
        <v>0</v>
      </c>
      <c r="J56" s="1084"/>
      <c r="K56" s="1087"/>
      <c r="L56" s="1088"/>
      <c r="M56" s="1088"/>
      <c r="N56" s="1087"/>
      <c r="O56" s="1088">
        <f t="shared" ref="O56:Y56" si="15">SUM(O7:O36)</f>
        <v>0</v>
      </c>
      <c r="P56" s="1088">
        <f>SUM(P7:P36)</f>
        <v>0</v>
      </c>
      <c r="Q56" s="415">
        <f t="shared" si="15"/>
        <v>0</v>
      </c>
      <c r="R56" s="415"/>
      <c r="S56" s="415"/>
      <c r="T56" s="421">
        <f t="shared" ref="T56" si="16">R56-S56</f>
        <v>0</v>
      </c>
      <c r="U56" s="414"/>
      <c r="V56" s="415">
        <f t="shared" si="15"/>
        <v>0</v>
      </c>
      <c r="W56" s="415">
        <f t="shared" si="15"/>
        <v>0</v>
      </c>
      <c r="X56" s="415">
        <f t="shared" si="15"/>
        <v>0</v>
      </c>
      <c r="Y56" s="415">
        <f t="shared" si="15"/>
        <v>0</v>
      </c>
      <c r="Z56" s="415">
        <f>SUM(Z7:Z49)</f>
        <v>3725</v>
      </c>
      <c r="AA56" s="415"/>
      <c r="AB56" s="416">
        <f>SUM(AB7:AB49)</f>
        <v>3000</v>
      </c>
      <c r="AC56" s="416">
        <f>SUM(AC7:AC49)</f>
        <v>3500</v>
      </c>
      <c r="AD56" s="416"/>
      <c r="AE56" s="416"/>
      <c r="AF56" s="415">
        <f>SUM(AF7:AF49)</f>
        <v>200</v>
      </c>
      <c r="AG56" s="415">
        <f>SUM(AG7:AG37)</f>
        <v>33194</v>
      </c>
      <c r="AH56" s="415"/>
      <c r="AI56" s="415"/>
      <c r="AJ56" s="415"/>
      <c r="AK56" s="415"/>
      <c r="AL56" s="415"/>
      <c r="AM56" s="415"/>
      <c r="AN56" s="416"/>
      <c r="AO56" s="415"/>
      <c r="AP56" s="415"/>
      <c r="AQ56" s="415"/>
      <c r="AR56" s="75"/>
      <c r="AS56" s="75"/>
    </row>
    <row r="57" spans="1:45" ht="14.4" x14ac:dyDescent="0.3">
      <c r="A57" s="75"/>
      <c r="B57" s="422" t="s">
        <v>122</v>
      </c>
      <c r="C57" s="417">
        <f>AVERAGE(C7:C15)</f>
        <v>155.54116666666667</v>
      </c>
      <c r="D57" s="417"/>
      <c r="E57" s="417" t="e">
        <f>AVERAGE(E7:E15)</f>
        <v>#DIV/0!</v>
      </c>
      <c r="F57" s="419">
        <f>AVERAGE(F7:F49)</f>
        <v>0.87507857142857148</v>
      </c>
      <c r="G57" s="417">
        <f>AVERAGE(G7:G37)</f>
        <v>66.693856409165377</v>
      </c>
      <c r="H57" s="417">
        <f>AVERAGE(H8:H36)</f>
        <v>6.556655936349208E-2</v>
      </c>
      <c r="I57" s="417">
        <f>AVERAGE(I7:I15)</f>
        <v>9.1291666666666664</v>
      </c>
      <c r="J57" s="417"/>
      <c r="K57" s="420">
        <f>AVERAGE(K7:K17)</f>
        <v>0.6261904761904763</v>
      </c>
      <c r="L57" s="420">
        <f>AVERAGE(L8:L49)</f>
        <v>0.36390716374269005</v>
      </c>
      <c r="M57" s="420">
        <f>AVERAGE(M8:M36)</f>
        <v>1</v>
      </c>
      <c r="N57" s="420">
        <f>AVERAGE(N8:N45)</f>
        <v>0.35732821637426904</v>
      </c>
      <c r="O57" s="417" t="e">
        <f>AVERAGE(O8:O36)</f>
        <v>#DIV/0!</v>
      </c>
      <c r="P57" s="417" t="e">
        <f>AVERAGE(P8:P36)</f>
        <v>#DIV/0!</v>
      </c>
      <c r="Q57" s="417" t="e">
        <f>AVERAGE(Q8:Q36)</f>
        <v>#DIV/0!</v>
      </c>
      <c r="R57" s="417"/>
      <c r="S57" s="417"/>
      <c r="T57" s="417"/>
      <c r="U57" s="423"/>
      <c r="V57" s="417" t="e">
        <f t="shared" ref="V57:AC57" si="17">AVERAGE(V8:V36)</f>
        <v>#DIV/0!</v>
      </c>
      <c r="W57" s="417" t="e">
        <f t="shared" si="17"/>
        <v>#DIV/0!</v>
      </c>
      <c r="X57" s="417" t="e">
        <f t="shared" si="17"/>
        <v>#DIV/0!</v>
      </c>
      <c r="Y57" s="417" t="e">
        <f t="shared" si="17"/>
        <v>#DIV/0!</v>
      </c>
      <c r="Z57" s="418">
        <f t="shared" si="17"/>
        <v>128.44827586206895</v>
      </c>
      <c r="AA57" s="417">
        <f t="shared" si="17"/>
        <v>1060.8620689655172</v>
      </c>
      <c r="AB57" s="417">
        <f t="shared" si="17"/>
        <v>103.44827586206897</v>
      </c>
      <c r="AC57" s="418">
        <f t="shared" si="17"/>
        <v>120.68965517241379</v>
      </c>
      <c r="AD57" s="418"/>
      <c r="AE57" s="418"/>
      <c r="AF57" s="417">
        <f>AVERAGE(AF8:AF36)</f>
        <v>6.8965517241379306</v>
      </c>
      <c r="AG57" s="417"/>
      <c r="AH57" s="417"/>
      <c r="AI57" s="417"/>
      <c r="AJ57" s="417"/>
      <c r="AK57" s="417"/>
      <c r="AL57" s="417"/>
      <c r="AM57" s="417"/>
      <c r="AN57" s="417"/>
      <c r="AO57" s="417"/>
      <c r="AP57" s="417"/>
      <c r="AQ57" s="417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9" t="s">
        <v>202</v>
      </c>
      <c r="F59" s="398">
        <f>MEDIAN(F7:F49)</f>
        <v>0.77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9" t="s">
        <v>203</v>
      </c>
      <c r="F60" s="121">
        <f>MAX(F7:F17)</f>
        <v>1.45</v>
      </c>
      <c r="I60" s="76"/>
      <c r="J60" s="76"/>
      <c r="K60" s="77"/>
      <c r="L60" s="77"/>
      <c r="M60" s="77"/>
      <c r="W60" s="1107" t="s">
        <v>205</v>
      </c>
      <c r="X60" s="1107"/>
    </row>
    <row r="61" spans="1:45" ht="14.4" x14ac:dyDescent="0.3">
      <c r="C61" s="76"/>
      <c r="D61" s="77"/>
      <c r="E61" s="399" t="s">
        <v>204</v>
      </c>
      <c r="F61" s="121">
        <f>MIN(F7,F9:F19)</f>
        <v>0.442</v>
      </c>
      <c r="I61" s="76"/>
      <c r="J61" s="76"/>
      <c r="K61" s="77"/>
      <c r="L61" s="77"/>
      <c r="M61" s="77"/>
      <c r="W61" s="146" t="s">
        <v>206</v>
      </c>
      <c r="X61" s="147">
        <f>F59</f>
        <v>0.77</v>
      </c>
    </row>
    <row r="62" spans="1:45" ht="43.2" x14ac:dyDescent="0.3">
      <c r="C62" s="76"/>
      <c r="D62" s="77"/>
      <c r="E62" s="77"/>
      <c r="G62" s="380" t="s">
        <v>196</v>
      </c>
      <c r="I62" s="76"/>
      <c r="J62" s="76"/>
      <c r="K62" s="77"/>
      <c r="L62" s="77"/>
      <c r="M62" s="77"/>
      <c r="W62" s="146" t="s">
        <v>122</v>
      </c>
      <c r="X62" s="147">
        <f>F57</f>
        <v>0.87507857142857148</v>
      </c>
      <c r="AI62">
        <f>0.6*1.4</f>
        <v>0.84</v>
      </c>
    </row>
    <row r="63" spans="1:45" ht="43.2" x14ac:dyDescent="0.3">
      <c r="C63" s="76"/>
      <c r="D63" s="77"/>
      <c r="E63" s="145"/>
      <c r="F63" s="400" t="s">
        <v>418</v>
      </c>
      <c r="G63" s="401">
        <f>G56/D49</f>
        <v>0.60586740344221546</v>
      </c>
      <c r="I63" s="76"/>
      <c r="J63" s="76"/>
      <c r="K63" s="77"/>
      <c r="L63" s="77"/>
      <c r="M63" s="77"/>
      <c r="W63" s="146" t="s">
        <v>204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203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07" t="s">
        <v>207</v>
      </c>
      <c r="X66" s="1107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208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37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view="pageBreakPreview" zoomScale="74" zoomScaleNormal="44" workbookViewId="0">
      <pane ySplit="5" topLeftCell="A67" activePane="bottomLeft" state="frozen"/>
      <selection pane="bottomLeft" activeCell="N78" sqref="N78:N8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5" bestFit="1" customWidth="1"/>
    <col min="7" max="7" width="13.77734375" style="1" bestFit="1" customWidth="1"/>
    <col min="8" max="8" width="14.5546875" style="268" customWidth="1"/>
    <col min="9" max="9" width="10.44140625" style="270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5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38" t="s">
        <v>0</v>
      </c>
      <c r="C4" s="1139"/>
      <c r="D4" s="1139"/>
      <c r="E4" s="1139"/>
      <c r="F4" s="1139"/>
      <c r="G4" s="1139"/>
      <c r="H4" s="1139"/>
      <c r="I4" s="1139"/>
      <c r="J4" s="1139"/>
      <c r="K4" s="1139"/>
      <c r="L4" s="1139"/>
      <c r="M4" s="1139"/>
      <c r="N4" s="1139"/>
      <c r="O4" s="1140"/>
    </row>
    <row r="5" spans="2:27" ht="57.6" customHeight="1" thickBot="1" x14ac:dyDescent="0.35">
      <c r="B5" s="1143" t="s">
        <v>1</v>
      </c>
      <c r="C5" s="1144"/>
      <c r="D5" s="272" t="s">
        <v>290</v>
      </c>
      <c r="E5" s="339" t="s">
        <v>2</v>
      </c>
      <c r="F5" s="273" t="s">
        <v>3</v>
      </c>
      <c r="G5" s="274" t="s">
        <v>4</v>
      </c>
      <c r="H5" s="275" t="s">
        <v>5</v>
      </c>
      <c r="I5" s="276" t="s">
        <v>6</v>
      </c>
      <c r="J5" s="338" t="s">
        <v>7</v>
      </c>
      <c r="K5" s="338" t="s">
        <v>8</v>
      </c>
      <c r="L5" s="340" t="s">
        <v>9</v>
      </c>
      <c r="M5" s="338" t="s">
        <v>10</v>
      </c>
      <c r="N5" s="338" t="s">
        <v>11</v>
      </c>
      <c r="O5" s="341" t="s">
        <v>177</v>
      </c>
      <c r="S5" s="1145" t="s">
        <v>12</v>
      </c>
      <c r="T5" s="1146"/>
      <c r="W5" s="1114" t="s">
        <v>19</v>
      </c>
      <c r="X5" s="1114"/>
      <c r="Y5" s="1114"/>
      <c r="Z5" s="1114"/>
      <c r="AA5" s="1114"/>
    </row>
    <row r="6" spans="2:27" ht="13.95" customHeight="1" thickBot="1" x14ac:dyDescent="0.4">
      <c r="B6" s="1117">
        <v>46174</v>
      </c>
      <c r="C6" s="1118"/>
      <c r="D6" s="277" t="s">
        <v>13</v>
      </c>
      <c r="E6" s="278"/>
      <c r="F6" s="279"/>
      <c r="G6" s="280"/>
      <c r="H6" s="281"/>
      <c r="I6" s="282" t="str">
        <f>IFERROR((VLOOKUP(G6,S$6:T$8,2,FALSE)),"")</f>
        <v/>
      </c>
      <c r="J6" s="283"/>
      <c r="K6" s="284" t="str">
        <f>IFERROR((F6*I6*J6),"")</f>
        <v/>
      </c>
      <c r="L6" s="285" t="str">
        <f>IFERROR(((F6*I6)*J6)*(1-H6),"")</f>
        <v/>
      </c>
      <c r="M6" s="285" t="str">
        <f>IFERROR((K6/12),"")</f>
        <v/>
      </c>
      <c r="N6" s="1123">
        <f>SUM(L6:L7)</f>
        <v>0</v>
      </c>
      <c r="O6" s="286"/>
      <c r="P6" s="4"/>
      <c r="S6" s="256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119"/>
      <c r="C7" s="1120"/>
      <c r="D7" s="287" t="s">
        <v>14</v>
      </c>
      <c r="E7" s="288"/>
      <c r="F7" s="289"/>
      <c r="G7" s="290"/>
      <c r="H7" s="291"/>
      <c r="I7" s="282" t="str">
        <f t="shared" ref="I7" si="0">IFERROR((VLOOKUP(G7,S$6:T$8,2,FALSE)),"")</f>
        <v/>
      </c>
      <c r="J7" s="283"/>
      <c r="K7" s="284" t="str">
        <f>IFERROR((F7*I7*J7),"")</f>
        <v/>
      </c>
      <c r="L7" s="285" t="str">
        <f t="shared" ref="L7:L9" si="1">IFERROR(((F7*I7)*J7)*(1-H7),"")</f>
        <v/>
      </c>
      <c r="M7" s="285" t="str">
        <f t="shared" ref="M7:M9" si="2">IFERROR((K7/12),"")</f>
        <v/>
      </c>
      <c r="N7" s="1124"/>
      <c r="O7" s="286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32">
        <v>46175</v>
      </c>
      <c r="C8" s="1133"/>
      <c r="D8" s="342" t="s">
        <v>13</v>
      </c>
      <c r="E8" s="343" t="s">
        <v>170</v>
      </c>
      <c r="F8" s="344">
        <v>141</v>
      </c>
      <c r="G8" s="345" t="s">
        <v>435</v>
      </c>
      <c r="H8" s="346">
        <v>0.18</v>
      </c>
      <c r="I8" s="347">
        <f>IFERROR((VLOOKUP(G8,S$6:T$8,2,FALSE)),"")</f>
        <v>0.5</v>
      </c>
      <c r="J8" s="283">
        <v>1.35</v>
      </c>
      <c r="K8" s="348">
        <f t="shared" ref="K8:K61" si="3">IFERROR((F8*I8*J8),"")</f>
        <v>95.175000000000011</v>
      </c>
      <c r="L8" s="349">
        <f t="shared" si="1"/>
        <v>78.043500000000009</v>
      </c>
      <c r="M8" s="349">
        <f>IFERROR((K8/6),"")</f>
        <v>15.862500000000002</v>
      </c>
      <c r="N8" s="1136">
        <f>SUM(L8:L9)</f>
        <v>78.043500000000009</v>
      </c>
      <c r="O8" s="350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34"/>
      <c r="C9" s="1135"/>
      <c r="D9" s="351" t="s">
        <v>14</v>
      </c>
      <c r="E9" s="352"/>
      <c r="F9" s="353"/>
      <c r="G9" s="391"/>
      <c r="H9" s="354"/>
      <c r="I9" s="355" t="str">
        <f t="shared" ref="I9:I103" si="4">IFERROR((VLOOKUP(G9,S$6:T$8,2,FALSE)),"")</f>
        <v/>
      </c>
      <c r="J9" s="283"/>
      <c r="K9" s="348" t="str">
        <f t="shared" si="3"/>
        <v/>
      </c>
      <c r="L9" s="349" t="str">
        <f t="shared" si="1"/>
        <v/>
      </c>
      <c r="M9" s="349" t="str">
        <f t="shared" si="2"/>
        <v/>
      </c>
      <c r="N9" s="1137"/>
      <c r="O9" s="357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17">
        <v>46176</v>
      </c>
      <c r="C10" s="1118"/>
      <c r="D10" s="277" t="s">
        <v>13</v>
      </c>
      <c r="E10" s="278" t="s">
        <v>170</v>
      </c>
      <c r="F10" s="279">
        <v>32</v>
      </c>
      <c r="G10" s="395" t="s">
        <v>435</v>
      </c>
      <c r="H10" s="281">
        <v>0.18</v>
      </c>
      <c r="I10" s="282">
        <f t="shared" si="4"/>
        <v>0.5</v>
      </c>
      <c r="J10" s="283">
        <v>1.35</v>
      </c>
      <c r="K10" s="284">
        <f t="shared" si="3"/>
        <v>21.6</v>
      </c>
      <c r="L10" s="285">
        <f t="shared" ref="L10:L61" si="5">IFERROR(((F10*I10)*J10)*(1-H10),"")</f>
        <v>17.712000000000003</v>
      </c>
      <c r="M10" s="285">
        <f t="shared" ref="M10:M61" si="6">IFERROR((K10/12),"")</f>
        <v>1.8</v>
      </c>
      <c r="N10" s="1129">
        <f>SUM(L10:L11)</f>
        <v>17.712000000000003</v>
      </c>
      <c r="O10" s="295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19"/>
      <c r="C11" s="1120"/>
      <c r="D11" s="287" t="s">
        <v>14</v>
      </c>
      <c r="E11" s="288"/>
      <c r="F11" s="292"/>
      <c r="G11" s="394"/>
      <c r="H11" s="291"/>
      <c r="I11" s="293" t="str">
        <f t="shared" si="4"/>
        <v/>
      </c>
      <c r="J11" s="283"/>
      <c r="K11" s="284" t="str">
        <f t="shared" si="3"/>
        <v/>
      </c>
      <c r="L11" s="296" t="str">
        <f t="shared" si="5"/>
        <v/>
      </c>
      <c r="M11" s="297" t="str">
        <f t="shared" si="6"/>
        <v/>
      </c>
      <c r="N11" s="1130"/>
      <c r="O11" s="298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32">
        <v>46177</v>
      </c>
      <c r="C12" s="1133"/>
      <c r="D12" s="342" t="s">
        <v>13</v>
      </c>
      <c r="E12" s="343" t="s">
        <v>173</v>
      </c>
      <c r="F12" s="344">
        <v>282</v>
      </c>
      <c r="G12" s="345" t="s">
        <v>435</v>
      </c>
      <c r="H12" s="346">
        <v>0.17</v>
      </c>
      <c r="I12" s="347">
        <f t="shared" si="4"/>
        <v>0.5</v>
      </c>
      <c r="J12" s="283">
        <v>1.35</v>
      </c>
      <c r="K12" s="348">
        <f t="shared" si="3"/>
        <v>190.35000000000002</v>
      </c>
      <c r="L12" s="349">
        <f t="shared" si="5"/>
        <v>157.9905</v>
      </c>
      <c r="M12" s="349">
        <f t="shared" si="6"/>
        <v>15.862500000000002</v>
      </c>
      <c r="N12" s="1136">
        <f t="shared" ref="N12" si="8">SUM(L12:L13)</f>
        <v>157.9905</v>
      </c>
      <c r="O12" s="350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34"/>
      <c r="C13" s="1135"/>
      <c r="D13" s="351" t="s">
        <v>14</v>
      </c>
      <c r="E13" s="352"/>
      <c r="F13" s="353"/>
      <c r="G13" s="393"/>
      <c r="H13" s="354"/>
      <c r="I13" s="355" t="str">
        <f t="shared" si="4"/>
        <v/>
      </c>
      <c r="J13" s="283"/>
      <c r="K13" s="348" t="str">
        <f t="shared" si="3"/>
        <v/>
      </c>
      <c r="L13" s="356" t="str">
        <f t="shared" si="5"/>
        <v/>
      </c>
      <c r="M13" s="358" t="str">
        <f t="shared" si="6"/>
        <v/>
      </c>
      <c r="N13" s="1137"/>
      <c r="O13" s="350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17">
        <v>46252</v>
      </c>
      <c r="C14" s="1118"/>
      <c r="D14" s="277" t="s">
        <v>13</v>
      </c>
      <c r="E14" s="278" t="s">
        <v>200</v>
      </c>
      <c r="F14" s="279">
        <v>62</v>
      </c>
      <c r="G14" s="395" t="s">
        <v>435</v>
      </c>
      <c r="H14" s="281">
        <v>0.12</v>
      </c>
      <c r="I14" s="282">
        <f t="shared" si="4"/>
        <v>0.5</v>
      </c>
      <c r="J14" s="283">
        <v>1.39</v>
      </c>
      <c r="K14" s="284">
        <f>IFERROR((F14*I14*J14),"")</f>
        <v>43.089999999999996</v>
      </c>
      <c r="L14" s="285">
        <f t="shared" si="5"/>
        <v>37.919199999999996</v>
      </c>
      <c r="M14" s="285">
        <f>IFERROR((K14/12),"")</f>
        <v>3.5908333333333329</v>
      </c>
      <c r="N14" s="1129">
        <f t="shared" ref="N14" si="9">SUM(L14:L15)</f>
        <v>37.919199999999996</v>
      </c>
      <c r="O14" s="286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19"/>
      <c r="C15" s="1120"/>
      <c r="D15" s="287" t="s">
        <v>14</v>
      </c>
      <c r="E15" s="299"/>
      <c r="F15" s="292"/>
      <c r="G15" s="394"/>
      <c r="H15" s="291"/>
      <c r="I15" s="293" t="str">
        <f t="shared" si="4"/>
        <v/>
      </c>
      <c r="J15" s="283"/>
      <c r="K15" s="300" t="str">
        <f t="shared" si="3"/>
        <v/>
      </c>
      <c r="L15" s="296" t="str">
        <f t="shared" si="5"/>
        <v/>
      </c>
      <c r="M15" s="297" t="str">
        <f t="shared" si="6"/>
        <v/>
      </c>
      <c r="N15" s="1130"/>
      <c r="O15" s="286"/>
    </row>
    <row r="16" spans="2:27" ht="18.600000000000001" thickBot="1" x14ac:dyDescent="0.4">
      <c r="B16" s="1132">
        <v>46253</v>
      </c>
      <c r="C16" s="1133"/>
      <c r="D16" s="342" t="s">
        <v>13</v>
      </c>
      <c r="E16" s="343" t="s">
        <v>200</v>
      </c>
      <c r="F16" s="344">
        <v>463</v>
      </c>
      <c r="G16" s="345" t="s">
        <v>435</v>
      </c>
      <c r="H16" s="346">
        <v>0.12</v>
      </c>
      <c r="I16" s="347">
        <f t="shared" si="4"/>
        <v>0.5</v>
      </c>
      <c r="J16" s="283">
        <v>1.39</v>
      </c>
      <c r="K16" s="348">
        <f t="shared" si="3"/>
        <v>321.78499999999997</v>
      </c>
      <c r="L16" s="349">
        <f>IFERROR(((F16*I16)*J16)*(1-H16),"")</f>
        <v>283.17079999999999</v>
      </c>
      <c r="M16" s="349">
        <f t="shared" si="6"/>
        <v>26.815416666666664</v>
      </c>
      <c r="N16" s="1136">
        <f>SUM(L16:L17)</f>
        <v>283.17079999999999</v>
      </c>
      <c r="O16" s="350" t="s">
        <v>411</v>
      </c>
      <c r="S16" s="1">
        <f>S14/1.4</f>
        <v>45.714285714285715</v>
      </c>
    </row>
    <row r="17" spans="2:23" ht="18.600000000000001" thickBot="1" x14ac:dyDescent="0.4">
      <c r="B17" s="1134"/>
      <c r="C17" s="1135"/>
      <c r="D17" s="351" t="s">
        <v>14</v>
      </c>
      <c r="E17" s="359"/>
      <c r="F17" s="353"/>
      <c r="G17" s="393"/>
      <c r="H17" s="354"/>
      <c r="I17" s="355" t="str">
        <f t="shared" si="4"/>
        <v/>
      </c>
      <c r="J17" s="283"/>
      <c r="K17" s="360" t="str">
        <f t="shared" si="3"/>
        <v/>
      </c>
      <c r="L17" s="356" t="str">
        <f t="shared" si="5"/>
        <v/>
      </c>
      <c r="M17" s="358" t="str">
        <f t="shared" si="6"/>
        <v/>
      </c>
      <c r="N17" s="1137"/>
      <c r="O17" s="350" t="s">
        <v>390</v>
      </c>
    </row>
    <row r="18" spans="2:23" ht="18.600000000000001" thickBot="1" x14ac:dyDescent="0.4">
      <c r="B18" s="1117">
        <v>46254</v>
      </c>
      <c r="C18" s="1118"/>
      <c r="D18" s="277" t="s">
        <v>13</v>
      </c>
      <c r="E18" s="278" t="s">
        <v>200</v>
      </c>
      <c r="F18" s="279">
        <v>539</v>
      </c>
      <c r="G18" s="395" t="s">
        <v>435</v>
      </c>
      <c r="H18" s="281">
        <v>0.1</v>
      </c>
      <c r="I18" s="282">
        <f>IFERROR((VLOOKUP(G18,S$6:T$8,2,FALSE)),"")</f>
        <v>0.5</v>
      </c>
      <c r="J18" s="283">
        <v>1.39</v>
      </c>
      <c r="K18" s="284">
        <f t="shared" si="3"/>
        <v>374.60499999999996</v>
      </c>
      <c r="L18" s="285">
        <f>IFERROR(((F18*I18)*J18)*(1-H18),"")</f>
        <v>337.14449999999999</v>
      </c>
      <c r="M18" s="285">
        <f>IFERROR((K18/12),"")</f>
        <v>31.217083333333331</v>
      </c>
      <c r="N18" s="1129">
        <f>SUM(L18:L19)-V20</f>
        <v>337.14449999999999</v>
      </c>
      <c r="O18" s="286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119"/>
      <c r="C19" s="1120"/>
      <c r="D19" s="301" t="s">
        <v>14</v>
      </c>
      <c r="E19" s="302"/>
      <c r="F19" s="303"/>
      <c r="G19" s="392"/>
      <c r="H19" s="305"/>
      <c r="I19" s="306" t="str">
        <f t="shared" si="4"/>
        <v/>
      </c>
      <c r="J19" s="283"/>
      <c r="K19" s="307" t="str">
        <f t="shared" si="3"/>
        <v/>
      </c>
      <c r="L19" s="308" t="str">
        <f t="shared" si="5"/>
        <v/>
      </c>
      <c r="M19" s="309" t="str">
        <f t="shared" si="6"/>
        <v/>
      </c>
      <c r="N19" s="1131"/>
      <c r="O19" s="286" t="s">
        <v>412</v>
      </c>
      <c r="T19" s="110"/>
    </row>
    <row r="20" spans="2:23" ht="18.600000000000001" thickBot="1" x14ac:dyDescent="0.4">
      <c r="B20" s="1117">
        <v>46255</v>
      </c>
      <c r="C20" s="1118"/>
      <c r="D20" s="277" t="s">
        <v>13</v>
      </c>
      <c r="E20" s="278" t="s">
        <v>200</v>
      </c>
      <c r="F20" s="279">
        <v>409</v>
      </c>
      <c r="G20" s="395" t="s">
        <v>435</v>
      </c>
      <c r="H20" s="281">
        <v>0.1</v>
      </c>
      <c r="I20" s="282">
        <f>IFERROR((VLOOKUP(G20,S$6:T$8,2,FALSE)),"")</f>
        <v>0.5</v>
      </c>
      <c r="J20" s="283">
        <v>1.39</v>
      </c>
      <c r="K20" s="284">
        <f t="shared" ref="K20:K21" si="10">IFERROR((F20*I20*J20),"")</f>
        <v>284.255</v>
      </c>
      <c r="L20" s="285">
        <f>IFERROR(((F20*I20)*J20)*(1-H20),"")</f>
        <v>255.8295</v>
      </c>
      <c r="M20" s="285">
        <f>IFERROR(((K20+K21)/12),"")</f>
        <v>26.931250000000002</v>
      </c>
      <c r="N20" s="1129">
        <f>SUM(L20:L21)</f>
        <v>290.85750000000002</v>
      </c>
      <c r="O20" s="286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19"/>
      <c r="C21" s="1120"/>
      <c r="D21" s="301" t="s">
        <v>14</v>
      </c>
      <c r="E21" s="302"/>
      <c r="F21" s="303">
        <v>10</v>
      </c>
      <c r="G21" s="304" t="s">
        <v>16</v>
      </c>
      <c r="H21" s="305">
        <v>0.1</v>
      </c>
      <c r="I21" s="306">
        <f t="shared" ref="I21" si="11">IFERROR((VLOOKUP(G21,S$6:T$8,2,FALSE)),"")</f>
        <v>2.8</v>
      </c>
      <c r="J21" s="283">
        <v>1.39</v>
      </c>
      <c r="K21" s="307">
        <f t="shared" si="10"/>
        <v>38.919999999999995</v>
      </c>
      <c r="L21" s="308">
        <f t="shared" ref="L21" si="12">IFERROR(((F21*I21)*J21)*(1-H21),"")</f>
        <v>35.027999999999999</v>
      </c>
      <c r="M21" s="309"/>
      <c r="N21" s="1131"/>
      <c r="O21" s="286"/>
      <c r="S21" s="2"/>
      <c r="T21" s="111"/>
    </row>
    <row r="22" spans="2:23" ht="18.600000000000001" thickBot="1" x14ac:dyDescent="0.4">
      <c r="B22" s="1117">
        <v>46256</v>
      </c>
      <c r="C22" s="1118"/>
      <c r="D22" s="277" t="s">
        <v>13</v>
      </c>
      <c r="E22" s="278" t="s">
        <v>200</v>
      </c>
      <c r="F22" s="279">
        <v>315</v>
      </c>
      <c r="G22" s="280" t="s">
        <v>435</v>
      </c>
      <c r="H22" s="281">
        <v>0.1</v>
      </c>
      <c r="I22" s="282">
        <f>IFERROR((VLOOKUP(G22,S$6:T$8,2,FALSE)),"")</f>
        <v>0.5</v>
      </c>
      <c r="J22" s="283">
        <v>1.39</v>
      </c>
      <c r="K22" s="284">
        <f t="shared" si="3"/>
        <v>218.92499999999998</v>
      </c>
      <c r="L22" s="285">
        <f t="shared" si="5"/>
        <v>197.0325</v>
      </c>
      <c r="M22" s="310">
        <f t="shared" si="6"/>
        <v>18.243749999999999</v>
      </c>
      <c r="N22" s="1129">
        <f>SUM(L22:L23)-V24</f>
        <v>197.0325</v>
      </c>
      <c r="O22" s="294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19"/>
      <c r="C23" s="1120"/>
      <c r="D23" s="287" t="s">
        <v>14</v>
      </c>
      <c r="E23" s="299"/>
      <c r="F23" s="292"/>
      <c r="G23" s="290"/>
      <c r="H23" s="291"/>
      <c r="I23" s="293" t="str">
        <f t="shared" si="4"/>
        <v/>
      </c>
      <c r="J23" s="283"/>
      <c r="K23" s="300" t="str">
        <f t="shared" si="3"/>
        <v/>
      </c>
      <c r="L23" s="296" t="str">
        <f t="shared" si="5"/>
        <v/>
      </c>
      <c r="M23" s="311" t="str">
        <f t="shared" si="6"/>
        <v/>
      </c>
      <c r="N23" s="1130"/>
      <c r="O23" s="286"/>
      <c r="P23" s="9"/>
      <c r="T23" s="110"/>
    </row>
    <row r="24" spans="2:23" ht="18.600000000000001" thickBot="1" x14ac:dyDescent="0.4">
      <c r="B24" s="1117">
        <v>46257</v>
      </c>
      <c r="C24" s="1118"/>
      <c r="D24" s="277" t="s">
        <v>13</v>
      </c>
      <c r="E24" s="278"/>
      <c r="F24" s="279"/>
      <c r="G24" s="280"/>
      <c r="H24" s="281"/>
      <c r="I24" s="282" t="str">
        <f t="shared" si="4"/>
        <v/>
      </c>
      <c r="J24" s="283"/>
      <c r="K24" s="284" t="str">
        <f t="shared" si="3"/>
        <v/>
      </c>
      <c r="L24" s="285" t="str">
        <f t="shared" si="5"/>
        <v/>
      </c>
      <c r="M24" s="285" t="str">
        <f t="shared" si="6"/>
        <v/>
      </c>
      <c r="N24" s="1129">
        <f>SUM(L24:L25)-V26</f>
        <v>0</v>
      </c>
      <c r="O24" s="286"/>
    </row>
    <row r="25" spans="2:23" ht="18.600000000000001" thickBot="1" x14ac:dyDescent="0.4">
      <c r="B25" s="1119"/>
      <c r="C25" s="1120"/>
      <c r="D25" s="287" t="s">
        <v>14</v>
      </c>
      <c r="E25" s="299"/>
      <c r="F25" s="292"/>
      <c r="G25" s="290"/>
      <c r="H25" s="281"/>
      <c r="I25" s="293" t="str">
        <f t="shared" si="4"/>
        <v/>
      </c>
      <c r="J25" s="283"/>
      <c r="K25" s="300" t="str">
        <f t="shared" si="3"/>
        <v/>
      </c>
      <c r="L25" s="296" t="str">
        <f t="shared" si="5"/>
        <v/>
      </c>
      <c r="M25" s="297" t="str">
        <f t="shared" si="6"/>
        <v/>
      </c>
      <c r="N25" s="1130"/>
      <c r="O25" s="286"/>
      <c r="T25" s="3"/>
    </row>
    <row r="26" spans="2:23" ht="18.600000000000001" thickBot="1" x14ac:dyDescent="0.4">
      <c r="B26" s="1117">
        <v>46258</v>
      </c>
      <c r="C26" s="1118"/>
      <c r="D26" s="277" t="s">
        <v>13</v>
      </c>
      <c r="E26" s="278" t="s">
        <v>200</v>
      </c>
      <c r="F26" s="279">
        <v>234</v>
      </c>
      <c r="G26" s="280" t="s">
        <v>435</v>
      </c>
      <c r="H26" s="281">
        <v>0.1</v>
      </c>
      <c r="I26" s="282">
        <f t="shared" si="4"/>
        <v>0.5</v>
      </c>
      <c r="J26" s="283">
        <v>1.39</v>
      </c>
      <c r="K26" s="284">
        <f t="shared" si="3"/>
        <v>162.63</v>
      </c>
      <c r="L26" s="285">
        <f t="shared" si="5"/>
        <v>146.36699999999999</v>
      </c>
      <c r="M26" s="285">
        <f t="shared" si="6"/>
        <v>13.5525</v>
      </c>
      <c r="N26" s="1129">
        <f>SUM(L26:L27)-V28</f>
        <v>163.881</v>
      </c>
      <c r="O26" s="286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19"/>
      <c r="C27" s="1120"/>
      <c r="D27" s="287" t="s">
        <v>14</v>
      </c>
      <c r="E27" s="299" t="s">
        <v>170</v>
      </c>
      <c r="F27" s="292">
        <v>5</v>
      </c>
      <c r="G27" s="290" t="s">
        <v>16</v>
      </c>
      <c r="H27" s="291">
        <v>0.1</v>
      </c>
      <c r="I27" s="293">
        <f t="shared" si="4"/>
        <v>2.8</v>
      </c>
      <c r="J27" s="283">
        <v>1.39</v>
      </c>
      <c r="K27" s="312">
        <f t="shared" si="3"/>
        <v>19.459999999999997</v>
      </c>
      <c r="L27" s="296">
        <f t="shared" si="5"/>
        <v>17.513999999999999</v>
      </c>
      <c r="M27" s="297">
        <f t="shared" si="6"/>
        <v>1.6216666666666664</v>
      </c>
      <c r="N27" s="1130"/>
      <c r="O27" s="286"/>
    </row>
    <row r="28" spans="2:23" ht="18.600000000000001" thickBot="1" x14ac:dyDescent="0.4">
      <c r="B28" s="1117">
        <v>46259</v>
      </c>
      <c r="C28" s="1118"/>
      <c r="D28" s="277" t="s">
        <v>13</v>
      </c>
      <c r="E28" s="278"/>
      <c r="F28" s="279"/>
      <c r="G28" s="280"/>
      <c r="H28" s="281"/>
      <c r="I28" s="282" t="str">
        <f t="shared" si="4"/>
        <v/>
      </c>
      <c r="J28" s="283"/>
      <c r="K28" s="284" t="str">
        <f t="shared" si="3"/>
        <v/>
      </c>
      <c r="L28" s="285" t="str">
        <f>IFERROR(((F28*I28)*J28)*(1-H28),"")</f>
        <v/>
      </c>
      <c r="M28" s="285" t="str">
        <f t="shared" si="6"/>
        <v/>
      </c>
      <c r="N28" s="1123">
        <f>SUM(L28:L29)</f>
        <v>0</v>
      </c>
      <c r="O28" s="286"/>
    </row>
    <row r="29" spans="2:23" ht="18.600000000000001" thickBot="1" x14ac:dyDescent="0.4">
      <c r="B29" s="1119"/>
      <c r="C29" s="1120"/>
      <c r="D29" s="287" t="s">
        <v>14</v>
      </c>
      <c r="E29" s="299"/>
      <c r="F29" s="292"/>
      <c r="G29" s="290"/>
      <c r="H29" s="291"/>
      <c r="I29" s="282" t="str">
        <f t="shared" si="4"/>
        <v/>
      </c>
      <c r="J29" s="283"/>
      <c r="K29" s="284" t="str">
        <f t="shared" si="3"/>
        <v/>
      </c>
      <c r="L29" s="296" t="str">
        <f t="shared" si="5"/>
        <v/>
      </c>
      <c r="M29" s="297" t="str">
        <f t="shared" si="6"/>
        <v/>
      </c>
      <c r="N29" s="1124"/>
      <c r="O29" s="286"/>
      <c r="P29" s="9"/>
    </row>
    <row r="30" spans="2:23" ht="18.600000000000001" thickBot="1" x14ac:dyDescent="0.4">
      <c r="B30" s="1117">
        <v>46260</v>
      </c>
      <c r="C30" s="1118"/>
      <c r="D30" s="277" t="s">
        <v>13</v>
      </c>
      <c r="E30" s="278"/>
      <c r="F30" s="279"/>
      <c r="G30" s="280"/>
      <c r="H30" s="281"/>
      <c r="I30" s="282" t="str">
        <f t="shared" si="4"/>
        <v/>
      </c>
      <c r="J30" s="283"/>
      <c r="K30" s="284" t="str">
        <f t="shared" si="3"/>
        <v/>
      </c>
      <c r="L30" s="285" t="str">
        <f t="shared" si="5"/>
        <v/>
      </c>
      <c r="M30" s="285" t="str">
        <f t="shared" si="6"/>
        <v/>
      </c>
      <c r="N30" s="1123">
        <f t="shared" ref="N30" si="13">SUM(L30:L31)</f>
        <v>0</v>
      </c>
      <c r="O30" s="286"/>
    </row>
    <row r="31" spans="2:23" ht="18.600000000000001" thickBot="1" x14ac:dyDescent="0.4">
      <c r="B31" s="1119"/>
      <c r="C31" s="1120"/>
      <c r="D31" s="287" t="s">
        <v>14</v>
      </c>
      <c r="E31" s="299"/>
      <c r="F31" s="292"/>
      <c r="G31" s="290"/>
      <c r="H31" s="291"/>
      <c r="I31" s="282" t="str">
        <f t="shared" si="4"/>
        <v/>
      </c>
      <c r="J31" s="283"/>
      <c r="K31" s="284" t="str">
        <f t="shared" si="3"/>
        <v/>
      </c>
      <c r="L31" s="296" t="str">
        <f t="shared" si="5"/>
        <v/>
      </c>
      <c r="M31" s="297" t="str">
        <f t="shared" si="6"/>
        <v/>
      </c>
      <c r="N31" s="1124"/>
      <c r="O31" s="286"/>
    </row>
    <row r="32" spans="2:23" ht="54.6" thickBot="1" x14ac:dyDescent="0.4">
      <c r="B32" s="1117">
        <v>46261</v>
      </c>
      <c r="C32" s="1118"/>
      <c r="D32" s="277" t="s">
        <v>13</v>
      </c>
      <c r="E32" s="278" t="s">
        <v>423</v>
      </c>
      <c r="F32" s="279">
        <v>202</v>
      </c>
      <c r="G32" s="280" t="s">
        <v>435</v>
      </c>
      <c r="H32" s="281">
        <v>0.11</v>
      </c>
      <c r="I32" s="282">
        <f t="shared" si="4"/>
        <v>0.5</v>
      </c>
      <c r="J32" s="283">
        <v>1.39</v>
      </c>
      <c r="K32" s="284">
        <f t="shared" si="3"/>
        <v>140.38999999999999</v>
      </c>
      <c r="L32" s="285">
        <f t="shared" si="5"/>
        <v>124.94709999999999</v>
      </c>
      <c r="M32" s="285">
        <f t="shared" si="6"/>
        <v>11.699166666666665</v>
      </c>
      <c r="N32" s="1123">
        <f>SUM(L32:L33)</f>
        <v>124.94709999999999</v>
      </c>
      <c r="O32" s="387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19"/>
      <c r="C33" s="1120"/>
      <c r="D33" s="287" t="s">
        <v>14</v>
      </c>
      <c r="E33" s="299"/>
      <c r="F33" s="292"/>
      <c r="G33" s="290"/>
      <c r="H33" s="291"/>
      <c r="I33" s="282" t="str">
        <f t="shared" si="4"/>
        <v/>
      </c>
      <c r="J33" s="283"/>
      <c r="K33" s="284" t="str">
        <f t="shared" si="3"/>
        <v/>
      </c>
      <c r="L33" s="296" t="str">
        <f t="shared" si="5"/>
        <v/>
      </c>
      <c r="M33" s="297" t="str">
        <f t="shared" si="6"/>
        <v/>
      </c>
      <c r="N33" s="1124"/>
      <c r="O33" s="286"/>
    </row>
    <row r="34" spans="2:24" ht="18.600000000000001" thickBot="1" x14ac:dyDescent="0.4">
      <c r="B34" s="1117">
        <v>46262</v>
      </c>
      <c r="C34" s="1118"/>
      <c r="D34" s="277" t="s">
        <v>13</v>
      </c>
      <c r="E34" s="278" t="s">
        <v>170</v>
      </c>
      <c r="F34" s="279">
        <v>290</v>
      </c>
      <c r="G34" s="280" t="s">
        <v>435</v>
      </c>
      <c r="H34" s="281">
        <v>0.11</v>
      </c>
      <c r="I34" s="282">
        <f t="shared" si="4"/>
        <v>0.5</v>
      </c>
      <c r="J34" s="283">
        <v>1.3</v>
      </c>
      <c r="K34" s="284">
        <f t="shared" si="3"/>
        <v>188.5</v>
      </c>
      <c r="L34" s="285">
        <f t="shared" si="5"/>
        <v>167.76500000000001</v>
      </c>
      <c r="M34" s="285">
        <f t="shared" si="6"/>
        <v>15.708333333333334</v>
      </c>
      <c r="N34" s="1123">
        <f>SUM(L34:L35)</f>
        <v>167.76500000000001</v>
      </c>
      <c r="O34" s="286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19"/>
      <c r="C35" s="1120"/>
      <c r="D35" s="287" t="s">
        <v>14</v>
      </c>
      <c r="E35" s="299"/>
      <c r="F35" s="292"/>
      <c r="G35" s="290"/>
      <c r="H35" s="291"/>
      <c r="I35" s="282" t="str">
        <f t="shared" si="4"/>
        <v/>
      </c>
      <c r="J35" s="283"/>
      <c r="K35" s="284" t="str">
        <f t="shared" si="3"/>
        <v/>
      </c>
      <c r="L35" s="296" t="str">
        <f>IFERROR(((F35*I35)*J35)*(1-H35),"")</f>
        <v/>
      </c>
      <c r="M35" s="297" t="str">
        <f t="shared" si="6"/>
        <v/>
      </c>
      <c r="N35" s="1124"/>
      <c r="O35" s="286"/>
    </row>
    <row r="36" spans="2:24" ht="18.600000000000001" thickBot="1" x14ac:dyDescent="0.35">
      <c r="B36" s="1117">
        <v>46263</v>
      </c>
      <c r="C36" s="1118"/>
      <c r="D36" s="277" t="s">
        <v>13</v>
      </c>
      <c r="E36" s="278" t="s">
        <v>170</v>
      </c>
      <c r="F36" s="279">
        <v>411</v>
      </c>
      <c r="G36" s="280" t="s">
        <v>435</v>
      </c>
      <c r="H36" s="281">
        <v>0.1</v>
      </c>
      <c r="I36" s="282">
        <f t="shared" si="4"/>
        <v>0.5</v>
      </c>
      <c r="J36" s="283">
        <v>1.3</v>
      </c>
      <c r="K36" s="284">
        <f t="shared" si="3"/>
        <v>267.15000000000003</v>
      </c>
      <c r="L36" s="285">
        <f t="shared" si="5"/>
        <v>240.43500000000003</v>
      </c>
      <c r="M36" s="285">
        <f t="shared" ref="M36:M37" si="14">IFERROR((K36/12),"")</f>
        <v>22.262500000000003</v>
      </c>
      <c r="N36" s="1123">
        <f>SUM(L36:L37)</f>
        <v>240.43500000000003</v>
      </c>
      <c r="O36" s="1115" t="str">
        <f>'Crushing Down Time Hours'!G17</f>
        <v>istirahat jam 12-13, 14:00-15:00 ada loading material dari mining</v>
      </c>
    </row>
    <row r="37" spans="2:24" ht="18.600000000000001" thickBot="1" x14ac:dyDescent="0.35">
      <c r="B37" s="1119"/>
      <c r="C37" s="1120"/>
      <c r="D37" s="287" t="s">
        <v>14</v>
      </c>
      <c r="E37" s="299"/>
      <c r="F37" s="292"/>
      <c r="G37" s="290"/>
      <c r="H37" s="291"/>
      <c r="I37" s="282" t="str">
        <f t="shared" si="4"/>
        <v/>
      </c>
      <c r="J37" s="283"/>
      <c r="K37" s="284" t="str">
        <f t="shared" si="3"/>
        <v/>
      </c>
      <c r="L37" s="296" t="str">
        <f t="shared" si="5"/>
        <v/>
      </c>
      <c r="M37" s="297" t="str">
        <f t="shared" si="14"/>
        <v/>
      </c>
      <c r="N37" s="1124"/>
      <c r="O37" s="1116"/>
    </row>
    <row r="38" spans="2:24" ht="18.600000000000001" thickBot="1" x14ac:dyDescent="0.4">
      <c r="B38" s="1117">
        <v>46264</v>
      </c>
      <c r="C38" s="1118"/>
      <c r="D38" s="277" t="s">
        <v>13</v>
      </c>
      <c r="E38" s="278" t="s">
        <v>170</v>
      </c>
      <c r="F38" s="279">
        <v>92</v>
      </c>
      <c r="G38" s="280" t="s">
        <v>435</v>
      </c>
      <c r="H38" s="281">
        <v>0.1</v>
      </c>
      <c r="I38" s="282">
        <f t="shared" si="4"/>
        <v>0.5</v>
      </c>
      <c r="J38" s="283">
        <v>1.3</v>
      </c>
      <c r="K38" s="284">
        <f t="shared" si="3"/>
        <v>59.800000000000004</v>
      </c>
      <c r="L38" s="285">
        <f t="shared" si="5"/>
        <v>53.820000000000007</v>
      </c>
      <c r="M38" s="285">
        <f t="shared" si="6"/>
        <v>4.9833333333333334</v>
      </c>
      <c r="N38" s="1123">
        <f t="shared" ref="N38" si="15">SUM(L38:L39)</f>
        <v>53.820000000000007</v>
      </c>
      <c r="O38" s="286"/>
      <c r="Q38" s="4"/>
    </row>
    <row r="39" spans="2:24" ht="18.600000000000001" thickBot="1" x14ac:dyDescent="0.4">
      <c r="B39" s="1119"/>
      <c r="C39" s="1120"/>
      <c r="D39" s="287" t="s">
        <v>14</v>
      </c>
      <c r="E39" s="299"/>
      <c r="F39" s="292"/>
      <c r="G39" s="290"/>
      <c r="H39" s="291"/>
      <c r="I39" s="282" t="str">
        <f t="shared" si="4"/>
        <v/>
      </c>
      <c r="J39" s="283"/>
      <c r="K39" s="284" t="str">
        <f t="shared" si="3"/>
        <v/>
      </c>
      <c r="L39" s="296" t="str">
        <f t="shared" si="5"/>
        <v/>
      </c>
      <c r="M39" s="297" t="str">
        <f t="shared" si="6"/>
        <v/>
      </c>
      <c r="N39" s="1124"/>
      <c r="O39" s="286"/>
    </row>
    <row r="40" spans="2:24" ht="18.600000000000001" thickBot="1" x14ac:dyDescent="0.4">
      <c r="B40" s="1117">
        <v>46265</v>
      </c>
      <c r="C40" s="1118"/>
      <c r="D40" s="277" t="s">
        <v>13</v>
      </c>
      <c r="E40" s="278"/>
      <c r="F40" s="279"/>
      <c r="G40" s="280"/>
      <c r="H40" s="281"/>
      <c r="I40" s="282" t="str">
        <f t="shared" si="4"/>
        <v/>
      </c>
      <c r="J40" s="283"/>
      <c r="K40" s="284" t="str">
        <f t="shared" si="3"/>
        <v/>
      </c>
      <c r="L40" s="285" t="str">
        <f>IFERROR(((F40*I40)*J40)*(1-H40),"")</f>
        <v/>
      </c>
      <c r="M40" s="285" t="str">
        <f t="shared" si="6"/>
        <v/>
      </c>
      <c r="N40" s="1123">
        <f>SUM(L40:L41)</f>
        <v>0</v>
      </c>
      <c r="O40" s="286"/>
    </row>
    <row r="41" spans="2:24" ht="18.600000000000001" thickBot="1" x14ac:dyDescent="0.4">
      <c r="B41" s="1119"/>
      <c r="C41" s="1120"/>
      <c r="D41" s="287" t="s">
        <v>14</v>
      </c>
      <c r="E41" s="299"/>
      <c r="F41" s="292"/>
      <c r="G41" s="290"/>
      <c r="H41" s="291"/>
      <c r="I41" s="282" t="str">
        <f t="shared" si="4"/>
        <v/>
      </c>
      <c r="J41" s="283"/>
      <c r="K41" s="284" t="str">
        <f t="shared" si="3"/>
        <v/>
      </c>
      <c r="L41" s="296" t="str">
        <f t="shared" si="5"/>
        <v/>
      </c>
      <c r="M41" s="297" t="str">
        <f t="shared" si="6"/>
        <v/>
      </c>
      <c r="N41" s="1124"/>
      <c r="O41" s="286"/>
    </row>
    <row r="42" spans="2:24" ht="18.600000000000001" thickBot="1" x14ac:dyDescent="0.4">
      <c r="B42" s="1117">
        <v>46266</v>
      </c>
      <c r="C42" s="1118"/>
      <c r="D42" s="277" t="s">
        <v>13</v>
      </c>
      <c r="E42" s="313"/>
      <c r="F42" s="314"/>
      <c r="G42" s="315"/>
      <c r="H42" s="316"/>
      <c r="I42" s="282" t="str">
        <f t="shared" si="4"/>
        <v/>
      </c>
      <c r="J42" s="283"/>
      <c r="K42" s="284" t="str">
        <f t="shared" si="3"/>
        <v/>
      </c>
      <c r="L42" s="285" t="str">
        <f t="shared" si="5"/>
        <v/>
      </c>
      <c r="M42" s="285" t="str">
        <f t="shared" si="6"/>
        <v/>
      </c>
      <c r="N42" s="1123">
        <f t="shared" ref="N42" si="16">SUM(L42:L43)</f>
        <v>0</v>
      </c>
      <c r="O42" s="286"/>
    </row>
    <row r="43" spans="2:24" ht="18.600000000000001" thickBot="1" x14ac:dyDescent="0.4">
      <c r="B43" s="1119"/>
      <c r="C43" s="1120"/>
      <c r="D43" s="287" t="s">
        <v>14</v>
      </c>
      <c r="E43" s="299"/>
      <c r="F43" s="292"/>
      <c r="G43" s="290"/>
      <c r="H43" s="291"/>
      <c r="I43" s="282" t="str">
        <f t="shared" si="4"/>
        <v/>
      </c>
      <c r="J43" s="283"/>
      <c r="K43" s="284" t="str">
        <f t="shared" si="3"/>
        <v/>
      </c>
      <c r="L43" s="296" t="str">
        <f t="shared" si="5"/>
        <v/>
      </c>
      <c r="M43" s="297" t="str">
        <f t="shared" si="6"/>
        <v/>
      </c>
      <c r="N43" s="1124"/>
      <c r="O43" s="286"/>
    </row>
    <row r="44" spans="2:24" ht="18.600000000000001" thickBot="1" x14ac:dyDescent="0.4">
      <c r="B44" s="1117">
        <v>46267</v>
      </c>
      <c r="C44" s="1118"/>
      <c r="D44" s="277" t="s">
        <v>13</v>
      </c>
      <c r="E44" s="313"/>
      <c r="F44" s="314"/>
      <c r="G44" s="315"/>
      <c r="H44" s="316"/>
      <c r="I44" s="282" t="str">
        <f t="shared" si="4"/>
        <v/>
      </c>
      <c r="J44" s="283"/>
      <c r="K44" s="284" t="str">
        <f t="shared" si="3"/>
        <v/>
      </c>
      <c r="L44" s="285" t="str">
        <f t="shared" si="5"/>
        <v/>
      </c>
      <c r="M44" s="285" t="str">
        <f t="shared" si="6"/>
        <v/>
      </c>
      <c r="N44" s="1123">
        <f t="shared" ref="N44" si="17">SUM(L44:L45)</f>
        <v>0</v>
      </c>
      <c r="O44" s="286"/>
    </row>
    <row r="45" spans="2:24" ht="18.600000000000001" thickBot="1" x14ac:dyDescent="0.4">
      <c r="B45" s="1119"/>
      <c r="C45" s="1120"/>
      <c r="D45" s="287" t="s">
        <v>14</v>
      </c>
      <c r="E45" s="299"/>
      <c r="F45" s="292"/>
      <c r="G45" s="290"/>
      <c r="H45" s="291"/>
      <c r="I45" s="282" t="str">
        <f t="shared" si="4"/>
        <v/>
      </c>
      <c r="J45" s="283"/>
      <c r="K45" s="284" t="str">
        <f t="shared" si="3"/>
        <v/>
      </c>
      <c r="L45" s="317" t="str">
        <f t="shared" si="5"/>
        <v/>
      </c>
      <c r="M45" s="318" t="str">
        <f>IFERROR((K45/12),"")</f>
        <v/>
      </c>
      <c r="N45" s="1124"/>
      <c r="O45" s="286"/>
    </row>
    <row r="46" spans="2:24" ht="18.600000000000001" thickBot="1" x14ac:dyDescent="0.4">
      <c r="B46" s="1117">
        <v>46268</v>
      </c>
      <c r="C46" s="1118"/>
      <c r="D46" s="277" t="s">
        <v>13</v>
      </c>
      <c r="E46" s="313"/>
      <c r="F46" s="314"/>
      <c r="G46" s="315"/>
      <c r="H46" s="316"/>
      <c r="I46" s="282" t="str">
        <f t="shared" si="4"/>
        <v/>
      </c>
      <c r="J46" s="283"/>
      <c r="K46" s="284" t="str">
        <f t="shared" si="3"/>
        <v/>
      </c>
      <c r="L46" s="285" t="str">
        <f t="shared" si="5"/>
        <v/>
      </c>
      <c r="M46" s="285" t="str">
        <f t="shared" si="6"/>
        <v/>
      </c>
      <c r="N46" s="1123">
        <f t="shared" ref="N46:N58" si="18">SUM(L46:L47)</f>
        <v>0</v>
      </c>
      <c r="O46" s="286"/>
    </row>
    <row r="47" spans="2:24" ht="18.600000000000001" thickBot="1" x14ac:dyDescent="0.4">
      <c r="B47" s="1119"/>
      <c r="C47" s="1120"/>
      <c r="D47" s="287" t="s">
        <v>14</v>
      </c>
      <c r="E47" s="299"/>
      <c r="F47" s="292"/>
      <c r="G47" s="290"/>
      <c r="H47" s="291"/>
      <c r="I47" s="282" t="str">
        <f t="shared" si="4"/>
        <v/>
      </c>
      <c r="J47" s="283"/>
      <c r="K47" s="284" t="str">
        <f t="shared" si="3"/>
        <v/>
      </c>
      <c r="L47" s="296" t="str">
        <f t="shared" si="5"/>
        <v/>
      </c>
      <c r="M47" s="297" t="str">
        <f t="shared" si="6"/>
        <v/>
      </c>
      <c r="N47" s="1124"/>
      <c r="O47" s="286"/>
    </row>
    <row r="48" spans="2:24" ht="18.600000000000001" thickBot="1" x14ac:dyDescent="0.4">
      <c r="B48" s="1117">
        <v>46269</v>
      </c>
      <c r="C48" s="1118"/>
      <c r="D48" s="277" t="s">
        <v>13</v>
      </c>
      <c r="E48" s="313"/>
      <c r="F48" s="314"/>
      <c r="G48" s="315"/>
      <c r="H48" s="316"/>
      <c r="I48" s="282" t="str">
        <f t="shared" si="4"/>
        <v/>
      </c>
      <c r="J48" s="283"/>
      <c r="K48" s="284" t="str">
        <f t="shared" si="3"/>
        <v/>
      </c>
      <c r="L48" s="285" t="str">
        <f t="shared" si="5"/>
        <v/>
      </c>
      <c r="M48" s="285" t="str">
        <f>IFERROR((K48/12),"")</f>
        <v/>
      </c>
      <c r="N48" s="1123">
        <f t="shared" si="18"/>
        <v>0</v>
      </c>
      <c r="O48" s="286"/>
    </row>
    <row r="49" spans="2:22" ht="18.600000000000001" thickBot="1" x14ac:dyDescent="0.4">
      <c r="B49" s="1119"/>
      <c r="C49" s="1120"/>
      <c r="D49" s="287" t="s">
        <v>14</v>
      </c>
      <c r="E49" s="299"/>
      <c r="F49" s="292"/>
      <c r="G49" s="290"/>
      <c r="H49" s="291"/>
      <c r="I49" s="282" t="str">
        <f t="shared" si="4"/>
        <v/>
      </c>
      <c r="J49" s="283"/>
      <c r="K49" s="284" t="str">
        <f t="shared" si="3"/>
        <v/>
      </c>
      <c r="L49" s="296" t="str">
        <f t="shared" si="5"/>
        <v/>
      </c>
      <c r="M49" s="297" t="str">
        <f>IFERROR((K49/12),"")</f>
        <v/>
      </c>
      <c r="N49" s="1124"/>
      <c r="O49" s="286"/>
    </row>
    <row r="50" spans="2:22" ht="18.600000000000001" thickBot="1" x14ac:dyDescent="0.4">
      <c r="B50" s="1117">
        <v>46270</v>
      </c>
      <c r="C50" s="1118"/>
      <c r="D50" s="277" t="s">
        <v>13</v>
      </c>
      <c r="E50" s="313"/>
      <c r="F50" s="314"/>
      <c r="G50" s="315"/>
      <c r="H50" s="319"/>
      <c r="I50" s="282" t="str">
        <f t="shared" si="4"/>
        <v/>
      </c>
      <c r="J50" s="283"/>
      <c r="K50" s="284" t="str">
        <f t="shared" si="3"/>
        <v/>
      </c>
      <c r="L50" s="285" t="str">
        <f t="shared" si="5"/>
        <v/>
      </c>
      <c r="M50" s="285" t="str">
        <f t="shared" si="6"/>
        <v/>
      </c>
      <c r="N50" s="1123">
        <f t="shared" si="18"/>
        <v>0</v>
      </c>
      <c r="O50" s="286"/>
      <c r="R50" s="1">
        <f>180/12</f>
        <v>15</v>
      </c>
    </row>
    <row r="51" spans="2:22" ht="18.600000000000001" thickBot="1" x14ac:dyDescent="0.4">
      <c r="B51" s="1119"/>
      <c r="C51" s="1120"/>
      <c r="D51" s="287" t="s">
        <v>14</v>
      </c>
      <c r="E51" s="299"/>
      <c r="F51" s="292"/>
      <c r="G51" s="290"/>
      <c r="H51" s="291"/>
      <c r="I51" s="282" t="str">
        <f t="shared" si="4"/>
        <v/>
      </c>
      <c r="J51" s="283"/>
      <c r="K51" s="284" t="str">
        <f t="shared" si="3"/>
        <v/>
      </c>
      <c r="L51" s="296" t="str">
        <f t="shared" si="5"/>
        <v/>
      </c>
      <c r="M51" s="297" t="str">
        <f t="shared" si="6"/>
        <v/>
      </c>
      <c r="N51" s="1124"/>
      <c r="O51" s="286"/>
      <c r="P51" s="4"/>
    </row>
    <row r="52" spans="2:22" ht="18.600000000000001" thickBot="1" x14ac:dyDescent="0.4">
      <c r="B52" s="1117">
        <v>46271</v>
      </c>
      <c r="C52" s="1118"/>
      <c r="D52" s="277" t="s">
        <v>13</v>
      </c>
      <c r="E52" s="313"/>
      <c r="F52" s="314"/>
      <c r="G52" s="315"/>
      <c r="H52" s="316"/>
      <c r="I52" s="282" t="str">
        <f t="shared" si="4"/>
        <v/>
      </c>
      <c r="J52" s="283"/>
      <c r="K52" s="284" t="str">
        <f t="shared" si="3"/>
        <v/>
      </c>
      <c r="L52" s="285" t="str">
        <f t="shared" si="5"/>
        <v/>
      </c>
      <c r="M52" s="285" t="str">
        <f t="shared" si="6"/>
        <v/>
      </c>
      <c r="N52" s="1123">
        <f t="shared" si="18"/>
        <v>0</v>
      </c>
      <c r="O52" s="286"/>
    </row>
    <row r="53" spans="2:22" ht="18.600000000000001" thickBot="1" x14ac:dyDescent="0.4">
      <c r="B53" s="1119"/>
      <c r="C53" s="1120"/>
      <c r="D53" s="287" t="s">
        <v>14</v>
      </c>
      <c r="E53" s="299"/>
      <c r="F53" s="292"/>
      <c r="G53" s="290"/>
      <c r="H53" s="291"/>
      <c r="I53" s="282" t="str">
        <f>IFERROR((VLOOKUP(G53,S$6:T$8,2,FALSE)),"")</f>
        <v/>
      </c>
      <c r="J53" s="283"/>
      <c r="K53" s="284" t="str">
        <f>IFERROR((F53*I53*J53),"")</f>
        <v/>
      </c>
      <c r="L53" s="296" t="str">
        <f t="shared" si="5"/>
        <v/>
      </c>
      <c r="M53" s="297" t="str">
        <f t="shared" si="6"/>
        <v/>
      </c>
      <c r="N53" s="1124"/>
      <c r="O53" s="286"/>
      <c r="R53" s="1">
        <f>R50*4</f>
        <v>60</v>
      </c>
    </row>
    <row r="54" spans="2:22" ht="18.600000000000001" thickBot="1" x14ac:dyDescent="0.4">
      <c r="B54" s="1117">
        <v>46272</v>
      </c>
      <c r="C54" s="1118"/>
      <c r="D54" s="277" t="s">
        <v>13</v>
      </c>
      <c r="E54" s="299"/>
      <c r="F54" s="292"/>
      <c r="G54" s="315"/>
      <c r="H54" s="316"/>
      <c r="I54" s="282" t="str">
        <f t="shared" si="4"/>
        <v/>
      </c>
      <c r="J54" s="283"/>
      <c r="K54" s="284" t="str">
        <f t="shared" si="3"/>
        <v/>
      </c>
      <c r="L54" s="285" t="str">
        <f t="shared" si="5"/>
        <v/>
      </c>
      <c r="M54" s="285" t="str">
        <f t="shared" si="6"/>
        <v/>
      </c>
      <c r="N54" s="1123">
        <f t="shared" si="18"/>
        <v>0</v>
      </c>
      <c r="O54" s="286"/>
    </row>
    <row r="55" spans="2:22" ht="18.600000000000001" thickBot="1" x14ac:dyDescent="0.4">
      <c r="B55" s="1119"/>
      <c r="C55" s="1120"/>
      <c r="D55" s="287" t="s">
        <v>14</v>
      </c>
      <c r="E55" s="299"/>
      <c r="F55" s="292"/>
      <c r="G55" s="290"/>
      <c r="H55" s="291"/>
      <c r="I55" s="282" t="str">
        <f t="shared" si="4"/>
        <v/>
      </c>
      <c r="J55" s="283"/>
      <c r="K55" s="284" t="str">
        <f t="shared" si="3"/>
        <v/>
      </c>
      <c r="L55" s="296" t="str">
        <f t="shared" si="5"/>
        <v/>
      </c>
      <c r="M55" s="297" t="str">
        <f t="shared" si="6"/>
        <v/>
      </c>
      <c r="N55" s="1124"/>
      <c r="O55" s="286"/>
      <c r="R55" s="1">
        <f>R53*1.7</f>
        <v>102</v>
      </c>
      <c r="S55" s="1">
        <v>9570</v>
      </c>
    </row>
    <row r="56" spans="2:22" ht="18.600000000000001" thickBot="1" x14ac:dyDescent="0.4">
      <c r="B56" s="1117">
        <v>46273</v>
      </c>
      <c r="C56" s="1118"/>
      <c r="D56" s="277" t="s">
        <v>13</v>
      </c>
      <c r="E56" s="313"/>
      <c r="F56" s="314"/>
      <c r="G56" s="315"/>
      <c r="H56" s="316"/>
      <c r="I56" s="282" t="str">
        <f t="shared" si="4"/>
        <v/>
      </c>
      <c r="J56" s="283"/>
      <c r="K56" s="284" t="str">
        <f t="shared" si="3"/>
        <v/>
      </c>
      <c r="L56" s="285" t="str">
        <f t="shared" si="5"/>
        <v/>
      </c>
      <c r="M56" s="285" t="str">
        <f t="shared" si="6"/>
        <v/>
      </c>
      <c r="N56" s="1123">
        <f t="shared" si="18"/>
        <v>0</v>
      </c>
      <c r="O56" s="286"/>
      <c r="R56" s="4"/>
      <c r="S56" s="1">
        <v>9795</v>
      </c>
      <c r="U56" s="2"/>
      <c r="V56" s="2"/>
    </row>
    <row r="57" spans="2:22" ht="18.600000000000001" thickBot="1" x14ac:dyDescent="0.4">
      <c r="B57" s="1119"/>
      <c r="C57" s="1120"/>
      <c r="D57" s="287" t="s">
        <v>14</v>
      </c>
      <c r="E57" s="299"/>
      <c r="F57" s="292"/>
      <c r="G57" s="290"/>
      <c r="H57" s="291"/>
      <c r="I57" s="282" t="str">
        <f t="shared" si="4"/>
        <v/>
      </c>
      <c r="J57" s="283"/>
      <c r="K57" s="284" t="str">
        <f t="shared" si="3"/>
        <v/>
      </c>
      <c r="L57" s="296" t="str">
        <f t="shared" si="5"/>
        <v/>
      </c>
      <c r="M57" s="297" t="str">
        <f t="shared" si="6"/>
        <v/>
      </c>
      <c r="N57" s="1124"/>
      <c r="O57" s="286"/>
      <c r="Q57" s="4"/>
      <c r="R57" s="4"/>
      <c r="S57" s="1">
        <v>1190</v>
      </c>
    </row>
    <row r="58" spans="2:22" ht="18.600000000000001" thickBot="1" x14ac:dyDescent="0.4">
      <c r="B58" s="1117">
        <v>46274</v>
      </c>
      <c r="C58" s="1118"/>
      <c r="D58" s="277" t="s">
        <v>13</v>
      </c>
      <c r="E58" s="313"/>
      <c r="F58" s="314"/>
      <c r="G58" s="315"/>
      <c r="H58" s="316"/>
      <c r="I58" s="282" t="str">
        <f t="shared" si="4"/>
        <v/>
      </c>
      <c r="J58" s="283"/>
      <c r="K58" s="284" t="str">
        <f t="shared" si="3"/>
        <v/>
      </c>
      <c r="L58" s="285" t="str">
        <f t="shared" si="5"/>
        <v/>
      </c>
      <c r="M58" s="285" t="str">
        <f t="shared" si="6"/>
        <v/>
      </c>
      <c r="N58" s="1123">
        <f t="shared" si="18"/>
        <v>0</v>
      </c>
      <c r="O58" s="286"/>
      <c r="P58" s="9"/>
      <c r="S58" s="1">
        <f>S56-S57</f>
        <v>8605</v>
      </c>
    </row>
    <row r="59" spans="2:22" ht="18.600000000000001" thickBot="1" x14ac:dyDescent="0.4">
      <c r="B59" s="1119"/>
      <c r="C59" s="1120"/>
      <c r="D59" s="287" t="s">
        <v>14</v>
      </c>
      <c r="E59" s="299"/>
      <c r="F59" s="292"/>
      <c r="G59" s="290"/>
      <c r="H59" s="316"/>
      <c r="I59" s="282" t="str">
        <f t="shared" si="4"/>
        <v/>
      </c>
      <c r="J59" s="283"/>
      <c r="K59" s="300" t="str">
        <f t="shared" si="3"/>
        <v/>
      </c>
      <c r="L59" s="296" t="str">
        <f t="shared" si="5"/>
        <v/>
      </c>
      <c r="M59" s="297" t="str">
        <f t="shared" si="6"/>
        <v/>
      </c>
      <c r="N59" s="1124"/>
      <c r="O59" s="286"/>
      <c r="P59" s="4"/>
      <c r="S59" s="2">
        <f>(S55-S58)/S55</f>
        <v>0.10083594566353186</v>
      </c>
    </row>
    <row r="60" spans="2:22" ht="18.600000000000001" thickBot="1" x14ac:dyDescent="0.4">
      <c r="B60" s="1117">
        <v>46275</v>
      </c>
      <c r="C60" s="1118"/>
      <c r="D60" s="277" t="s">
        <v>13</v>
      </c>
      <c r="E60" s="313" t="s">
        <v>170</v>
      </c>
      <c r="F60" s="314">
        <v>113</v>
      </c>
      <c r="G60" s="315" t="s">
        <v>435</v>
      </c>
      <c r="H60" s="316">
        <v>0.1</v>
      </c>
      <c r="I60" s="282">
        <f t="shared" si="4"/>
        <v>0.5</v>
      </c>
      <c r="J60" s="283">
        <v>1.3</v>
      </c>
      <c r="K60" s="284">
        <f t="shared" si="3"/>
        <v>73.45</v>
      </c>
      <c r="L60" s="285">
        <f t="shared" si="5"/>
        <v>66.105000000000004</v>
      </c>
      <c r="M60" s="310">
        <f>IFERROR((K60/12),"")</f>
        <v>6.1208333333333336</v>
      </c>
      <c r="N60" s="1121">
        <f>SUM(L60:L61)</f>
        <v>72.657000000000011</v>
      </c>
      <c r="O60" s="286"/>
      <c r="P60" s="9"/>
    </row>
    <row r="61" spans="2:22" ht="18.600000000000001" thickBot="1" x14ac:dyDescent="0.4">
      <c r="B61" s="1119"/>
      <c r="C61" s="1120"/>
      <c r="D61" s="287" t="s">
        <v>14</v>
      </c>
      <c r="E61" s="299" t="s">
        <v>170</v>
      </c>
      <c r="F61" s="292">
        <v>2</v>
      </c>
      <c r="G61" s="290" t="s">
        <v>16</v>
      </c>
      <c r="H61" s="291">
        <v>0.1</v>
      </c>
      <c r="I61" s="282">
        <f t="shared" si="4"/>
        <v>2.8</v>
      </c>
      <c r="J61" s="283">
        <v>1.3</v>
      </c>
      <c r="K61" s="300">
        <f t="shared" si="3"/>
        <v>7.2799999999999994</v>
      </c>
      <c r="L61" s="296">
        <f t="shared" si="5"/>
        <v>6.5519999999999996</v>
      </c>
      <c r="M61" s="311">
        <f t="shared" si="6"/>
        <v>0.60666666666666658</v>
      </c>
      <c r="N61" s="1122"/>
      <c r="O61" s="286"/>
      <c r="P61" s="9"/>
    </row>
    <row r="62" spans="2:22" ht="18.600000000000001" thickBot="1" x14ac:dyDescent="0.4">
      <c r="B62" s="1117">
        <v>46276</v>
      </c>
      <c r="C62" s="1118"/>
      <c r="D62" s="277" t="s">
        <v>13</v>
      </c>
      <c r="E62" s="313"/>
      <c r="F62" s="314"/>
      <c r="G62" s="315"/>
      <c r="H62" s="316"/>
      <c r="I62" s="282" t="str">
        <f t="shared" si="4"/>
        <v/>
      </c>
      <c r="J62" s="283"/>
      <c r="K62" s="284" t="str">
        <f t="shared" ref="K62:K63" si="19">IFERROR((F62*I62*J62),"")</f>
        <v/>
      </c>
      <c r="L62" s="285" t="str">
        <f t="shared" ref="L62:L63" si="20">IFERROR(((F62*I62)*J62)*(1-H62),"")</f>
        <v/>
      </c>
      <c r="M62" s="310" t="str">
        <f t="shared" ref="M62:M63" si="21">IFERROR((K62/12),"")</f>
        <v/>
      </c>
      <c r="N62" s="1121">
        <f>SUM(L62:L63)</f>
        <v>0</v>
      </c>
      <c r="O62" s="286"/>
      <c r="P62" s="9"/>
    </row>
    <row r="63" spans="2:22" ht="18.600000000000001" thickBot="1" x14ac:dyDescent="0.4">
      <c r="B63" s="1119"/>
      <c r="C63" s="1120"/>
      <c r="D63" s="287" t="s">
        <v>14</v>
      </c>
      <c r="E63" s="299"/>
      <c r="F63" s="292"/>
      <c r="G63" s="290"/>
      <c r="H63" s="291"/>
      <c r="I63" s="282" t="str">
        <f t="shared" si="4"/>
        <v/>
      </c>
      <c r="J63" s="283"/>
      <c r="K63" s="300" t="str">
        <f t="shared" si="19"/>
        <v/>
      </c>
      <c r="L63" s="296" t="str">
        <f t="shared" si="20"/>
        <v/>
      </c>
      <c r="M63" s="311" t="str">
        <f t="shared" si="21"/>
        <v/>
      </c>
      <c r="N63" s="1122"/>
      <c r="O63" s="286"/>
      <c r="P63" s="9"/>
    </row>
    <row r="64" spans="2:22" ht="18.600000000000001" thickBot="1" x14ac:dyDescent="0.4">
      <c r="B64" s="1117">
        <v>46277</v>
      </c>
      <c r="C64" s="1118"/>
      <c r="D64" s="277" t="s">
        <v>13</v>
      </c>
      <c r="E64" s="313" t="s">
        <v>170</v>
      </c>
      <c r="F64" s="314">
        <v>329</v>
      </c>
      <c r="G64" s="315" t="s">
        <v>435</v>
      </c>
      <c r="H64" s="316">
        <v>0.1</v>
      </c>
      <c r="I64" s="282">
        <f t="shared" si="4"/>
        <v>0.5</v>
      </c>
      <c r="J64" s="283">
        <v>1.3</v>
      </c>
      <c r="K64" s="284">
        <f t="shared" ref="K64:K65" si="22">IFERROR((F64*I64*J64),"")</f>
        <v>213.85</v>
      </c>
      <c r="L64" s="285">
        <f t="shared" ref="L64:L65" si="23">IFERROR(((F64*I64)*J64)*(1-H64),"")</f>
        <v>192.465</v>
      </c>
      <c r="M64" s="310">
        <f t="shared" ref="M64:M65" si="24">IFERROR((K64/12),"")</f>
        <v>17.820833333333333</v>
      </c>
      <c r="N64" s="1121">
        <f>SUM(L64:L65)</f>
        <v>328.77</v>
      </c>
      <c r="O64" s="286"/>
      <c r="P64" s="9"/>
    </row>
    <row r="65" spans="2:16" ht="18.600000000000001" thickBot="1" x14ac:dyDescent="0.4">
      <c r="B65" s="1119"/>
      <c r="C65" s="1120"/>
      <c r="D65" s="287" t="s">
        <v>14</v>
      </c>
      <c r="E65" s="299" t="s">
        <v>560</v>
      </c>
      <c r="F65" s="292">
        <v>233</v>
      </c>
      <c r="G65" s="290" t="s">
        <v>435</v>
      </c>
      <c r="H65" s="291">
        <v>0.1</v>
      </c>
      <c r="I65" s="282">
        <f t="shared" si="4"/>
        <v>0.5</v>
      </c>
      <c r="J65" s="283">
        <v>1.3</v>
      </c>
      <c r="K65" s="312">
        <f t="shared" si="22"/>
        <v>151.45000000000002</v>
      </c>
      <c r="L65" s="296">
        <f t="shared" si="23"/>
        <v>136.30500000000001</v>
      </c>
      <c r="M65" s="311">
        <f t="shared" si="24"/>
        <v>12.620833333333335</v>
      </c>
      <c r="N65" s="1122"/>
      <c r="O65" s="286"/>
      <c r="P65" s="9"/>
    </row>
    <row r="66" spans="2:16" ht="18.600000000000001" thickBot="1" x14ac:dyDescent="0.4">
      <c r="B66" s="1117">
        <v>46278</v>
      </c>
      <c r="C66" s="1118"/>
      <c r="D66" s="277" t="s">
        <v>13</v>
      </c>
      <c r="E66" s="313" t="s">
        <v>631</v>
      </c>
      <c r="F66" s="314">
        <v>204</v>
      </c>
      <c r="G66" s="315" t="s">
        <v>435</v>
      </c>
      <c r="H66" s="316">
        <v>0.1</v>
      </c>
      <c r="I66" s="282">
        <f t="shared" si="4"/>
        <v>0.5</v>
      </c>
      <c r="J66" s="283">
        <v>1.3</v>
      </c>
      <c r="K66" s="284">
        <f t="shared" ref="K66:K67" si="25">IFERROR((F66*I66*J66),"")</f>
        <v>132.6</v>
      </c>
      <c r="L66" s="285">
        <f t="shared" ref="L66:L67" si="26">IFERROR(((F66*I66)*J66)*(1-H66),"")</f>
        <v>119.34</v>
      </c>
      <c r="M66" s="310">
        <f t="shared" ref="M66:M67" si="27">IFERROR((K66/12),"")</f>
        <v>11.049999999999999</v>
      </c>
      <c r="N66" s="1121">
        <f>SUM(L66:L67)</f>
        <v>262.66500000000002</v>
      </c>
      <c r="O66" s="286"/>
      <c r="P66" s="9"/>
    </row>
    <row r="67" spans="2:16" ht="18.600000000000001" thickBot="1" x14ac:dyDescent="0.4">
      <c r="B67" s="1119"/>
      <c r="C67" s="1120"/>
      <c r="D67" s="287" t="s">
        <v>14</v>
      </c>
      <c r="E67" s="299" t="s">
        <v>170</v>
      </c>
      <c r="F67" s="292">
        <v>245</v>
      </c>
      <c r="G67" s="290" t="s">
        <v>435</v>
      </c>
      <c r="H67" s="291">
        <v>0.1</v>
      </c>
      <c r="I67" s="282">
        <f t="shared" si="4"/>
        <v>0.5</v>
      </c>
      <c r="J67" s="283">
        <v>1.3</v>
      </c>
      <c r="K67" s="312">
        <f t="shared" si="25"/>
        <v>159.25</v>
      </c>
      <c r="L67" s="296">
        <f t="shared" si="26"/>
        <v>143.32500000000002</v>
      </c>
      <c r="M67" s="311">
        <f t="shared" si="27"/>
        <v>13.270833333333334</v>
      </c>
      <c r="N67" s="1122"/>
      <c r="O67" s="286"/>
      <c r="P67" s="9"/>
    </row>
    <row r="68" spans="2:16" ht="18.600000000000001" thickBot="1" x14ac:dyDescent="0.4">
      <c r="B68" s="1117">
        <v>46279</v>
      </c>
      <c r="C68" s="1118"/>
      <c r="D68" s="277" t="s">
        <v>13</v>
      </c>
      <c r="E68" s="313"/>
      <c r="F68" s="314"/>
      <c r="G68" s="315"/>
      <c r="H68" s="316"/>
      <c r="I68" s="282" t="str">
        <f t="shared" si="4"/>
        <v/>
      </c>
      <c r="J68" s="283"/>
      <c r="K68" s="284" t="str">
        <f t="shared" ref="K68:K75" si="28">IFERROR((F68*I68*J68),"")</f>
        <v/>
      </c>
      <c r="L68" s="285" t="str">
        <f t="shared" ref="L68:L77" si="29">IFERROR(((F68*I68)*J68)*(1-H68),"")</f>
        <v/>
      </c>
      <c r="M68" s="310" t="str">
        <f t="shared" ref="M68:M75" si="30">IFERROR((K68/12),"")</f>
        <v/>
      </c>
      <c r="N68" s="1121">
        <f t="shared" ref="N68" si="31">SUM(L68:L69)</f>
        <v>0</v>
      </c>
      <c r="O68" s="286"/>
      <c r="P68" s="9"/>
    </row>
    <row r="69" spans="2:16" ht="18.600000000000001" thickBot="1" x14ac:dyDescent="0.4">
      <c r="B69" s="1119"/>
      <c r="C69" s="1120"/>
      <c r="D69" s="287" t="s">
        <v>14</v>
      </c>
      <c r="E69" s="299"/>
      <c r="F69" s="292"/>
      <c r="G69" s="290"/>
      <c r="H69" s="291"/>
      <c r="I69" s="282" t="str">
        <f t="shared" si="4"/>
        <v/>
      </c>
      <c r="J69" s="283"/>
      <c r="K69" s="312" t="str">
        <f t="shared" si="28"/>
        <v/>
      </c>
      <c r="L69" s="296" t="str">
        <f t="shared" si="29"/>
        <v/>
      </c>
      <c r="M69" s="311" t="str">
        <f t="shared" si="30"/>
        <v/>
      </c>
      <c r="N69" s="1122"/>
      <c r="O69" s="286"/>
      <c r="P69" s="9"/>
    </row>
    <row r="70" spans="2:16" ht="18.600000000000001" thickBot="1" x14ac:dyDescent="0.4">
      <c r="B70" s="1117">
        <v>46280</v>
      </c>
      <c r="C70" s="1118"/>
      <c r="D70" s="277" t="s">
        <v>13</v>
      </c>
      <c r="E70" s="313"/>
      <c r="F70" s="314"/>
      <c r="G70" s="315"/>
      <c r="H70" s="316"/>
      <c r="I70" s="282" t="str">
        <f t="shared" si="4"/>
        <v/>
      </c>
      <c r="J70" s="283"/>
      <c r="K70" s="284" t="str">
        <f t="shared" si="28"/>
        <v/>
      </c>
      <c r="L70" s="285" t="str">
        <f t="shared" si="29"/>
        <v/>
      </c>
      <c r="M70" s="310" t="str">
        <f t="shared" si="30"/>
        <v/>
      </c>
      <c r="N70" s="1121">
        <f t="shared" ref="N70" si="32">SUM(L70:L71)</f>
        <v>0</v>
      </c>
      <c r="O70" s="286"/>
      <c r="P70" s="9"/>
    </row>
    <row r="71" spans="2:16" ht="18.600000000000001" thickBot="1" x14ac:dyDescent="0.4">
      <c r="B71" s="1119"/>
      <c r="C71" s="1120"/>
      <c r="D71" s="287" t="s">
        <v>14</v>
      </c>
      <c r="E71" s="299"/>
      <c r="F71" s="292"/>
      <c r="G71" s="290"/>
      <c r="H71" s="291"/>
      <c r="I71" s="282" t="str">
        <f t="shared" si="4"/>
        <v/>
      </c>
      <c r="J71" s="283"/>
      <c r="K71" s="312" t="str">
        <f t="shared" si="28"/>
        <v/>
      </c>
      <c r="L71" s="296" t="str">
        <f t="shared" si="29"/>
        <v/>
      </c>
      <c r="M71" s="311" t="str">
        <f t="shared" si="30"/>
        <v/>
      </c>
      <c r="N71" s="1122"/>
      <c r="O71" s="286"/>
      <c r="P71" s="9"/>
    </row>
    <row r="72" spans="2:16" ht="18.600000000000001" thickBot="1" x14ac:dyDescent="0.4">
      <c r="B72" s="1117">
        <v>46281</v>
      </c>
      <c r="C72" s="1118"/>
      <c r="D72" s="277" t="s">
        <v>13</v>
      </c>
      <c r="E72" s="313"/>
      <c r="F72" s="314"/>
      <c r="G72" s="315"/>
      <c r="H72" s="316"/>
      <c r="I72" s="282" t="str">
        <f t="shared" si="4"/>
        <v/>
      </c>
      <c r="J72" s="283"/>
      <c r="K72" s="284" t="str">
        <f t="shared" si="28"/>
        <v/>
      </c>
      <c r="L72" s="285" t="str">
        <f t="shared" si="29"/>
        <v/>
      </c>
      <c r="M72" s="310" t="str">
        <f t="shared" si="30"/>
        <v/>
      </c>
      <c r="N72" s="1121">
        <f t="shared" ref="N72" si="33">SUM(L72:L73)</f>
        <v>0</v>
      </c>
      <c r="O72" s="286"/>
      <c r="P72" s="9"/>
    </row>
    <row r="73" spans="2:16" ht="18.600000000000001" thickBot="1" x14ac:dyDescent="0.4">
      <c r="B73" s="1119"/>
      <c r="C73" s="1120"/>
      <c r="D73" s="287" t="s">
        <v>14</v>
      </c>
      <c r="E73" s="299"/>
      <c r="F73" s="292"/>
      <c r="G73" s="290"/>
      <c r="H73" s="291"/>
      <c r="I73" s="282" t="str">
        <f t="shared" si="4"/>
        <v/>
      </c>
      <c r="J73" s="283"/>
      <c r="K73" s="312" t="str">
        <f t="shared" si="28"/>
        <v/>
      </c>
      <c r="L73" s="296" t="str">
        <f t="shared" si="29"/>
        <v/>
      </c>
      <c r="M73" s="311" t="str">
        <f t="shared" si="30"/>
        <v/>
      </c>
      <c r="N73" s="1122"/>
      <c r="O73" s="286"/>
      <c r="P73" s="9"/>
    </row>
    <row r="74" spans="2:16" ht="18.600000000000001" thickBot="1" x14ac:dyDescent="0.4">
      <c r="B74" s="1117">
        <v>46282</v>
      </c>
      <c r="C74" s="1118"/>
      <c r="D74" s="277" t="s">
        <v>13</v>
      </c>
      <c r="E74" s="313"/>
      <c r="F74" s="314"/>
      <c r="G74" s="315"/>
      <c r="H74" s="316"/>
      <c r="I74" s="282" t="str">
        <f t="shared" si="4"/>
        <v/>
      </c>
      <c r="J74" s="283"/>
      <c r="K74" s="284" t="str">
        <f t="shared" si="28"/>
        <v/>
      </c>
      <c r="L74" s="285" t="str">
        <f t="shared" si="29"/>
        <v/>
      </c>
      <c r="M74" s="310" t="str">
        <f t="shared" si="30"/>
        <v/>
      </c>
      <c r="N74" s="1121">
        <f t="shared" ref="N74" si="34">SUM(L74:L75)</f>
        <v>0</v>
      </c>
      <c r="O74" s="286"/>
      <c r="P74" s="9"/>
    </row>
    <row r="75" spans="2:16" ht="18.600000000000001" thickBot="1" x14ac:dyDescent="0.4">
      <c r="B75" s="1119"/>
      <c r="C75" s="1120"/>
      <c r="D75" s="287" t="s">
        <v>14</v>
      </c>
      <c r="E75" s="299"/>
      <c r="F75" s="292"/>
      <c r="G75" s="290"/>
      <c r="H75" s="291"/>
      <c r="I75" s="282" t="str">
        <f t="shared" si="4"/>
        <v/>
      </c>
      <c r="J75" s="283"/>
      <c r="K75" s="312" t="str">
        <f t="shared" si="28"/>
        <v/>
      </c>
      <c r="L75" s="296" t="str">
        <f t="shared" si="29"/>
        <v/>
      </c>
      <c r="M75" s="311" t="str">
        <f t="shared" si="30"/>
        <v/>
      </c>
      <c r="N75" s="1122"/>
      <c r="O75" s="286"/>
      <c r="P75" s="9"/>
    </row>
    <row r="76" spans="2:16" ht="18.600000000000001" thickBot="1" x14ac:dyDescent="0.4">
      <c r="B76" s="1117">
        <v>46283</v>
      </c>
      <c r="C76" s="1118"/>
      <c r="D76" s="277" t="s">
        <v>13</v>
      </c>
      <c r="E76" s="313"/>
      <c r="F76" s="314"/>
      <c r="G76" s="315"/>
      <c r="H76" s="316"/>
      <c r="I76" s="282"/>
      <c r="J76" s="283"/>
      <c r="K76" s="284"/>
      <c r="L76" s="296">
        <f t="shared" si="29"/>
        <v>0</v>
      </c>
      <c r="M76" s="310"/>
      <c r="N76" s="1121">
        <f>SUM(L76:L77)</f>
        <v>210.6</v>
      </c>
      <c r="O76" s="286" t="s">
        <v>647</v>
      </c>
      <c r="P76" s="9"/>
    </row>
    <row r="77" spans="2:16" ht="18.600000000000001" thickBot="1" x14ac:dyDescent="0.4">
      <c r="B77" s="1119"/>
      <c r="C77" s="1120"/>
      <c r="D77" s="287" t="s">
        <v>14</v>
      </c>
      <c r="E77" s="299" t="s">
        <v>170</v>
      </c>
      <c r="F77" s="292">
        <v>360</v>
      </c>
      <c r="G77" s="290" t="s">
        <v>435</v>
      </c>
      <c r="H77" s="291">
        <v>0.1</v>
      </c>
      <c r="I77" s="282">
        <f t="shared" si="4"/>
        <v>0.5</v>
      </c>
      <c r="J77" s="283">
        <v>1.3</v>
      </c>
      <c r="K77" s="300">
        <f t="shared" ref="K77:K80" si="35">IFERROR((F77*I77*J77),"")</f>
        <v>234</v>
      </c>
      <c r="L77" s="1034">
        <f t="shared" si="29"/>
        <v>210.6</v>
      </c>
      <c r="M77" s="1035">
        <f t="shared" ref="M77:M80" si="36">IFERROR((K77/12),"")</f>
        <v>19.5</v>
      </c>
      <c r="N77" s="1122"/>
      <c r="O77" s="286" t="s">
        <v>648</v>
      </c>
      <c r="P77" s="9"/>
    </row>
    <row r="78" spans="2:16" ht="18" x14ac:dyDescent="0.35">
      <c r="B78" s="1117">
        <v>46284</v>
      </c>
      <c r="C78" s="1118"/>
      <c r="D78" s="1014" t="s">
        <v>13</v>
      </c>
      <c r="E78" s="1036" t="s">
        <v>170</v>
      </c>
      <c r="F78" s="1037">
        <v>178</v>
      </c>
      <c r="G78" s="1038" t="s">
        <v>15</v>
      </c>
      <c r="H78" s="1039">
        <v>0.1</v>
      </c>
      <c r="I78" s="1040">
        <f t="shared" si="4"/>
        <v>0.8</v>
      </c>
      <c r="J78" s="1041">
        <v>1.3</v>
      </c>
      <c r="K78" s="1042">
        <f t="shared" si="35"/>
        <v>185.12</v>
      </c>
      <c r="L78" s="1043">
        <f t="shared" ref="L78:L80" si="37">IFERROR(((F78*I78)*J78)*(1-H78),"")</f>
        <v>166.608</v>
      </c>
      <c r="M78" s="1044">
        <f t="shared" si="36"/>
        <v>15.426666666666668</v>
      </c>
      <c r="N78" s="1121">
        <f>SUM(L78:L80)</f>
        <v>387.06799999999998</v>
      </c>
      <c r="O78" s="286" t="s">
        <v>647</v>
      </c>
      <c r="P78" s="9"/>
    </row>
    <row r="79" spans="2:16" ht="18" x14ac:dyDescent="0.35">
      <c r="B79" s="1141"/>
      <c r="C79" s="1142"/>
      <c r="D79" s="1048" t="s">
        <v>13</v>
      </c>
      <c r="E79" s="1049" t="s">
        <v>170</v>
      </c>
      <c r="F79" s="1050">
        <v>10</v>
      </c>
      <c r="G79" s="1051" t="s">
        <v>16</v>
      </c>
      <c r="H79" s="1052">
        <v>0.1</v>
      </c>
      <c r="I79" s="1053">
        <f t="shared" ref="I79" si="38">IFERROR((VLOOKUP(G79,S$6:T$8,2,FALSE)),"")</f>
        <v>2.8</v>
      </c>
      <c r="J79" s="1054">
        <v>2.2999999999999998</v>
      </c>
      <c r="K79" s="1055">
        <f t="shared" ref="K79" si="39">IFERROR((F79*I79*J79),"")</f>
        <v>64.399999999999991</v>
      </c>
      <c r="L79" s="1055">
        <f t="shared" ref="L79" si="40">IFERROR(((F79*I79)*J79)*(1-H79),"")</f>
        <v>57.959999999999994</v>
      </c>
      <c r="M79" s="1055">
        <f t="shared" ref="M79" si="41">IFERROR((K79/12),"")</f>
        <v>5.3666666666666663</v>
      </c>
      <c r="N79" s="1121"/>
      <c r="O79" s="286"/>
      <c r="P79" s="9"/>
    </row>
    <row r="80" spans="2:16" ht="18.600000000000001" thickBot="1" x14ac:dyDescent="0.4">
      <c r="B80" s="1119"/>
      <c r="C80" s="1120"/>
      <c r="D80" s="287" t="s">
        <v>14</v>
      </c>
      <c r="E80" s="288" t="s">
        <v>170</v>
      </c>
      <c r="F80" s="289">
        <v>250</v>
      </c>
      <c r="G80" s="290" t="s">
        <v>435</v>
      </c>
      <c r="H80" s="291"/>
      <c r="I80" s="1045">
        <f t="shared" si="4"/>
        <v>0.5</v>
      </c>
      <c r="J80" s="1046">
        <v>1.3</v>
      </c>
      <c r="K80" s="300">
        <f t="shared" si="35"/>
        <v>162.5</v>
      </c>
      <c r="L80" s="1034">
        <f t="shared" si="37"/>
        <v>162.5</v>
      </c>
      <c r="M80" s="1047">
        <f t="shared" si="36"/>
        <v>13.541666666666666</v>
      </c>
      <c r="N80" s="1122"/>
      <c r="O80" s="286"/>
      <c r="P80" s="9"/>
    </row>
    <row r="81" spans="2:16" ht="18.600000000000001" thickBot="1" x14ac:dyDescent="0.4">
      <c r="B81" s="1117">
        <v>46285</v>
      </c>
      <c r="C81" s="1118"/>
      <c r="D81" s="277" t="s">
        <v>13</v>
      </c>
      <c r="E81" s="313"/>
      <c r="F81" s="314"/>
      <c r="G81" s="315"/>
      <c r="H81" s="316"/>
      <c r="I81" s="282" t="str">
        <f t="shared" si="4"/>
        <v/>
      </c>
      <c r="J81" s="283"/>
      <c r="K81" s="284" t="str">
        <f t="shared" ref="K81:K84" si="42">IFERROR((F81*I81*J81),"")</f>
        <v/>
      </c>
      <c r="L81" s="285" t="str">
        <f t="shared" ref="L81:L84" si="43">IFERROR(((F81*I81)*J81)*(1-H81),"")</f>
        <v/>
      </c>
      <c r="M81" s="310" t="str">
        <f t="shared" ref="M81:M84" si="44">IFERROR((K81/12),"")</f>
        <v/>
      </c>
      <c r="N81" s="1121">
        <f t="shared" ref="N81" si="45">SUM(L81:L82)</f>
        <v>0</v>
      </c>
      <c r="O81" s="286"/>
      <c r="P81" s="9"/>
    </row>
    <row r="82" spans="2:16" ht="18.600000000000001" thickBot="1" x14ac:dyDescent="0.4">
      <c r="B82" s="1119"/>
      <c r="C82" s="1120"/>
      <c r="D82" s="287" t="s">
        <v>14</v>
      </c>
      <c r="E82" s="299"/>
      <c r="F82" s="292"/>
      <c r="G82" s="290"/>
      <c r="H82" s="291"/>
      <c r="I82" s="282" t="str">
        <f t="shared" si="4"/>
        <v/>
      </c>
      <c r="J82" s="283"/>
      <c r="K82" s="312" t="str">
        <f t="shared" si="42"/>
        <v/>
      </c>
      <c r="L82" s="296" t="str">
        <f t="shared" si="43"/>
        <v/>
      </c>
      <c r="M82" s="311" t="str">
        <f t="shared" si="44"/>
        <v/>
      </c>
      <c r="N82" s="1122"/>
      <c r="O82" s="286"/>
      <c r="P82" s="9"/>
    </row>
    <row r="83" spans="2:16" ht="18.600000000000001" thickBot="1" x14ac:dyDescent="0.4">
      <c r="B83" s="1117">
        <v>46286</v>
      </c>
      <c r="C83" s="1118"/>
      <c r="D83" s="277" t="s">
        <v>13</v>
      </c>
      <c r="E83" s="313"/>
      <c r="F83" s="314"/>
      <c r="G83" s="315"/>
      <c r="H83" s="316"/>
      <c r="I83" s="282" t="str">
        <f t="shared" si="4"/>
        <v/>
      </c>
      <c r="J83" s="283"/>
      <c r="K83" s="284" t="str">
        <f t="shared" si="42"/>
        <v/>
      </c>
      <c r="L83" s="285" t="str">
        <f t="shared" si="43"/>
        <v/>
      </c>
      <c r="M83" s="310" t="str">
        <f t="shared" si="44"/>
        <v/>
      </c>
      <c r="N83" s="1121">
        <f t="shared" ref="N83" si="46">SUM(L83:L84)</f>
        <v>0</v>
      </c>
      <c r="O83" s="286"/>
      <c r="P83" s="9"/>
    </row>
    <row r="84" spans="2:16" ht="18.600000000000001" thickBot="1" x14ac:dyDescent="0.4">
      <c r="B84" s="1119"/>
      <c r="C84" s="1120"/>
      <c r="D84" s="287" t="s">
        <v>14</v>
      </c>
      <c r="E84" s="299"/>
      <c r="F84" s="292"/>
      <c r="G84" s="290"/>
      <c r="H84" s="291"/>
      <c r="I84" s="282" t="str">
        <f t="shared" si="4"/>
        <v/>
      </c>
      <c r="J84" s="283"/>
      <c r="K84" s="312" t="str">
        <f t="shared" si="42"/>
        <v/>
      </c>
      <c r="L84" s="296" t="str">
        <f t="shared" si="43"/>
        <v/>
      </c>
      <c r="M84" s="311" t="str">
        <f t="shared" si="44"/>
        <v/>
      </c>
      <c r="N84" s="1122"/>
      <c r="O84" s="286"/>
      <c r="P84" s="9"/>
    </row>
    <row r="85" spans="2:16" ht="18.600000000000001" thickBot="1" x14ac:dyDescent="0.4">
      <c r="B85" s="1117">
        <v>46287</v>
      </c>
      <c r="C85" s="1118"/>
      <c r="D85" s="277" t="s">
        <v>13</v>
      </c>
      <c r="E85" s="313"/>
      <c r="F85" s="314"/>
      <c r="G85" s="315"/>
      <c r="H85" s="316"/>
      <c r="I85" s="282" t="str">
        <f t="shared" si="4"/>
        <v/>
      </c>
      <c r="J85" s="283"/>
      <c r="K85" s="284" t="str">
        <f t="shared" ref="K85:K86" si="47">IFERROR((F85*I85*J85),"")</f>
        <v/>
      </c>
      <c r="L85" s="285" t="str">
        <f t="shared" ref="L85:L86" si="48">IFERROR(((F85*I85)*J85)*(1-H85),"")</f>
        <v/>
      </c>
      <c r="M85" s="310" t="str">
        <f t="shared" ref="M85:M86" si="49">IFERROR((K85/12),"")</f>
        <v/>
      </c>
      <c r="N85" s="1121">
        <f t="shared" ref="N85" si="50">SUM(L85:L86)</f>
        <v>0</v>
      </c>
      <c r="O85" s="286"/>
      <c r="P85" s="9"/>
    </row>
    <row r="86" spans="2:16" ht="18.600000000000001" thickBot="1" x14ac:dyDescent="0.4">
      <c r="B86" s="1119"/>
      <c r="C86" s="1120"/>
      <c r="D86" s="287" t="s">
        <v>14</v>
      </c>
      <c r="E86" s="299"/>
      <c r="F86" s="292"/>
      <c r="G86" s="290"/>
      <c r="H86" s="291"/>
      <c r="I86" s="282" t="str">
        <f t="shared" si="4"/>
        <v/>
      </c>
      <c r="J86" s="283"/>
      <c r="K86" s="312" t="str">
        <f t="shared" si="47"/>
        <v/>
      </c>
      <c r="L86" s="296" t="str">
        <f t="shared" si="48"/>
        <v/>
      </c>
      <c r="M86" s="311" t="str">
        <f t="shared" si="49"/>
        <v/>
      </c>
      <c r="N86" s="1122"/>
      <c r="O86" s="286"/>
      <c r="P86" s="9"/>
    </row>
    <row r="87" spans="2:16" ht="18.600000000000001" thickBot="1" x14ac:dyDescent="0.4">
      <c r="B87" s="1117">
        <v>46288</v>
      </c>
      <c r="C87" s="1118"/>
      <c r="D87" s="277" t="s">
        <v>13</v>
      </c>
      <c r="E87" s="313"/>
      <c r="F87" s="314"/>
      <c r="G87" s="315"/>
      <c r="H87" s="316"/>
      <c r="I87" s="282" t="str">
        <f t="shared" ref="I87:I88" si="51">IFERROR((VLOOKUP(G87,S$6:T$8,2,FALSE)),"")</f>
        <v/>
      </c>
      <c r="J87" s="283"/>
      <c r="K87" s="284" t="str">
        <f t="shared" ref="K87:K88" si="52">IFERROR((F87*I87*J87),"")</f>
        <v/>
      </c>
      <c r="L87" s="285" t="str">
        <f t="shared" ref="L87:L88" si="53">IFERROR(((F87*I87)*J87)*(1-H87),"")</f>
        <v/>
      </c>
      <c r="M87" s="310" t="str">
        <f t="shared" ref="M87:M88" si="54">IFERROR((K87/12),"")</f>
        <v/>
      </c>
      <c r="N87" s="1121">
        <f t="shared" ref="N87" si="55">SUM(L87:L88)</f>
        <v>0</v>
      </c>
      <c r="O87" s="286"/>
      <c r="P87" s="9"/>
    </row>
    <row r="88" spans="2:16" ht="18.600000000000001" thickBot="1" x14ac:dyDescent="0.4">
      <c r="B88" s="1119"/>
      <c r="C88" s="1120"/>
      <c r="D88" s="287" t="s">
        <v>14</v>
      </c>
      <c r="E88" s="299"/>
      <c r="F88" s="292"/>
      <c r="G88" s="290"/>
      <c r="H88" s="291"/>
      <c r="I88" s="282" t="str">
        <f t="shared" si="51"/>
        <v/>
      </c>
      <c r="J88" s="283"/>
      <c r="K88" s="312" t="str">
        <f t="shared" si="52"/>
        <v/>
      </c>
      <c r="L88" s="296" t="str">
        <f t="shared" si="53"/>
        <v/>
      </c>
      <c r="M88" s="311" t="str">
        <f t="shared" si="54"/>
        <v/>
      </c>
      <c r="N88" s="1122"/>
      <c r="O88" s="286"/>
      <c r="P88" s="9"/>
    </row>
    <row r="89" spans="2:16" ht="18.600000000000001" thickBot="1" x14ac:dyDescent="0.4">
      <c r="B89" s="1117">
        <v>46289</v>
      </c>
      <c r="C89" s="1118"/>
      <c r="D89" s="277" t="s">
        <v>13</v>
      </c>
      <c r="E89" s="313"/>
      <c r="F89" s="314"/>
      <c r="G89" s="315"/>
      <c r="H89" s="316"/>
      <c r="I89" s="282" t="str">
        <f t="shared" ref="I89:I90" si="56">IFERROR((VLOOKUP(G89,S$6:T$8,2,FALSE)),"")</f>
        <v/>
      </c>
      <c r="J89" s="283"/>
      <c r="K89" s="284" t="str">
        <f t="shared" ref="K89:K90" si="57">IFERROR((F89*I89*J89),"")</f>
        <v/>
      </c>
      <c r="L89" s="285" t="str">
        <f t="shared" ref="L89:L90" si="58">IFERROR(((F89*I89)*J89)*(1-H89),"")</f>
        <v/>
      </c>
      <c r="M89" s="310" t="str">
        <f t="shared" ref="M89:M90" si="59">IFERROR((K89/12),"")</f>
        <v/>
      </c>
      <c r="N89" s="1121">
        <f t="shared" ref="N89" si="60">SUM(L89:L90)</f>
        <v>0</v>
      </c>
      <c r="O89" s="286"/>
      <c r="P89" s="9"/>
    </row>
    <row r="90" spans="2:16" ht="18.600000000000001" thickBot="1" x14ac:dyDescent="0.4">
      <c r="B90" s="1119"/>
      <c r="C90" s="1120"/>
      <c r="D90" s="287" t="s">
        <v>14</v>
      </c>
      <c r="E90" s="299"/>
      <c r="F90" s="292"/>
      <c r="G90" s="290"/>
      <c r="H90" s="291"/>
      <c r="I90" s="282" t="str">
        <f t="shared" si="56"/>
        <v/>
      </c>
      <c r="J90" s="283"/>
      <c r="K90" s="312" t="str">
        <f t="shared" si="57"/>
        <v/>
      </c>
      <c r="L90" s="296" t="str">
        <f t="shared" si="58"/>
        <v/>
      </c>
      <c r="M90" s="311" t="str">
        <f t="shared" si="59"/>
        <v/>
      </c>
      <c r="N90" s="1122"/>
      <c r="O90" s="286"/>
      <c r="P90" s="9"/>
    </row>
    <row r="91" spans="2:16" ht="18.600000000000001" thickBot="1" x14ac:dyDescent="0.4">
      <c r="B91" s="1117">
        <v>46290</v>
      </c>
      <c r="C91" s="1118"/>
      <c r="D91" s="277" t="s">
        <v>13</v>
      </c>
      <c r="E91" s="313"/>
      <c r="F91" s="314"/>
      <c r="G91" s="315"/>
      <c r="H91" s="316"/>
      <c r="I91" s="282" t="str">
        <f t="shared" ref="I91:I92" si="61">IFERROR((VLOOKUP(G91,S$6:T$8,2,FALSE)),"")</f>
        <v/>
      </c>
      <c r="J91" s="283"/>
      <c r="K91" s="284" t="str">
        <f t="shared" ref="K91:K92" si="62">IFERROR((F91*I91*J91),"")</f>
        <v/>
      </c>
      <c r="L91" s="285" t="str">
        <f t="shared" ref="L91:L92" si="63">IFERROR(((F91*I91)*J91)*(1-H91),"")</f>
        <v/>
      </c>
      <c r="M91" s="310" t="str">
        <f t="shared" ref="M91:M92" si="64">IFERROR((K91/12),"")</f>
        <v/>
      </c>
      <c r="N91" s="1121">
        <f t="shared" ref="N91" si="65">SUM(L91:L92)</f>
        <v>0</v>
      </c>
      <c r="O91" s="286"/>
      <c r="P91" s="9"/>
    </row>
    <row r="92" spans="2:16" ht="18.600000000000001" thickBot="1" x14ac:dyDescent="0.4">
      <c r="B92" s="1119"/>
      <c r="C92" s="1120"/>
      <c r="D92" s="287" t="s">
        <v>14</v>
      </c>
      <c r="E92" s="299"/>
      <c r="F92" s="292"/>
      <c r="G92" s="290"/>
      <c r="H92" s="291"/>
      <c r="I92" s="282" t="str">
        <f t="shared" si="61"/>
        <v/>
      </c>
      <c r="J92" s="283"/>
      <c r="K92" s="312" t="str">
        <f t="shared" si="62"/>
        <v/>
      </c>
      <c r="L92" s="296" t="str">
        <f t="shared" si="63"/>
        <v/>
      </c>
      <c r="M92" s="311" t="str">
        <f t="shared" si="64"/>
        <v/>
      </c>
      <c r="N92" s="1122"/>
      <c r="O92" s="286"/>
      <c r="P92" s="9"/>
    </row>
    <row r="93" spans="2:16" ht="18.600000000000001" thickBot="1" x14ac:dyDescent="0.4">
      <c r="B93" s="1117">
        <v>46291</v>
      </c>
      <c r="C93" s="1118"/>
      <c r="D93" s="277" t="s">
        <v>13</v>
      </c>
      <c r="E93" s="313"/>
      <c r="F93" s="314"/>
      <c r="G93" s="315"/>
      <c r="H93" s="316"/>
      <c r="I93" s="282" t="str">
        <f t="shared" ref="I93:I96" si="66">IFERROR((VLOOKUP(G93,S$6:T$8,2,FALSE)),"")</f>
        <v/>
      </c>
      <c r="J93" s="283"/>
      <c r="K93" s="284" t="str">
        <f t="shared" ref="K93:K96" si="67">IFERROR((F93*I93*J93),"")</f>
        <v/>
      </c>
      <c r="L93" s="285" t="str">
        <f t="shared" ref="L93:L96" si="68">IFERROR(((F93*I93)*J93)*(1-H93),"")</f>
        <v/>
      </c>
      <c r="M93" s="310" t="str">
        <f t="shared" ref="M93:M96" si="69">IFERROR((K93/12),"")</f>
        <v/>
      </c>
      <c r="N93" s="1121">
        <f t="shared" ref="N93" si="70">SUM(L93:L94)</f>
        <v>0</v>
      </c>
      <c r="O93" s="286"/>
      <c r="P93" s="9"/>
    </row>
    <row r="94" spans="2:16" ht="18.600000000000001" thickBot="1" x14ac:dyDescent="0.4">
      <c r="B94" s="1119"/>
      <c r="C94" s="1120"/>
      <c r="D94" s="287" t="s">
        <v>14</v>
      </c>
      <c r="E94" s="299"/>
      <c r="F94" s="292"/>
      <c r="G94" s="290"/>
      <c r="H94" s="291"/>
      <c r="I94" s="282" t="str">
        <f t="shared" si="66"/>
        <v/>
      </c>
      <c r="J94" s="283"/>
      <c r="K94" s="312" t="str">
        <f t="shared" si="67"/>
        <v/>
      </c>
      <c r="L94" s="296" t="str">
        <f t="shared" si="68"/>
        <v/>
      </c>
      <c r="M94" s="311" t="str">
        <f t="shared" si="69"/>
        <v/>
      </c>
      <c r="N94" s="1122"/>
      <c r="O94" s="286"/>
      <c r="P94" s="9"/>
    </row>
    <row r="95" spans="2:16" ht="18.600000000000001" thickBot="1" x14ac:dyDescent="0.4">
      <c r="B95" s="1117">
        <v>46292</v>
      </c>
      <c r="C95" s="1118"/>
      <c r="D95" s="277" t="s">
        <v>13</v>
      </c>
      <c r="E95" s="313"/>
      <c r="F95" s="314"/>
      <c r="G95" s="315"/>
      <c r="H95" s="316"/>
      <c r="I95" s="282" t="str">
        <f t="shared" si="66"/>
        <v/>
      </c>
      <c r="J95" s="283"/>
      <c r="K95" s="284" t="str">
        <f t="shared" si="67"/>
        <v/>
      </c>
      <c r="L95" s="285" t="str">
        <f t="shared" si="68"/>
        <v/>
      </c>
      <c r="M95" s="310" t="str">
        <f t="shared" si="69"/>
        <v/>
      </c>
      <c r="N95" s="1121">
        <f t="shared" ref="N95" si="71">SUM(L95:L96)</f>
        <v>0</v>
      </c>
      <c r="O95" s="286"/>
      <c r="P95" s="9"/>
    </row>
    <row r="96" spans="2:16" ht="18.600000000000001" thickBot="1" x14ac:dyDescent="0.4">
      <c r="B96" s="1119"/>
      <c r="C96" s="1120"/>
      <c r="D96" s="287" t="s">
        <v>14</v>
      </c>
      <c r="E96" s="299"/>
      <c r="F96" s="292"/>
      <c r="G96" s="290"/>
      <c r="H96" s="291"/>
      <c r="I96" s="282" t="str">
        <f t="shared" si="66"/>
        <v/>
      </c>
      <c r="J96" s="283"/>
      <c r="K96" s="312" t="str">
        <f t="shared" si="67"/>
        <v/>
      </c>
      <c r="L96" s="296" t="str">
        <f t="shared" si="68"/>
        <v/>
      </c>
      <c r="M96" s="311" t="str">
        <f t="shared" si="69"/>
        <v/>
      </c>
      <c r="N96" s="1122"/>
      <c r="O96" s="286"/>
      <c r="P96" s="9"/>
    </row>
    <row r="97" spans="2:19" ht="18.600000000000001" thickBot="1" x14ac:dyDescent="0.4">
      <c r="B97" s="1117">
        <v>46293</v>
      </c>
      <c r="C97" s="1118"/>
      <c r="D97" s="277" t="s">
        <v>13</v>
      </c>
      <c r="E97" s="313"/>
      <c r="F97" s="314"/>
      <c r="G97" s="315"/>
      <c r="H97" s="316"/>
      <c r="I97" s="282" t="str">
        <f t="shared" ref="I97:I102" si="72">IFERROR((VLOOKUP(G97,S$6:T$8,2,FALSE)),"")</f>
        <v/>
      </c>
      <c r="J97" s="283"/>
      <c r="K97" s="284" t="str">
        <f t="shared" ref="K97:K102" si="73">IFERROR((F97*I97*J97),"")</f>
        <v/>
      </c>
      <c r="L97" s="285" t="str">
        <f t="shared" ref="L97:L102" si="74">IFERROR(((F97*I97)*J97)*(1-H97),"")</f>
        <v/>
      </c>
      <c r="M97" s="310" t="str">
        <f t="shared" ref="M97:M102" si="75">IFERROR((K97/12),"")</f>
        <v/>
      </c>
      <c r="N97" s="1121">
        <f t="shared" ref="N97" si="76">SUM(L97:L98)</f>
        <v>0</v>
      </c>
      <c r="O97" s="286"/>
      <c r="P97" s="9"/>
    </row>
    <row r="98" spans="2:19" ht="18.600000000000001" thickBot="1" x14ac:dyDescent="0.4">
      <c r="B98" s="1119"/>
      <c r="C98" s="1120"/>
      <c r="D98" s="287" t="s">
        <v>14</v>
      </c>
      <c r="E98" s="299"/>
      <c r="F98" s="292"/>
      <c r="G98" s="290"/>
      <c r="H98" s="291"/>
      <c r="I98" s="282" t="str">
        <f t="shared" si="72"/>
        <v/>
      </c>
      <c r="J98" s="283"/>
      <c r="K98" s="312" t="str">
        <f t="shared" si="73"/>
        <v/>
      </c>
      <c r="L98" s="296" t="str">
        <f t="shared" si="74"/>
        <v/>
      </c>
      <c r="M98" s="311" t="str">
        <f t="shared" si="75"/>
        <v/>
      </c>
      <c r="N98" s="1122"/>
      <c r="O98" s="286"/>
      <c r="P98" s="9"/>
    </row>
    <row r="99" spans="2:19" ht="18.600000000000001" thickBot="1" x14ac:dyDescent="0.4">
      <c r="B99" s="1117">
        <v>46294</v>
      </c>
      <c r="C99" s="1118"/>
      <c r="D99" s="277" t="s">
        <v>13</v>
      </c>
      <c r="E99" s="313"/>
      <c r="F99" s="314"/>
      <c r="G99" s="315"/>
      <c r="H99" s="316"/>
      <c r="I99" s="282" t="str">
        <f t="shared" si="72"/>
        <v/>
      </c>
      <c r="J99" s="283"/>
      <c r="K99" s="284" t="str">
        <f t="shared" si="73"/>
        <v/>
      </c>
      <c r="L99" s="285" t="str">
        <f t="shared" si="74"/>
        <v/>
      </c>
      <c r="M99" s="310" t="str">
        <f t="shared" si="75"/>
        <v/>
      </c>
      <c r="N99" s="1121">
        <f t="shared" ref="N99" si="77">SUM(L99:L100)</f>
        <v>0</v>
      </c>
      <c r="O99" s="286"/>
      <c r="P99" s="9"/>
    </row>
    <row r="100" spans="2:19" ht="18.600000000000001" thickBot="1" x14ac:dyDescent="0.4">
      <c r="B100" s="1119"/>
      <c r="C100" s="1120"/>
      <c r="D100" s="287" t="s">
        <v>14</v>
      </c>
      <c r="E100" s="299"/>
      <c r="F100" s="292"/>
      <c r="G100" s="290"/>
      <c r="H100" s="291"/>
      <c r="I100" s="282" t="str">
        <f t="shared" si="72"/>
        <v/>
      </c>
      <c r="J100" s="283"/>
      <c r="K100" s="312" t="str">
        <f t="shared" si="73"/>
        <v/>
      </c>
      <c r="L100" s="296" t="str">
        <f t="shared" si="74"/>
        <v/>
      </c>
      <c r="M100" s="311" t="str">
        <f t="shared" si="75"/>
        <v/>
      </c>
      <c r="N100" s="1122"/>
      <c r="O100" s="286"/>
      <c r="P100" s="9"/>
    </row>
    <row r="101" spans="2:19" ht="18.600000000000001" thickBot="1" x14ac:dyDescent="0.4">
      <c r="B101" s="1117">
        <v>46295</v>
      </c>
      <c r="C101" s="1118"/>
      <c r="D101" s="277" t="s">
        <v>13</v>
      </c>
      <c r="E101" s="313"/>
      <c r="F101" s="314"/>
      <c r="G101" s="315"/>
      <c r="H101" s="316"/>
      <c r="I101" s="282" t="str">
        <f t="shared" si="72"/>
        <v/>
      </c>
      <c r="J101" s="283"/>
      <c r="K101" s="284" t="str">
        <f t="shared" si="73"/>
        <v/>
      </c>
      <c r="L101" s="285" t="str">
        <f t="shared" si="74"/>
        <v/>
      </c>
      <c r="M101" s="310" t="str">
        <f t="shared" si="75"/>
        <v/>
      </c>
      <c r="N101" s="1121">
        <f>SUM(L101:L102)</f>
        <v>0</v>
      </c>
      <c r="O101" s="286"/>
      <c r="P101" s="9"/>
    </row>
    <row r="102" spans="2:19" ht="18.600000000000001" thickBot="1" x14ac:dyDescent="0.4">
      <c r="B102" s="1119"/>
      <c r="C102" s="1120"/>
      <c r="D102" s="287" t="s">
        <v>14</v>
      </c>
      <c r="E102" s="299"/>
      <c r="F102" s="292"/>
      <c r="G102" s="290"/>
      <c r="H102" s="291"/>
      <c r="I102" s="282" t="str">
        <f t="shared" si="72"/>
        <v/>
      </c>
      <c r="J102" s="283"/>
      <c r="K102" s="312" t="str">
        <f t="shared" si="73"/>
        <v/>
      </c>
      <c r="L102" s="296" t="str">
        <f t="shared" si="74"/>
        <v/>
      </c>
      <c r="M102" s="311" t="str">
        <f t="shared" si="75"/>
        <v/>
      </c>
      <c r="N102" s="1122"/>
      <c r="O102" s="286"/>
      <c r="P102" s="9"/>
    </row>
    <row r="103" spans="2:19" ht="18" x14ac:dyDescent="0.35">
      <c r="B103" s="1125" t="s">
        <v>17</v>
      </c>
      <c r="C103" s="1126"/>
      <c r="D103" s="320"/>
      <c r="E103" s="321"/>
      <c r="F103" s="322">
        <f>AVERAGE(F6:F86)</f>
        <v>216.44</v>
      </c>
      <c r="G103" s="323"/>
      <c r="H103" s="324">
        <f>AVERAGE(H6:H84)</f>
        <v>0.11208333333333338</v>
      </c>
      <c r="I103" s="325" t="str">
        <f t="shared" si="4"/>
        <v/>
      </c>
      <c r="J103" s="326"/>
      <c r="K103" s="327">
        <f>AVERAGE(K6:K67)</f>
        <v>150.69119047619046</v>
      </c>
      <c r="L103" s="328">
        <f>AVERAGE(L6:L80)</f>
        <v>131.24917692307693</v>
      </c>
      <c r="M103" s="329">
        <f>AVERAGE(M6:M102)</f>
        <v>13.561493055555557</v>
      </c>
      <c r="N103" s="336">
        <f>AVERAGE(N6:N84)</f>
        <v>87.499451282051297</v>
      </c>
      <c r="O103" s="286"/>
      <c r="S103" s="4"/>
    </row>
    <row r="104" spans="2:19" ht="18.600000000000001" thickBot="1" x14ac:dyDescent="0.4">
      <c r="B104" s="1127" t="s">
        <v>18</v>
      </c>
      <c r="C104" s="1128"/>
      <c r="D104" s="330"/>
      <c r="E104" s="330"/>
      <c r="F104" s="331">
        <f>SUM(F6:F84)</f>
        <v>5411</v>
      </c>
      <c r="G104" s="330"/>
      <c r="H104" s="332"/>
      <c r="I104" s="332"/>
      <c r="J104" s="330"/>
      <c r="K104" s="333"/>
      <c r="L104" s="334"/>
      <c r="M104" s="330"/>
      <c r="N104" s="337">
        <f>SUM(N6:N102)</f>
        <v>3412.4786000000004</v>
      </c>
      <c r="O104" s="286"/>
      <c r="Q104" s="4"/>
      <c r="R104" s="4"/>
      <c r="S104" s="2"/>
    </row>
    <row r="105" spans="2:19" ht="15" thickBot="1" x14ac:dyDescent="0.35">
      <c r="D105" s="7"/>
      <c r="F105" s="266"/>
      <c r="H105" s="269"/>
      <c r="I105" s="271"/>
    </row>
    <row r="106" spans="2:19" x14ac:dyDescent="0.3">
      <c r="K106" s="11"/>
      <c r="N106" s="972"/>
    </row>
    <row r="107" spans="2:19" x14ac:dyDescent="0.3">
      <c r="F107" s="267"/>
      <c r="I107" s="267"/>
    </row>
  </sheetData>
  <mergeCells count="103"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74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G137" zoomScale="71" zoomScaleNormal="55" workbookViewId="0">
      <selection activeCell="T162" sqref="T16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2" customWidth="1"/>
    <col min="9" max="9" width="9.5546875" style="362" customWidth="1"/>
    <col min="10" max="10" width="11.21875" style="362" customWidth="1"/>
    <col min="11" max="11" width="12" style="362" customWidth="1"/>
    <col min="12" max="12" width="11.77734375" style="362" customWidth="1"/>
    <col min="13" max="13" width="14.44140625" style="362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47" t="s">
        <v>414</v>
      </c>
      <c r="C2" s="1148"/>
      <c r="D2" s="1148"/>
      <c r="E2" s="1148"/>
      <c r="F2" s="1148"/>
      <c r="G2" s="1148"/>
      <c r="H2" s="1148"/>
      <c r="I2" s="1148"/>
      <c r="J2" s="1148"/>
      <c r="K2" s="1148"/>
      <c r="L2" s="1148"/>
      <c r="M2" s="1149"/>
      <c r="AD2" s="14">
        <v>2</v>
      </c>
      <c r="AE2" s="14">
        <v>9.9000000000000005E-2</v>
      </c>
    </row>
    <row r="3" spans="2:31" ht="15" thickBot="1" x14ac:dyDescent="0.35">
      <c r="B3" s="1147" t="s">
        <v>198</v>
      </c>
      <c r="C3" s="1148"/>
      <c r="D3" s="1148"/>
      <c r="E3" s="1148"/>
      <c r="F3" s="1148"/>
      <c r="G3" s="1148"/>
      <c r="H3" s="1148"/>
      <c r="I3" s="1148"/>
      <c r="J3" s="1148"/>
      <c r="K3" s="1148"/>
      <c r="L3" s="1148"/>
      <c r="M3" s="1149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3"/>
      <c r="I4" s="363"/>
      <c r="J4" s="363"/>
      <c r="K4" s="363"/>
      <c r="L4" s="363"/>
      <c r="M4" s="363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3"/>
      <c r="I5" s="363"/>
      <c r="J5" s="363"/>
      <c r="K5" s="363"/>
      <c r="L5" s="363"/>
      <c r="M5" s="363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1" t="s">
        <v>179</v>
      </c>
      <c r="E7" s="361" t="s">
        <v>180</v>
      </c>
      <c r="F7" s="361" t="s">
        <v>181</v>
      </c>
      <c r="G7" s="361" t="s">
        <v>182</v>
      </c>
      <c r="H7" s="361" t="s">
        <v>183</v>
      </c>
      <c r="I7" s="361" t="s">
        <v>184</v>
      </c>
      <c r="J7" s="361" t="s">
        <v>374</v>
      </c>
      <c r="K7" s="361" t="s">
        <v>375</v>
      </c>
      <c r="L7" s="361" t="s">
        <v>186</v>
      </c>
      <c r="M7" s="361" t="s">
        <v>196</v>
      </c>
      <c r="Q7" s="1114" t="s">
        <v>340</v>
      </c>
      <c r="R7" s="1114"/>
      <c r="S7" s="1114"/>
      <c r="T7" s="1114"/>
      <c r="U7" s="1114"/>
      <c r="V7" s="1114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4">
        <v>41</v>
      </c>
      <c r="I8" s="364">
        <v>1.35</v>
      </c>
      <c r="J8" s="369">
        <f>H8*I8</f>
        <v>55.35</v>
      </c>
      <c r="K8" s="369">
        <f>I8*G8</f>
        <v>0</v>
      </c>
      <c r="L8" s="364">
        <v>1.0269999999999999</v>
      </c>
      <c r="M8" s="369">
        <f>L8*J8</f>
        <v>56.844449999999995</v>
      </c>
      <c r="N8" s="1" t="s">
        <v>206</v>
      </c>
      <c r="O8" s="1">
        <f>MEDIAN(L8:L39)</f>
        <v>1.1160000000000001</v>
      </c>
      <c r="Q8" s="253" t="s">
        <v>71</v>
      </c>
      <c r="R8" s="253" t="s">
        <v>341</v>
      </c>
      <c r="S8" s="253" t="s">
        <v>1</v>
      </c>
      <c r="T8" s="253" t="s">
        <v>342</v>
      </c>
      <c r="U8" s="253" t="s">
        <v>343</v>
      </c>
      <c r="V8" s="253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4">
        <v>16</v>
      </c>
      <c r="I9" s="364">
        <v>1.35</v>
      </c>
      <c r="J9" s="369">
        <f t="shared" ref="J9:J12" si="0">H9*I9</f>
        <v>21.6</v>
      </c>
      <c r="K9" s="369">
        <f t="shared" ref="K9:K12" si="1">I9*G9</f>
        <v>0</v>
      </c>
      <c r="L9" s="364">
        <v>1.228</v>
      </c>
      <c r="M9" s="369">
        <f t="shared" ref="M9:M39" si="2">L9*J9</f>
        <v>26.524800000000003</v>
      </c>
      <c r="N9" s="30" t="s">
        <v>415</v>
      </c>
      <c r="O9" s="118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4" t="s">
        <v>269</v>
      </c>
      <c r="Z9" s="134">
        <f>AVERAGE(T9:T261)</f>
        <v>0.83493125000000012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4">
        <v>93</v>
      </c>
      <c r="I10" s="364">
        <v>1.35</v>
      </c>
      <c r="J10" s="369">
        <f t="shared" si="0"/>
        <v>125.55000000000001</v>
      </c>
      <c r="K10" s="369">
        <f t="shared" si="1"/>
        <v>0</v>
      </c>
      <c r="L10" s="372">
        <v>0.6</v>
      </c>
      <c r="M10" s="369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4" t="s">
        <v>206</v>
      </c>
      <c r="Z10" s="134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4">
        <v>40</v>
      </c>
      <c r="I11" s="364">
        <v>1.35</v>
      </c>
      <c r="J11" s="369">
        <f t="shared" si="0"/>
        <v>54</v>
      </c>
      <c r="K11" s="369">
        <f t="shared" si="1"/>
        <v>0</v>
      </c>
      <c r="L11" s="364">
        <v>1.0269999999999999</v>
      </c>
      <c r="M11" s="369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4" t="s">
        <v>204</v>
      </c>
      <c r="Z11" s="134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4">
        <v>13</v>
      </c>
      <c r="I12" s="364">
        <v>1.35</v>
      </c>
      <c r="J12" s="369">
        <f t="shared" si="0"/>
        <v>17.55</v>
      </c>
      <c r="K12" s="369">
        <f t="shared" si="1"/>
        <v>0</v>
      </c>
      <c r="L12" s="364">
        <v>1.228</v>
      </c>
      <c r="M12" s="369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4" t="s">
        <v>203</v>
      </c>
      <c r="Z12" s="134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4">
        <v>310</v>
      </c>
      <c r="I13" s="364">
        <v>1.39</v>
      </c>
      <c r="J13" s="369">
        <f>H13*I13</f>
        <v>430.9</v>
      </c>
      <c r="K13" s="369">
        <f t="shared" ref="K13:K22" si="3">I13*G13</f>
        <v>278</v>
      </c>
      <c r="L13" s="364">
        <v>1.1220000000000001</v>
      </c>
      <c r="M13" s="369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5" t="s">
        <v>370</v>
      </c>
      <c r="Z13" s="39">
        <f>((Z9-Z10)/(Z9+Z10)/2)</f>
        <v>7.6637357609347867E-2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4">
        <v>190</v>
      </c>
      <c r="I14" s="364">
        <v>1.39</v>
      </c>
      <c r="J14" s="369">
        <f>H14*I14</f>
        <v>264.09999999999997</v>
      </c>
      <c r="K14" s="369">
        <f t="shared" si="3"/>
        <v>305.79999999999995</v>
      </c>
      <c r="L14" s="364">
        <v>1.1220000000000001</v>
      </c>
      <c r="M14" s="369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5" t="s">
        <v>270</v>
      </c>
      <c r="Z14" s="134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4">
        <v>34</v>
      </c>
      <c r="I15" s="364">
        <v>1.39</v>
      </c>
      <c r="J15" s="369">
        <f>H15*I15</f>
        <v>47.26</v>
      </c>
      <c r="K15" s="369">
        <f t="shared" si="3"/>
        <v>291.89999999999998</v>
      </c>
      <c r="L15" s="364">
        <v>1.02</v>
      </c>
      <c r="M15" s="369">
        <f t="shared" si="2"/>
        <v>48.205199999999998</v>
      </c>
      <c r="N15" s="118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3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4"/>
      <c r="E16" s="14"/>
      <c r="F16" s="14" t="s">
        <v>337</v>
      </c>
      <c r="G16" s="14">
        <v>30</v>
      </c>
      <c r="H16" s="364">
        <v>64</v>
      </c>
      <c r="I16" s="364">
        <v>1.39</v>
      </c>
      <c r="J16" s="369">
        <f>H16*I16</f>
        <v>88.96</v>
      </c>
      <c r="K16" s="369">
        <f t="shared" si="3"/>
        <v>41.699999999999996</v>
      </c>
      <c r="L16" s="402">
        <v>1.02</v>
      </c>
      <c r="M16" s="369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4">
        <v>62</v>
      </c>
      <c r="I17" s="364">
        <v>1.39</v>
      </c>
      <c r="J17" s="369">
        <f t="shared" ref="J17:J39" si="4">H17*I17</f>
        <v>86.179999999999993</v>
      </c>
      <c r="K17" s="369">
        <f t="shared" si="3"/>
        <v>83.399999999999991</v>
      </c>
      <c r="L17" s="364">
        <v>0.93500000000000005</v>
      </c>
      <c r="M17" s="369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4">
        <v>108</v>
      </c>
      <c r="I18" s="364">
        <v>1.39</v>
      </c>
      <c r="J18" s="369">
        <f t="shared" si="4"/>
        <v>150.11999999999998</v>
      </c>
      <c r="K18" s="369">
        <f t="shared" si="3"/>
        <v>83.399999999999991</v>
      </c>
      <c r="L18" s="364">
        <v>1.1100000000000001</v>
      </c>
      <c r="M18" s="369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4">
        <v>130</v>
      </c>
      <c r="I19" s="364">
        <v>1.39</v>
      </c>
      <c r="J19" s="369">
        <f>H19*I19</f>
        <v>180.7</v>
      </c>
      <c r="K19" s="369">
        <f t="shared" si="3"/>
        <v>208.49999999999997</v>
      </c>
      <c r="L19" s="364">
        <v>12.308999999999999</v>
      </c>
      <c r="M19" s="369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4">
        <v>94</v>
      </c>
      <c r="I20" s="364">
        <v>1.39</v>
      </c>
      <c r="J20" s="369">
        <f t="shared" si="4"/>
        <v>130.66</v>
      </c>
      <c r="K20" s="369">
        <f t="shared" si="3"/>
        <v>152.89999999999998</v>
      </c>
      <c r="L20" s="364">
        <v>0.86</v>
      </c>
      <c r="M20" s="369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4">
        <v>310</v>
      </c>
      <c r="I21" s="389">
        <v>1.3</v>
      </c>
      <c r="J21" s="369">
        <f t="shared" si="4"/>
        <v>403</v>
      </c>
      <c r="K21" s="369">
        <f t="shared" si="3"/>
        <v>130</v>
      </c>
      <c r="L21" s="364">
        <v>1.2969999999999999</v>
      </c>
      <c r="M21" s="369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4">
        <v>56</v>
      </c>
      <c r="I22" s="389">
        <v>1.3</v>
      </c>
      <c r="J22" s="369">
        <f t="shared" si="4"/>
        <v>72.8</v>
      </c>
      <c r="K22" s="369">
        <f t="shared" si="3"/>
        <v>364</v>
      </c>
      <c r="L22" s="364">
        <v>1.4970000000000001</v>
      </c>
      <c r="M22" s="369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5">
        <v>46263</v>
      </c>
      <c r="D23" s="404"/>
      <c r="E23" s="404"/>
      <c r="F23" s="404"/>
      <c r="G23" s="248"/>
      <c r="H23" s="248"/>
      <c r="I23" s="248"/>
      <c r="J23" s="248"/>
      <c r="K23" s="248"/>
      <c r="L23" s="365"/>
      <c r="M23" s="369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5">
        <v>46264</v>
      </c>
      <c r="D24" s="6"/>
      <c r="E24" s="6"/>
      <c r="F24" s="6"/>
      <c r="G24" s="6"/>
      <c r="H24" s="365"/>
      <c r="I24" s="364"/>
      <c r="J24" s="369">
        <f t="shared" si="4"/>
        <v>0</v>
      </c>
      <c r="K24" s="369"/>
      <c r="L24" s="365"/>
      <c r="M24" s="369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5">
        <v>46265</v>
      </c>
      <c r="D25" s="6"/>
      <c r="E25" s="6"/>
      <c r="F25" s="14" t="s">
        <v>337</v>
      </c>
      <c r="G25" s="6"/>
      <c r="H25" s="365">
        <v>23</v>
      </c>
      <c r="I25" s="364">
        <v>1.3</v>
      </c>
      <c r="J25" s="369">
        <f t="shared" si="4"/>
        <v>29.900000000000002</v>
      </c>
      <c r="K25" s="369"/>
      <c r="L25" s="365">
        <v>1.23</v>
      </c>
      <c r="M25" s="369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5">
        <v>46266</v>
      </c>
      <c r="D26" s="6"/>
      <c r="E26" s="6"/>
      <c r="F26" s="14"/>
      <c r="G26" s="6"/>
      <c r="H26" s="365"/>
      <c r="I26" s="364"/>
      <c r="J26" s="369">
        <f t="shared" si="4"/>
        <v>0</v>
      </c>
      <c r="K26" s="369"/>
      <c r="L26" s="365"/>
      <c r="M26" s="369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5">
        <v>46267</v>
      </c>
      <c r="D27" s="6"/>
      <c r="E27" s="6"/>
      <c r="F27" s="14"/>
      <c r="G27" s="6"/>
      <c r="H27" s="365"/>
      <c r="I27" s="364"/>
      <c r="J27" s="369">
        <f t="shared" si="4"/>
        <v>0</v>
      </c>
      <c r="K27" s="369"/>
      <c r="L27" s="365"/>
      <c r="M27" s="369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5">
        <v>46268</v>
      </c>
      <c r="D28" s="6"/>
      <c r="E28" s="6"/>
      <c r="F28" s="14"/>
      <c r="G28" s="6"/>
      <c r="H28" s="365"/>
      <c r="I28" s="364"/>
      <c r="J28" s="369">
        <f t="shared" si="4"/>
        <v>0</v>
      </c>
      <c r="K28" s="369"/>
      <c r="L28" s="365"/>
      <c r="M28" s="369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5">
        <v>46269</v>
      </c>
      <c r="D29" s="6"/>
      <c r="E29" s="6"/>
      <c r="F29" s="14" t="s">
        <v>337</v>
      </c>
      <c r="G29" s="6"/>
      <c r="H29" s="365">
        <v>90</v>
      </c>
      <c r="I29" s="364">
        <v>1.3</v>
      </c>
      <c r="J29" s="369">
        <f t="shared" si="4"/>
        <v>117</v>
      </c>
      <c r="K29" s="369"/>
      <c r="L29" s="365">
        <v>0.8</v>
      </c>
      <c r="M29" s="369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5">
        <v>46270</v>
      </c>
      <c r="D30" s="6"/>
      <c r="E30" s="6"/>
      <c r="F30" s="14"/>
      <c r="G30" s="6"/>
      <c r="H30" s="365"/>
      <c r="I30" s="364"/>
      <c r="J30" s="369">
        <f t="shared" si="4"/>
        <v>0</v>
      </c>
      <c r="K30" s="369"/>
      <c r="L30" s="365"/>
      <c r="M30" s="369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5">
        <v>46271</v>
      </c>
      <c r="D31" s="6"/>
      <c r="E31" s="6"/>
      <c r="F31" s="14"/>
      <c r="G31" s="6"/>
      <c r="H31" s="365"/>
      <c r="I31" s="364"/>
      <c r="J31" s="369">
        <f t="shared" si="4"/>
        <v>0</v>
      </c>
      <c r="K31" s="369"/>
      <c r="L31" s="365"/>
      <c r="M31" s="369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5">
        <v>46272</v>
      </c>
      <c r="D32" s="6"/>
      <c r="E32" s="6"/>
      <c r="F32" s="14"/>
      <c r="G32" s="6"/>
      <c r="H32" s="365"/>
      <c r="I32" s="364"/>
      <c r="J32" s="369">
        <f t="shared" si="4"/>
        <v>0</v>
      </c>
      <c r="K32" s="369"/>
      <c r="L32" s="365"/>
      <c r="M32" s="369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5">
        <v>46273</v>
      </c>
      <c r="D33" s="6"/>
      <c r="E33" s="6"/>
      <c r="F33" s="14"/>
      <c r="G33" s="6"/>
      <c r="H33" s="365"/>
      <c r="I33" s="364"/>
      <c r="J33" s="369">
        <f t="shared" si="4"/>
        <v>0</v>
      </c>
      <c r="K33" s="369"/>
      <c r="L33" s="365"/>
      <c r="M33" s="369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5">
        <v>46274</v>
      </c>
      <c r="D34" s="6"/>
      <c r="E34" s="6"/>
      <c r="F34" s="14"/>
      <c r="G34" s="6"/>
      <c r="H34" s="365"/>
      <c r="I34" s="364"/>
      <c r="J34" s="369">
        <f t="shared" si="4"/>
        <v>0</v>
      </c>
      <c r="K34" s="369"/>
      <c r="L34" s="365"/>
      <c r="M34" s="369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5">
        <v>46275</v>
      </c>
      <c r="D35" s="6"/>
      <c r="E35" s="6"/>
      <c r="F35" s="14" t="s">
        <v>337</v>
      </c>
      <c r="G35" s="6"/>
      <c r="H35" s="365">
        <v>312</v>
      </c>
      <c r="I35" s="364">
        <v>1.3</v>
      </c>
      <c r="J35" s="369">
        <f t="shared" si="4"/>
        <v>405.6</v>
      </c>
      <c r="K35" s="369"/>
      <c r="L35" s="365">
        <v>1.3</v>
      </c>
      <c r="M35" s="369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5">
        <v>46276</v>
      </c>
      <c r="D36" s="6"/>
      <c r="E36" s="6"/>
      <c r="F36" s="6"/>
      <c r="G36" s="6"/>
      <c r="H36" s="365"/>
      <c r="I36" s="364"/>
      <c r="J36" s="369">
        <f t="shared" si="4"/>
        <v>0</v>
      </c>
      <c r="K36" s="369"/>
      <c r="L36" s="365"/>
      <c r="M36" s="369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5">
        <v>46277</v>
      </c>
      <c r="D37" s="6"/>
      <c r="E37" s="6"/>
      <c r="F37" s="6"/>
      <c r="G37" s="6"/>
      <c r="H37" s="365"/>
      <c r="I37" s="364"/>
      <c r="J37" s="369">
        <f t="shared" si="4"/>
        <v>0</v>
      </c>
      <c r="K37" s="369"/>
      <c r="L37" s="365"/>
      <c r="M37" s="369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5">
        <v>46278</v>
      </c>
      <c r="D38" s="6"/>
      <c r="E38" s="6"/>
      <c r="F38" s="6"/>
      <c r="G38" s="6"/>
      <c r="H38" s="365"/>
      <c r="I38" s="364"/>
      <c r="J38" s="369">
        <f t="shared" si="4"/>
        <v>0</v>
      </c>
      <c r="K38" s="369"/>
      <c r="L38" s="365"/>
      <c r="M38" s="369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5">
        <v>46279</v>
      </c>
      <c r="D39" s="6"/>
      <c r="E39" s="6"/>
      <c r="F39" s="6"/>
      <c r="G39" s="6"/>
      <c r="H39" s="365"/>
      <c r="I39" s="364"/>
      <c r="J39" s="369">
        <f t="shared" si="4"/>
        <v>0</v>
      </c>
      <c r="K39" s="369"/>
      <c r="L39" s="365"/>
      <c r="M39" s="369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50" t="s">
        <v>417</v>
      </c>
      <c r="AH39" s="1151"/>
      <c r="AI39" s="1151"/>
      <c r="AJ39" s="1151"/>
      <c r="AK39" s="1151"/>
      <c r="AL39" s="1152"/>
    </row>
    <row r="40" spans="2:38" x14ac:dyDescent="0.3">
      <c r="B40" s="132" t="s">
        <v>122</v>
      </c>
      <c r="C40" s="405">
        <v>46280</v>
      </c>
      <c r="D40" s="132"/>
      <c r="E40" s="132"/>
      <c r="F40" s="132"/>
      <c r="G40" s="132"/>
      <c r="H40" s="366"/>
      <c r="I40" s="403">
        <f>AVERAGE(I8:I39)</f>
        <v>1.3538888888888894</v>
      </c>
      <c r="J40" s="366"/>
      <c r="K40" s="366"/>
      <c r="L40" s="403">
        <f>AVERAGE(L8:L22)</f>
        <v>1.8267999999999998</v>
      </c>
      <c r="M40" s="374">
        <f>SUM(M8:M39)</f>
        <v>5027.5880500000003</v>
      </c>
      <c r="N40" s="13"/>
      <c r="O40" s="137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53"/>
      <c r="AH40" s="1154"/>
      <c r="AI40" s="1154"/>
      <c r="AJ40" s="1154"/>
      <c r="AK40" s="1154"/>
      <c r="AL40" s="1155"/>
    </row>
    <row r="41" spans="2:38" x14ac:dyDescent="0.3">
      <c r="B41" s="132" t="s">
        <v>18</v>
      </c>
      <c r="C41" s="132"/>
      <c r="D41" s="135"/>
      <c r="E41" s="135"/>
      <c r="F41" s="135"/>
      <c r="G41" s="135">
        <f>SUM(G8:G39)</f>
        <v>1420</v>
      </c>
      <c r="H41" s="367">
        <f>SUM(H8:H39)</f>
        <v>1986</v>
      </c>
      <c r="I41" s="367"/>
      <c r="J41" s="370">
        <f>SUM(J8:J39)</f>
        <v>2681.2300000000005</v>
      </c>
      <c r="K41" s="370">
        <f>SUM(K8:K39)</f>
        <v>1939.6</v>
      </c>
      <c r="L41" s="403">
        <f>MEDIAN(L8:L22)</f>
        <v>1.1100000000000001</v>
      </c>
      <c r="M41" s="370">
        <f>L41*J41</f>
        <v>2976.1653000000006</v>
      </c>
      <c r="N41" s="10"/>
      <c r="Q41" s="209">
        <v>33</v>
      </c>
      <c r="R41" s="209" t="s">
        <v>378</v>
      </c>
      <c r="S41" s="74">
        <v>46251</v>
      </c>
      <c r="T41" s="14">
        <v>1.0349999999999999</v>
      </c>
      <c r="U41" s="209"/>
      <c r="V41" s="209"/>
      <c r="AD41" s="14">
        <v>41</v>
      </c>
      <c r="AE41" s="6">
        <v>0.48799999999999999</v>
      </c>
      <c r="AG41" s="375">
        <v>1</v>
      </c>
      <c r="AH41" s="30">
        <v>0.81</v>
      </c>
      <c r="AJ41" s="1">
        <v>1</v>
      </c>
      <c r="AK41" s="175">
        <v>1.6</v>
      </c>
      <c r="AL41" s="376"/>
    </row>
    <row r="42" spans="2:38" x14ac:dyDescent="0.3">
      <c r="L42" s="373"/>
      <c r="Q42" s="209">
        <v>34</v>
      </c>
      <c r="R42" s="209" t="s">
        <v>379</v>
      </c>
      <c r="S42" s="74">
        <v>46251</v>
      </c>
      <c r="T42" s="14">
        <v>0.52600000000000002</v>
      </c>
      <c r="U42" s="209"/>
      <c r="V42" s="209"/>
      <c r="Y42" s="2"/>
      <c r="AD42" s="14">
        <v>42</v>
      </c>
      <c r="AE42" s="14">
        <v>0.48899999999999999</v>
      </c>
      <c r="AG42" s="375">
        <v>2</v>
      </c>
      <c r="AH42" s="30">
        <v>0.81</v>
      </c>
      <c r="AJ42" s="1">
        <v>2</v>
      </c>
      <c r="AK42" s="175">
        <v>1.6</v>
      </c>
      <c r="AL42" s="376"/>
    </row>
    <row r="43" spans="2:38" ht="43.2" x14ac:dyDescent="0.3">
      <c r="L43" s="390" t="s">
        <v>434</v>
      </c>
      <c r="M43" s="389">
        <f>M40/J41</f>
        <v>1.8751051010170703</v>
      </c>
      <c r="Q43" s="209">
        <v>35</v>
      </c>
      <c r="R43" s="209" t="s">
        <v>380</v>
      </c>
      <c r="S43" s="74">
        <v>46251</v>
      </c>
      <c r="T43" s="14">
        <v>0.81599999999999995</v>
      </c>
      <c r="U43" s="209"/>
      <c r="V43" s="209"/>
      <c r="AD43" s="14">
        <v>43</v>
      </c>
      <c r="AE43" s="14">
        <v>0.501</v>
      </c>
      <c r="AG43" s="375">
        <v>3</v>
      </c>
      <c r="AH43" s="30">
        <v>0.81</v>
      </c>
      <c r="AJ43" s="1">
        <v>3</v>
      </c>
      <c r="AK43" s="175">
        <v>1.6</v>
      </c>
      <c r="AL43" s="376"/>
    </row>
    <row r="44" spans="2:38" x14ac:dyDescent="0.3">
      <c r="I44" s="368"/>
      <c r="J44" s="368"/>
      <c r="K44" s="368"/>
      <c r="L44" s="373"/>
      <c r="Q44" s="209">
        <v>36</v>
      </c>
      <c r="R44" s="209" t="s">
        <v>381</v>
      </c>
      <c r="S44" s="74">
        <v>46251</v>
      </c>
      <c r="T44" s="14">
        <v>0.34399999999999997</v>
      </c>
      <c r="U44" s="209"/>
      <c r="V44" s="209"/>
      <c r="AD44" s="14">
        <v>44</v>
      </c>
      <c r="AE44" s="14">
        <v>0.502</v>
      </c>
      <c r="AG44" s="375">
        <v>4</v>
      </c>
      <c r="AH44" s="30">
        <v>0.81</v>
      </c>
      <c r="AJ44" s="1">
        <v>4</v>
      </c>
      <c r="AK44" s="175">
        <v>1.6</v>
      </c>
      <c r="AL44" s="376"/>
    </row>
    <row r="45" spans="2:38" x14ac:dyDescent="0.3">
      <c r="I45" s="368"/>
      <c r="Q45" s="209">
        <v>37</v>
      </c>
      <c r="R45" s="209" t="s">
        <v>382</v>
      </c>
      <c r="S45" s="74">
        <v>46251</v>
      </c>
      <c r="T45" s="14">
        <v>0.30399999999999999</v>
      </c>
      <c r="U45" s="209"/>
      <c r="V45" s="209"/>
      <c r="AD45" s="14">
        <v>45</v>
      </c>
      <c r="AE45" s="14">
        <v>0.50600000000000001</v>
      </c>
      <c r="AG45" s="375">
        <v>5</v>
      </c>
      <c r="AH45" s="30">
        <v>0.81</v>
      </c>
      <c r="AJ45" s="1">
        <v>5</v>
      </c>
      <c r="AK45" s="175">
        <v>1.6</v>
      </c>
      <c r="AL45" s="376"/>
    </row>
    <row r="46" spans="2:38" x14ac:dyDescent="0.3">
      <c r="J46" s="368"/>
      <c r="Q46" s="209">
        <v>38</v>
      </c>
      <c r="R46" s="209" t="s">
        <v>383</v>
      </c>
      <c r="S46" s="74">
        <v>46251</v>
      </c>
      <c r="T46" s="14">
        <v>0.74399999999999999</v>
      </c>
      <c r="U46" s="209"/>
      <c r="V46" s="209"/>
      <c r="AD46" s="14">
        <v>46</v>
      </c>
      <c r="AE46" s="14">
        <v>0.52600000000000002</v>
      </c>
      <c r="AG46" s="375">
        <v>6</v>
      </c>
      <c r="AH46" s="30">
        <v>0.81</v>
      </c>
      <c r="AJ46" s="1">
        <v>6</v>
      </c>
      <c r="AK46" s="175">
        <v>1.6</v>
      </c>
      <c r="AL46" s="376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4">
        <v>271</v>
      </c>
      <c r="I47" s="364">
        <v>1.35</v>
      </c>
      <c r="J47" s="369">
        <f>H47*I47</f>
        <v>365.85</v>
      </c>
      <c r="K47" s="371"/>
      <c r="M47" s="368"/>
      <c r="Q47" s="209">
        <v>39</v>
      </c>
      <c r="R47" s="209" t="s">
        <v>384</v>
      </c>
      <c r="S47" s="74">
        <v>46251</v>
      </c>
      <c r="T47" s="14">
        <v>0.56299999999999994</v>
      </c>
      <c r="U47" s="209"/>
      <c r="V47" s="209"/>
      <c r="AD47" s="14">
        <v>47</v>
      </c>
      <c r="AE47" s="6">
        <v>0.53800000000000003</v>
      </c>
      <c r="AG47" s="375">
        <v>7</v>
      </c>
      <c r="AH47" s="30">
        <v>0.81</v>
      </c>
      <c r="AJ47" s="1">
        <v>7</v>
      </c>
      <c r="AK47" s="175">
        <v>1.6</v>
      </c>
      <c r="AL47" s="376"/>
    </row>
    <row r="48" spans="2:38" x14ac:dyDescent="0.3">
      <c r="J48" s="368"/>
      <c r="Q48" s="209">
        <v>40</v>
      </c>
      <c r="R48" s="209" t="s">
        <v>385</v>
      </c>
      <c r="S48" s="74">
        <v>46251</v>
      </c>
      <c r="T48" s="14">
        <v>0.438</v>
      </c>
      <c r="U48" s="209"/>
      <c r="V48" s="209"/>
      <c r="AD48" s="14">
        <v>48</v>
      </c>
      <c r="AE48" s="14">
        <v>0.54600000000000004</v>
      </c>
      <c r="AG48" s="375">
        <v>8</v>
      </c>
      <c r="AH48" s="30">
        <v>0.81</v>
      </c>
      <c r="AJ48" s="1">
        <v>8</v>
      </c>
      <c r="AK48" s="175">
        <v>1.6</v>
      </c>
      <c r="AL48" s="376"/>
    </row>
    <row r="49" spans="7:38" x14ac:dyDescent="0.3">
      <c r="Q49" s="209">
        <v>41</v>
      </c>
      <c r="R49" s="209" t="s">
        <v>386</v>
      </c>
      <c r="S49" s="74">
        <v>46251</v>
      </c>
      <c r="T49" s="14">
        <v>0.45800000000000002</v>
      </c>
      <c r="U49" s="209"/>
      <c r="V49" s="209"/>
      <c r="AD49" s="14">
        <v>49</v>
      </c>
      <c r="AE49" s="14">
        <v>0.55500000000000005</v>
      </c>
      <c r="AG49" s="375">
        <v>9</v>
      </c>
      <c r="AH49" s="30">
        <v>0.81</v>
      </c>
      <c r="AJ49" s="1">
        <v>9</v>
      </c>
      <c r="AK49" s="175">
        <v>1.6</v>
      </c>
      <c r="AL49" s="376"/>
    </row>
    <row r="50" spans="7:38" x14ac:dyDescent="0.3">
      <c r="G50" s="14">
        <v>41</v>
      </c>
      <c r="J50" s="368"/>
      <c r="Q50" s="209">
        <v>42</v>
      </c>
      <c r="R50" s="209" t="s">
        <v>387</v>
      </c>
      <c r="S50" s="74">
        <v>46252</v>
      </c>
      <c r="T50" s="14">
        <v>0.55800000000000005</v>
      </c>
      <c r="U50" s="209"/>
      <c r="V50" s="209"/>
      <c r="AD50" s="14">
        <v>50</v>
      </c>
      <c r="AE50" s="14">
        <v>0.55600000000000005</v>
      </c>
      <c r="AG50" s="375">
        <v>10</v>
      </c>
      <c r="AH50" s="30">
        <v>0.81</v>
      </c>
      <c r="AJ50" s="1">
        <v>10</v>
      </c>
      <c r="AK50" s="175">
        <v>1.6</v>
      </c>
      <c r="AL50" s="376"/>
    </row>
    <row r="51" spans="7:38" x14ac:dyDescent="0.3">
      <c r="G51" s="14">
        <v>16</v>
      </c>
      <c r="Q51" s="209">
        <v>43</v>
      </c>
      <c r="R51" s="209" t="s">
        <v>388</v>
      </c>
      <c r="S51" s="74">
        <v>46252</v>
      </c>
      <c r="T51" s="14">
        <v>0.501</v>
      </c>
      <c r="U51" s="209"/>
      <c r="V51" s="209"/>
      <c r="AD51" s="14">
        <v>51</v>
      </c>
      <c r="AE51" s="14">
        <v>0.55800000000000005</v>
      </c>
      <c r="AG51" s="375">
        <v>11</v>
      </c>
      <c r="AH51" s="30">
        <v>0.81</v>
      </c>
      <c r="AJ51" s="1">
        <v>11</v>
      </c>
      <c r="AK51" s="175">
        <v>1.6</v>
      </c>
      <c r="AL51" s="376"/>
    </row>
    <row r="52" spans="7:38" x14ac:dyDescent="0.3">
      <c r="G52" s="14">
        <v>93</v>
      </c>
      <c r="I52" s="368"/>
      <c r="Q52" s="209">
        <v>44</v>
      </c>
      <c r="R52" s="209" t="s">
        <v>389</v>
      </c>
      <c r="S52" s="74">
        <v>46252</v>
      </c>
      <c r="T52" s="14">
        <v>1.25</v>
      </c>
      <c r="U52" s="209"/>
      <c r="V52" s="209"/>
      <c r="AD52" s="14">
        <v>52</v>
      </c>
      <c r="AE52" s="14">
        <v>0.55800000000000005</v>
      </c>
      <c r="AG52" s="375">
        <v>12</v>
      </c>
      <c r="AH52" s="30">
        <v>0.81</v>
      </c>
      <c r="AJ52" s="1">
        <v>12</v>
      </c>
      <c r="AK52" s="175">
        <v>1.6</v>
      </c>
      <c r="AL52" s="376"/>
    </row>
    <row r="53" spans="7:38" x14ac:dyDescent="0.3">
      <c r="G53" s="14">
        <v>40</v>
      </c>
      <c r="H53" s="362">
        <f>1800+1000</f>
        <v>2800</v>
      </c>
      <c r="Q53" s="209">
        <v>45</v>
      </c>
      <c r="R53" s="209" t="s">
        <v>393</v>
      </c>
      <c r="S53" s="264">
        <v>46253</v>
      </c>
      <c r="T53" s="209">
        <v>0.35099999999999998</v>
      </c>
      <c r="U53" s="209"/>
      <c r="V53" s="209"/>
      <c r="AD53" s="14">
        <v>53</v>
      </c>
      <c r="AE53" s="14">
        <v>0.56200000000000006</v>
      </c>
      <c r="AG53" s="375">
        <v>13</v>
      </c>
      <c r="AH53" s="30">
        <v>0.81</v>
      </c>
      <c r="AJ53" s="1">
        <v>13</v>
      </c>
      <c r="AK53" s="175">
        <v>1.6</v>
      </c>
      <c r="AL53" s="376"/>
    </row>
    <row r="54" spans="7:38" x14ac:dyDescent="0.3">
      <c r="G54" s="14">
        <v>13</v>
      </c>
      <c r="Q54" s="209">
        <v>46</v>
      </c>
      <c r="R54" s="209" t="s">
        <v>394</v>
      </c>
      <c r="S54" s="264">
        <v>46253</v>
      </c>
      <c r="T54" s="209">
        <v>2.028</v>
      </c>
      <c r="U54" s="209"/>
      <c r="V54" s="209"/>
      <c r="AD54" s="14">
        <v>54</v>
      </c>
      <c r="AE54" s="14">
        <v>0.56299999999999994</v>
      </c>
      <c r="AG54" s="375">
        <v>14</v>
      </c>
      <c r="AH54" s="30">
        <v>0.81</v>
      </c>
      <c r="AJ54" s="1">
        <v>14</v>
      </c>
      <c r="AK54" s="175">
        <v>1.6</v>
      </c>
      <c r="AL54" s="376"/>
    </row>
    <row r="55" spans="7:38" x14ac:dyDescent="0.3">
      <c r="G55" s="14">
        <v>190</v>
      </c>
      <c r="Q55" s="209">
        <v>47</v>
      </c>
      <c r="R55" s="209" t="s">
        <v>395</v>
      </c>
      <c r="S55" s="264">
        <v>46253</v>
      </c>
      <c r="T55" s="209">
        <v>1.8380000000000001</v>
      </c>
      <c r="U55" s="209"/>
      <c r="V55" s="209"/>
      <c r="AD55" s="14">
        <v>55</v>
      </c>
      <c r="AE55" s="14">
        <v>0.57399999999999995</v>
      </c>
      <c r="AG55" s="375">
        <v>15</v>
      </c>
      <c r="AH55" s="30">
        <v>0.81</v>
      </c>
      <c r="AJ55" s="1">
        <v>15</v>
      </c>
      <c r="AK55" s="175">
        <v>1.6</v>
      </c>
      <c r="AL55" s="376"/>
    </row>
    <row r="56" spans="7:38" x14ac:dyDescent="0.3">
      <c r="G56" s="14">
        <v>220</v>
      </c>
      <c r="Q56" s="209">
        <v>48</v>
      </c>
      <c r="R56" s="209" t="s">
        <v>396</v>
      </c>
      <c r="S56" s="264">
        <v>46253</v>
      </c>
      <c r="T56" s="209">
        <v>1.3220000000000001</v>
      </c>
      <c r="U56" s="209"/>
      <c r="V56" s="209"/>
      <c r="AD56" s="14">
        <v>56</v>
      </c>
      <c r="AE56" s="14">
        <v>0.57599999999999996</v>
      </c>
      <c r="AG56" s="375">
        <v>16</v>
      </c>
      <c r="AH56" s="30">
        <v>0.81</v>
      </c>
      <c r="AJ56" s="1">
        <v>16</v>
      </c>
      <c r="AK56" s="175">
        <v>1.6</v>
      </c>
      <c r="AL56" s="376"/>
    </row>
    <row r="57" spans="7:38" x14ac:dyDescent="0.3">
      <c r="Q57" s="209">
        <v>49</v>
      </c>
      <c r="R57" s="209" t="s">
        <v>397</v>
      </c>
      <c r="S57" s="264">
        <v>46253</v>
      </c>
      <c r="T57" s="209">
        <v>0.65100000000000002</v>
      </c>
      <c r="U57" s="209"/>
      <c r="V57" s="209"/>
      <c r="AD57" s="14">
        <v>57</v>
      </c>
      <c r="AE57" s="14">
        <v>0.57599999999999996</v>
      </c>
      <c r="AG57" s="375">
        <v>17</v>
      </c>
      <c r="AH57" s="30">
        <v>0.81</v>
      </c>
      <c r="AJ57" s="1">
        <v>17</v>
      </c>
      <c r="AK57" s="175">
        <v>1.6</v>
      </c>
      <c r="AL57" s="376"/>
    </row>
    <row r="58" spans="7:38" x14ac:dyDescent="0.3">
      <c r="Q58" s="209">
        <v>50</v>
      </c>
      <c r="R58" s="209" t="s">
        <v>398</v>
      </c>
      <c r="S58" s="264">
        <v>46253</v>
      </c>
      <c r="T58" s="209">
        <v>0.50600000000000001</v>
      </c>
      <c r="U58" s="209"/>
      <c r="V58" s="209"/>
      <c r="AD58" s="14">
        <v>58</v>
      </c>
      <c r="AE58" s="14">
        <v>0.60399999999999998</v>
      </c>
      <c r="AG58" s="375">
        <v>18</v>
      </c>
      <c r="AH58" s="30">
        <v>0.81</v>
      </c>
      <c r="AJ58" s="1">
        <v>18</v>
      </c>
      <c r="AK58" s="175">
        <v>1.6</v>
      </c>
      <c r="AL58" s="376"/>
    </row>
    <row r="59" spans="7:38" x14ac:dyDescent="0.3">
      <c r="Q59" s="209">
        <v>51</v>
      </c>
      <c r="R59" s="209" t="s">
        <v>399</v>
      </c>
      <c r="S59" s="264">
        <v>46253</v>
      </c>
      <c r="T59" s="209">
        <v>0.67300000000000004</v>
      </c>
      <c r="U59" s="209"/>
      <c r="V59" s="209"/>
      <c r="AD59" s="14">
        <v>59</v>
      </c>
      <c r="AE59" s="14">
        <v>0.60399999999999998</v>
      </c>
      <c r="AG59" s="375">
        <v>19</v>
      </c>
      <c r="AH59" s="30">
        <v>0.81</v>
      </c>
      <c r="AJ59" s="1">
        <v>19</v>
      </c>
      <c r="AK59" s="175">
        <v>1.6</v>
      </c>
      <c r="AL59" s="376"/>
    </row>
    <row r="60" spans="7:38" x14ac:dyDescent="0.3">
      <c r="Q60" s="209">
        <v>52</v>
      </c>
      <c r="R60" s="209" t="s">
        <v>400</v>
      </c>
      <c r="S60" s="264">
        <v>46253</v>
      </c>
      <c r="T60" s="209">
        <v>0.66200000000000003</v>
      </c>
      <c r="U60" s="209"/>
      <c r="V60" s="209"/>
      <c r="AD60" s="14">
        <v>60</v>
      </c>
      <c r="AE60" s="6">
        <v>0.61099999999999999</v>
      </c>
      <c r="AG60" s="375">
        <v>20</v>
      </c>
      <c r="AH60" s="30">
        <v>0.81</v>
      </c>
      <c r="AJ60" s="1">
        <v>20</v>
      </c>
      <c r="AK60" s="175">
        <v>1.6</v>
      </c>
      <c r="AL60" s="376"/>
    </row>
    <row r="61" spans="7:38" x14ac:dyDescent="0.3">
      <c r="Q61" s="209">
        <v>53</v>
      </c>
      <c r="R61" s="209" t="s">
        <v>401</v>
      </c>
      <c r="S61" s="264">
        <v>46253</v>
      </c>
      <c r="T61" s="209">
        <v>0.55500000000000005</v>
      </c>
      <c r="U61" s="209"/>
      <c r="V61" s="209"/>
      <c r="AD61" s="14">
        <v>61</v>
      </c>
      <c r="AE61" s="6">
        <v>0.61299999999999999</v>
      </c>
      <c r="AG61" s="375">
        <v>21</v>
      </c>
      <c r="AH61" s="30">
        <v>0.81</v>
      </c>
      <c r="AJ61" s="1">
        <v>21</v>
      </c>
      <c r="AK61" s="175">
        <v>1.6</v>
      </c>
      <c r="AL61" s="376"/>
    </row>
    <row r="62" spans="7:38" x14ac:dyDescent="0.3">
      <c r="Q62" s="209">
        <v>54</v>
      </c>
      <c r="R62" s="209" t="s">
        <v>402</v>
      </c>
      <c r="S62" s="264">
        <v>46253</v>
      </c>
      <c r="T62" s="209">
        <v>0.81299999999999994</v>
      </c>
      <c r="U62" s="209"/>
      <c r="V62" s="209"/>
      <c r="AD62" s="14">
        <v>62</v>
      </c>
      <c r="AE62" s="6">
        <v>0.61299999999999999</v>
      </c>
      <c r="AG62" s="375">
        <v>22</v>
      </c>
      <c r="AH62" s="30">
        <v>0.81</v>
      </c>
      <c r="AJ62" s="1">
        <v>22</v>
      </c>
      <c r="AK62" s="175">
        <v>1.6</v>
      </c>
      <c r="AL62" s="376"/>
    </row>
    <row r="63" spans="7:38" x14ac:dyDescent="0.3">
      <c r="Q63" s="209">
        <v>55</v>
      </c>
      <c r="R63" s="209" t="s">
        <v>403</v>
      </c>
      <c r="S63" s="264">
        <v>46253</v>
      </c>
      <c r="T63" s="209">
        <v>1.147</v>
      </c>
      <c r="U63" s="209"/>
      <c r="V63" s="209"/>
      <c r="AD63" s="14">
        <v>63</v>
      </c>
      <c r="AE63" s="14">
        <v>0.61599999999999999</v>
      </c>
      <c r="AG63" s="375">
        <v>23</v>
      </c>
      <c r="AH63" s="30">
        <v>0.81</v>
      </c>
      <c r="AJ63" s="1">
        <v>23</v>
      </c>
      <c r="AK63" s="175">
        <v>1.6</v>
      </c>
      <c r="AL63" s="376"/>
    </row>
    <row r="64" spans="7:38" x14ac:dyDescent="0.3">
      <c r="Q64" s="209">
        <v>56</v>
      </c>
      <c r="R64" s="209" t="s">
        <v>404</v>
      </c>
      <c r="S64" s="264">
        <v>46253</v>
      </c>
      <c r="T64" s="209">
        <v>1.9410000000000001</v>
      </c>
      <c r="U64" s="209"/>
      <c r="V64" s="209"/>
      <c r="AD64" s="14">
        <v>64</v>
      </c>
      <c r="AE64" s="14">
        <v>0.63200000000000001</v>
      </c>
      <c r="AG64" s="375">
        <v>24</v>
      </c>
      <c r="AH64" s="30">
        <v>0.81</v>
      </c>
      <c r="AJ64" s="1">
        <v>24</v>
      </c>
      <c r="AK64" s="175">
        <v>1.6</v>
      </c>
      <c r="AL64" s="376"/>
    </row>
    <row r="65" spans="17:38" x14ac:dyDescent="0.3">
      <c r="Q65" s="209">
        <v>57</v>
      </c>
      <c r="R65" s="209" t="s">
        <v>405</v>
      </c>
      <c r="S65" s="264">
        <v>46253</v>
      </c>
      <c r="T65" s="209">
        <v>0.48899999999999999</v>
      </c>
      <c r="U65" s="209"/>
      <c r="V65" s="209"/>
      <c r="AD65" s="14">
        <v>65</v>
      </c>
      <c r="AE65" s="14">
        <v>0.63500000000000001</v>
      </c>
      <c r="AG65" s="375">
        <v>25</v>
      </c>
      <c r="AH65" s="30">
        <v>0.81</v>
      </c>
      <c r="AJ65" s="1">
        <v>25</v>
      </c>
      <c r="AK65" s="175">
        <v>1.6</v>
      </c>
      <c r="AL65" s="376"/>
    </row>
    <row r="66" spans="17:38" x14ac:dyDescent="0.3">
      <c r="Q66" s="209">
        <v>58</v>
      </c>
      <c r="R66" s="209" t="s">
        <v>406</v>
      </c>
      <c r="S66" s="264">
        <v>46253</v>
      </c>
      <c r="T66" s="209">
        <v>0.55600000000000005</v>
      </c>
      <c r="U66" s="209"/>
      <c r="V66" s="209"/>
      <c r="AD66" s="14">
        <v>66</v>
      </c>
      <c r="AE66" s="14">
        <v>0.65100000000000002</v>
      </c>
      <c r="AG66" s="375">
        <v>26</v>
      </c>
      <c r="AH66" s="30">
        <v>0.81</v>
      </c>
      <c r="AJ66" s="1">
        <v>26</v>
      </c>
      <c r="AK66" s="175">
        <v>1.6</v>
      </c>
      <c r="AL66" s="376"/>
    </row>
    <row r="67" spans="17:38" x14ac:dyDescent="0.3">
      <c r="Q67" s="209">
        <v>59</v>
      </c>
      <c r="R67" s="209" t="s">
        <v>407</v>
      </c>
      <c r="S67" s="264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5">
        <v>27</v>
      </c>
      <c r="AH67" s="30">
        <v>0.81</v>
      </c>
      <c r="AJ67" s="1">
        <v>27</v>
      </c>
      <c r="AK67" s="175">
        <v>1.6</v>
      </c>
      <c r="AL67" s="376"/>
    </row>
    <row r="68" spans="17:38" x14ac:dyDescent="0.3">
      <c r="Q68" s="209">
        <v>60</v>
      </c>
      <c r="R68" s="209" t="s">
        <v>387</v>
      </c>
      <c r="S68" s="264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5">
        <v>28</v>
      </c>
      <c r="AH68" s="30">
        <v>0.81</v>
      </c>
      <c r="AJ68" s="1">
        <v>28</v>
      </c>
      <c r="AK68" s="175">
        <v>1.6</v>
      </c>
      <c r="AL68" s="376"/>
    </row>
    <row r="69" spans="17:38" x14ac:dyDescent="0.3">
      <c r="Q69" s="209">
        <v>61</v>
      </c>
      <c r="R69" s="209" t="s">
        <v>388</v>
      </c>
      <c r="S69" s="264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5">
        <v>29</v>
      </c>
      <c r="AH69" s="30">
        <v>0.81</v>
      </c>
      <c r="AJ69" s="1">
        <v>29</v>
      </c>
      <c r="AK69" s="175">
        <v>1.6</v>
      </c>
      <c r="AL69" s="376"/>
    </row>
    <row r="70" spans="17:38" x14ac:dyDescent="0.3">
      <c r="Q70" s="209">
        <v>62</v>
      </c>
      <c r="R70" s="209" t="s">
        <v>389</v>
      </c>
      <c r="S70" s="264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5">
        <v>30</v>
      </c>
      <c r="AH70" s="30">
        <v>0.81</v>
      </c>
      <c r="AJ70" s="1">
        <v>30</v>
      </c>
      <c r="AK70" s="175">
        <v>1.6</v>
      </c>
      <c r="AL70" s="376"/>
    </row>
    <row r="71" spans="17:38" x14ac:dyDescent="0.3">
      <c r="Q71" s="209">
        <v>63</v>
      </c>
      <c r="R71" s="209" t="s">
        <v>408</v>
      </c>
      <c r="S71" s="264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5">
        <v>31</v>
      </c>
      <c r="AH71" s="30">
        <v>0.81</v>
      </c>
      <c r="AJ71" s="1">
        <v>31</v>
      </c>
      <c r="AK71" s="175">
        <v>1.6</v>
      </c>
      <c r="AL71" s="376"/>
    </row>
    <row r="72" spans="17:38" x14ac:dyDescent="0.3">
      <c r="Q72" s="209">
        <v>64</v>
      </c>
      <c r="R72" s="209" t="s">
        <v>409</v>
      </c>
      <c r="S72" s="264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5">
        <v>32</v>
      </c>
      <c r="AH72" s="30">
        <v>0.81</v>
      </c>
      <c r="AJ72" s="1">
        <v>32</v>
      </c>
      <c r="AK72" s="175">
        <v>1.6</v>
      </c>
      <c r="AL72" s="376"/>
    </row>
    <row r="73" spans="17:38" x14ac:dyDescent="0.3">
      <c r="Q73" s="209">
        <v>65</v>
      </c>
      <c r="R73" s="209" t="s">
        <v>393</v>
      </c>
      <c r="S73" s="264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5">
        <v>33</v>
      </c>
      <c r="AH73" s="30">
        <v>0.81</v>
      </c>
      <c r="AJ73" s="1">
        <v>33</v>
      </c>
      <c r="AK73" s="175">
        <v>1.6</v>
      </c>
      <c r="AL73" s="376"/>
    </row>
    <row r="74" spans="17:38" x14ac:dyDescent="0.3">
      <c r="Q74" s="209">
        <v>66</v>
      </c>
      <c r="R74" s="209" t="s">
        <v>395</v>
      </c>
      <c r="S74" s="264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5">
        <v>34</v>
      </c>
      <c r="AH74" s="30">
        <v>0.81</v>
      </c>
      <c r="AJ74" s="1">
        <v>34</v>
      </c>
      <c r="AK74" s="175">
        <v>1.6</v>
      </c>
      <c r="AL74" s="376"/>
    </row>
    <row r="75" spans="17:38" x14ac:dyDescent="0.3">
      <c r="Q75" s="209">
        <v>67</v>
      </c>
      <c r="R75" s="209" t="s">
        <v>397</v>
      </c>
      <c r="S75" s="264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5">
        <v>35</v>
      </c>
      <c r="AH75" s="30">
        <v>0.81</v>
      </c>
      <c r="AJ75" s="1">
        <v>35</v>
      </c>
      <c r="AK75" s="175">
        <v>1.6</v>
      </c>
      <c r="AL75" s="376"/>
    </row>
    <row r="76" spans="17:38" x14ac:dyDescent="0.3">
      <c r="Q76" s="209">
        <v>68</v>
      </c>
      <c r="R76" s="209" t="s">
        <v>399</v>
      </c>
      <c r="S76" s="264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5">
        <v>36</v>
      </c>
      <c r="AH76" s="30">
        <v>0.81</v>
      </c>
      <c r="AJ76" s="1">
        <v>36</v>
      </c>
      <c r="AK76" s="175">
        <v>1.6</v>
      </c>
      <c r="AL76" s="376"/>
    </row>
    <row r="77" spans="17:38" x14ac:dyDescent="0.3">
      <c r="Q77" s="209">
        <v>69</v>
      </c>
      <c r="R77" s="209" t="s">
        <v>401</v>
      </c>
      <c r="S77" s="264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5">
        <v>37</v>
      </c>
      <c r="AH77" s="30">
        <v>0.81</v>
      </c>
      <c r="AJ77" s="1">
        <v>37</v>
      </c>
      <c r="AK77" s="175">
        <v>1.6</v>
      </c>
      <c r="AL77" s="376"/>
    </row>
    <row r="78" spans="17:38" x14ac:dyDescent="0.3">
      <c r="Q78" s="209">
        <v>70</v>
      </c>
      <c r="R78" s="209" t="s">
        <v>403</v>
      </c>
      <c r="S78" s="264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5">
        <v>38</v>
      </c>
      <c r="AH78" s="30">
        <v>0.81</v>
      </c>
      <c r="AJ78" s="1">
        <v>38</v>
      </c>
      <c r="AK78" s="175">
        <v>1.6</v>
      </c>
      <c r="AL78" s="376"/>
    </row>
    <row r="79" spans="17:38" x14ac:dyDescent="0.3">
      <c r="Q79" s="209">
        <v>71</v>
      </c>
      <c r="R79" s="209" t="s">
        <v>405</v>
      </c>
      <c r="S79" s="264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5">
        <v>39</v>
      </c>
      <c r="AH79" s="30">
        <v>0.81</v>
      </c>
      <c r="AJ79" s="1">
        <v>39</v>
      </c>
      <c r="AK79" s="175">
        <v>1.6</v>
      </c>
      <c r="AL79" s="376"/>
    </row>
    <row r="80" spans="17:38" x14ac:dyDescent="0.3">
      <c r="Q80" s="209">
        <v>72</v>
      </c>
      <c r="R80" s="209" t="s">
        <v>407</v>
      </c>
      <c r="S80" s="264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5">
        <v>40</v>
      </c>
      <c r="AH80" s="30">
        <v>0.81</v>
      </c>
      <c r="AJ80" s="1">
        <v>40</v>
      </c>
      <c r="AK80" s="175">
        <v>1.6</v>
      </c>
      <c r="AL80" s="376"/>
    </row>
    <row r="81" spans="17:38" x14ac:dyDescent="0.3">
      <c r="Q81" s="209">
        <v>73</v>
      </c>
      <c r="R81" s="209" t="s">
        <v>388</v>
      </c>
      <c r="S81" s="264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5">
        <v>41</v>
      </c>
      <c r="AH81" s="30">
        <v>0.81</v>
      </c>
      <c r="AJ81" s="1">
        <v>41</v>
      </c>
      <c r="AK81" s="175">
        <v>1.6</v>
      </c>
      <c r="AL81" s="376"/>
    </row>
    <row r="82" spans="17:38" x14ac:dyDescent="0.3">
      <c r="Q82" s="209">
        <v>74</v>
      </c>
      <c r="R82" s="209" t="s">
        <v>408</v>
      </c>
      <c r="S82" s="264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5">
        <v>42</v>
      </c>
      <c r="AH82" s="30">
        <v>0.81</v>
      </c>
      <c r="AJ82" s="1">
        <v>42</v>
      </c>
      <c r="AK82" s="175">
        <v>1.6</v>
      </c>
      <c r="AL82" s="376"/>
    </row>
    <row r="83" spans="17:38" x14ac:dyDescent="0.3">
      <c r="Q83" s="209">
        <v>75</v>
      </c>
      <c r="R83" s="209" t="s">
        <v>410</v>
      </c>
      <c r="S83" s="264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5">
        <v>43</v>
      </c>
      <c r="AH83" s="30">
        <v>0.81</v>
      </c>
      <c r="AJ83" s="1">
        <v>43</v>
      </c>
      <c r="AK83" s="175">
        <v>1.6</v>
      </c>
      <c r="AL83" s="376"/>
    </row>
    <row r="84" spans="17:38" x14ac:dyDescent="0.3">
      <c r="Q84" s="209">
        <v>76</v>
      </c>
      <c r="R84" s="209" t="s">
        <v>393</v>
      </c>
      <c r="S84" s="264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5">
        <v>44</v>
      </c>
      <c r="AH84" s="30">
        <v>0.81</v>
      </c>
      <c r="AJ84" s="1">
        <v>44</v>
      </c>
      <c r="AK84" s="175">
        <v>1.6</v>
      </c>
      <c r="AL84" s="376"/>
    </row>
    <row r="85" spans="17:38" x14ac:dyDescent="0.3">
      <c r="Q85" s="209">
        <v>77</v>
      </c>
      <c r="R85" s="209" t="s">
        <v>395</v>
      </c>
      <c r="S85" s="264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5">
        <v>45</v>
      </c>
      <c r="AH85" s="30">
        <v>0.81</v>
      </c>
      <c r="AJ85" s="1">
        <v>45</v>
      </c>
      <c r="AK85" s="175">
        <v>1.6</v>
      </c>
      <c r="AL85" s="376"/>
    </row>
    <row r="86" spans="17:38" x14ac:dyDescent="0.3">
      <c r="Q86" s="209">
        <v>78</v>
      </c>
      <c r="R86" s="209" t="s">
        <v>397</v>
      </c>
      <c r="S86" s="264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5">
        <v>46</v>
      </c>
      <c r="AH86" s="30">
        <v>0.81</v>
      </c>
      <c r="AJ86" s="1">
        <v>46</v>
      </c>
      <c r="AK86" s="175">
        <v>1.6</v>
      </c>
      <c r="AL86" s="376"/>
    </row>
    <row r="87" spans="17:38" x14ac:dyDescent="0.3">
      <c r="Q87" s="209">
        <v>79</v>
      </c>
      <c r="R87" s="209" t="s">
        <v>399</v>
      </c>
      <c r="S87" s="264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5">
        <v>47</v>
      </c>
      <c r="AH87" s="30">
        <v>0.81</v>
      </c>
      <c r="AJ87" s="1">
        <v>47</v>
      </c>
      <c r="AK87" s="175">
        <v>1.6</v>
      </c>
      <c r="AL87" s="376"/>
    </row>
    <row r="88" spans="17:38" x14ac:dyDescent="0.3">
      <c r="Q88" s="209">
        <v>80</v>
      </c>
      <c r="R88" s="209" t="s">
        <v>401</v>
      </c>
      <c r="S88" s="264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5">
        <v>48</v>
      </c>
      <c r="AH88" s="30">
        <v>0.81</v>
      </c>
      <c r="AJ88" s="1">
        <v>48</v>
      </c>
      <c r="AK88" s="175">
        <v>1.6</v>
      </c>
      <c r="AL88" s="376"/>
    </row>
    <row r="89" spans="17:38" x14ac:dyDescent="0.3">
      <c r="Q89" s="209">
        <v>81</v>
      </c>
      <c r="R89" s="209" t="s">
        <v>403</v>
      </c>
      <c r="S89" s="264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5">
        <v>49</v>
      </c>
      <c r="AH89" s="30">
        <v>0.81</v>
      </c>
      <c r="AJ89" s="1">
        <v>49</v>
      </c>
      <c r="AK89" s="175">
        <v>1.6</v>
      </c>
      <c r="AL89" s="376"/>
    </row>
    <row r="90" spans="17:38" x14ac:dyDescent="0.3">
      <c r="Q90" s="209">
        <v>82</v>
      </c>
      <c r="R90" s="209" t="s">
        <v>405</v>
      </c>
      <c r="S90" s="264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5">
        <v>50</v>
      </c>
      <c r="AH90" s="30">
        <v>0.81</v>
      </c>
      <c r="AJ90" s="1">
        <v>50</v>
      </c>
      <c r="AK90" s="175">
        <v>1.6</v>
      </c>
      <c r="AL90" s="376"/>
    </row>
    <row r="91" spans="17:38" x14ac:dyDescent="0.3">
      <c r="Q91" s="209">
        <v>83</v>
      </c>
      <c r="R91" s="209" t="s">
        <v>407</v>
      </c>
      <c r="S91" s="264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5">
        <v>51</v>
      </c>
      <c r="AH91" s="30">
        <v>0.81</v>
      </c>
      <c r="AJ91" s="1">
        <v>51</v>
      </c>
      <c r="AK91" s="175">
        <v>1.6</v>
      </c>
      <c r="AL91" s="376"/>
    </row>
    <row r="92" spans="17:38" x14ac:dyDescent="0.3">
      <c r="Q92" s="209">
        <v>84</v>
      </c>
      <c r="R92" s="209" t="s">
        <v>388</v>
      </c>
      <c r="S92" s="264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5">
        <v>52</v>
      </c>
      <c r="AH92" s="30">
        <v>0.81</v>
      </c>
      <c r="AJ92" s="1">
        <v>52</v>
      </c>
      <c r="AK92" s="175">
        <v>1.6</v>
      </c>
      <c r="AL92" s="376"/>
    </row>
    <row r="93" spans="17:38" x14ac:dyDescent="0.3">
      <c r="Q93" s="209">
        <v>85</v>
      </c>
      <c r="R93" s="209" t="s">
        <v>395</v>
      </c>
      <c r="S93" s="264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5">
        <v>53</v>
      </c>
      <c r="AH93" s="30">
        <v>0.81</v>
      </c>
      <c r="AJ93" s="1">
        <v>53</v>
      </c>
      <c r="AK93" s="175">
        <v>1.6</v>
      </c>
      <c r="AL93" s="376"/>
    </row>
    <row r="94" spans="17:38" x14ac:dyDescent="0.3">
      <c r="Q94" s="209">
        <v>86</v>
      </c>
      <c r="R94" s="209" t="s">
        <v>397</v>
      </c>
      <c r="S94" s="264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5">
        <v>54</v>
      </c>
      <c r="AH94" s="30">
        <v>0.81</v>
      </c>
      <c r="AJ94" s="1">
        <v>54</v>
      </c>
      <c r="AK94" s="175">
        <v>1.6</v>
      </c>
      <c r="AL94" s="376"/>
    </row>
    <row r="95" spans="17:38" x14ac:dyDescent="0.3">
      <c r="Q95" s="209">
        <v>87</v>
      </c>
      <c r="R95" s="209" t="s">
        <v>399</v>
      </c>
      <c r="S95" s="264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5">
        <v>55</v>
      </c>
      <c r="AH95" s="30">
        <v>0.81</v>
      </c>
      <c r="AJ95" s="1">
        <v>55</v>
      </c>
      <c r="AK95" s="175">
        <v>1.6</v>
      </c>
      <c r="AL95" s="376"/>
    </row>
    <row r="96" spans="17:38" x14ac:dyDescent="0.3">
      <c r="Q96" s="209">
        <v>88</v>
      </c>
      <c r="R96" s="209" t="s">
        <v>401</v>
      </c>
      <c r="S96" s="264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5">
        <v>56</v>
      </c>
      <c r="AH96" s="30">
        <v>0.81</v>
      </c>
      <c r="AJ96" s="1">
        <v>56</v>
      </c>
      <c r="AK96" s="175">
        <v>1.6</v>
      </c>
      <c r="AL96" s="376"/>
    </row>
    <row r="97" spans="2:38" x14ac:dyDescent="0.3">
      <c r="Q97" s="209">
        <v>89</v>
      </c>
      <c r="R97" s="209" t="s">
        <v>403</v>
      </c>
      <c r="S97" s="264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5">
        <v>57</v>
      </c>
      <c r="AH97" s="30">
        <v>0.81</v>
      </c>
      <c r="AJ97" s="1">
        <v>57</v>
      </c>
      <c r="AK97" s="175">
        <v>1.6</v>
      </c>
      <c r="AL97" s="376"/>
    </row>
    <row r="98" spans="2:38" x14ac:dyDescent="0.3">
      <c r="Q98" s="209">
        <v>90</v>
      </c>
      <c r="R98" s="209" t="s">
        <v>405</v>
      </c>
      <c r="S98" s="264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5">
        <v>58</v>
      </c>
      <c r="AH98" s="30">
        <v>0.81</v>
      </c>
      <c r="AJ98" s="1">
        <v>58</v>
      </c>
      <c r="AK98" s="175">
        <v>1.6</v>
      </c>
      <c r="AL98" s="376"/>
    </row>
    <row r="99" spans="2:38" x14ac:dyDescent="0.3">
      <c r="Q99" s="209">
        <v>91</v>
      </c>
      <c r="R99" s="209" t="s">
        <v>407</v>
      </c>
      <c r="S99" s="264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5">
        <v>59</v>
      </c>
      <c r="AH99" s="30">
        <v>0.81</v>
      </c>
      <c r="AJ99" s="1">
        <v>59</v>
      </c>
      <c r="AK99" s="175">
        <v>1.6</v>
      </c>
      <c r="AL99" s="376"/>
    </row>
    <row r="100" spans="2:38" x14ac:dyDescent="0.3">
      <c r="Q100" s="209">
        <v>92</v>
      </c>
      <c r="R100" s="209" t="s">
        <v>388</v>
      </c>
      <c r="S100" s="264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5">
        <v>60</v>
      </c>
      <c r="AH100" s="30">
        <v>0.81</v>
      </c>
      <c r="AJ100" s="1">
        <v>60</v>
      </c>
      <c r="AK100" s="175">
        <v>1.6</v>
      </c>
      <c r="AL100" s="376"/>
    </row>
    <row r="101" spans="2:38" x14ac:dyDescent="0.3">
      <c r="Q101" s="209">
        <v>93</v>
      </c>
      <c r="R101" s="209" t="s">
        <v>408</v>
      </c>
      <c r="S101" s="264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5">
        <v>61</v>
      </c>
      <c r="AH101" s="30">
        <v>0.81</v>
      </c>
      <c r="AJ101" s="1">
        <v>61</v>
      </c>
      <c r="AK101" s="175">
        <v>1.6</v>
      </c>
      <c r="AL101" s="376"/>
    </row>
    <row r="102" spans="2:38" x14ac:dyDescent="0.3">
      <c r="Q102" s="209">
        <v>94</v>
      </c>
      <c r="R102" s="209" t="s">
        <v>393</v>
      </c>
      <c r="S102" s="264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5">
        <v>62</v>
      </c>
      <c r="AH102" s="30">
        <v>0.81</v>
      </c>
      <c r="AJ102" s="1">
        <v>62</v>
      </c>
      <c r="AK102" s="175">
        <v>1.6</v>
      </c>
      <c r="AL102" s="376"/>
    </row>
    <row r="103" spans="2:38" x14ac:dyDescent="0.3">
      <c r="Q103" s="209">
        <v>95</v>
      </c>
      <c r="R103" s="209" t="s">
        <v>395</v>
      </c>
      <c r="S103" s="264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5">
        <v>63</v>
      </c>
      <c r="AH103" s="30">
        <v>0.81</v>
      </c>
      <c r="AJ103" s="1">
        <v>63</v>
      </c>
      <c r="AK103" s="175">
        <v>1.6</v>
      </c>
      <c r="AL103" s="376"/>
    </row>
    <row r="104" spans="2:38" x14ac:dyDescent="0.3">
      <c r="Q104" s="209">
        <v>96</v>
      </c>
      <c r="R104" s="209" t="s">
        <v>397</v>
      </c>
      <c r="S104" s="264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5">
        <v>64</v>
      </c>
      <c r="AH104" s="30">
        <v>0.81</v>
      </c>
      <c r="AJ104" s="1">
        <v>64</v>
      </c>
      <c r="AK104" s="175">
        <v>1.6</v>
      </c>
      <c r="AL104" s="376"/>
    </row>
    <row r="105" spans="2:38" x14ac:dyDescent="0.3">
      <c r="Q105" s="209">
        <v>97</v>
      </c>
      <c r="R105" s="209" t="s">
        <v>399</v>
      </c>
      <c r="S105" s="264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5">
        <v>65</v>
      </c>
      <c r="AH105" s="30">
        <v>0.81</v>
      </c>
      <c r="AJ105" s="1">
        <v>65</v>
      </c>
      <c r="AK105" s="175">
        <v>1.6</v>
      </c>
      <c r="AL105" s="376"/>
    </row>
    <row r="106" spans="2:38" x14ac:dyDescent="0.3">
      <c r="Q106" s="209">
        <v>98</v>
      </c>
      <c r="R106" s="209" t="s">
        <v>401</v>
      </c>
      <c r="S106" s="264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5">
        <v>66</v>
      </c>
      <c r="AH106" s="30">
        <v>0.81</v>
      </c>
      <c r="AJ106" s="1">
        <v>66</v>
      </c>
      <c r="AK106" s="175">
        <v>1.6</v>
      </c>
      <c r="AL106" s="376"/>
    </row>
    <row r="107" spans="2:38" x14ac:dyDescent="0.3">
      <c r="Q107" s="209">
        <v>99</v>
      </c>
      <c r="R107" s="209" t="s">
        <v>403</v>
      </c>
      <c r="S107" s="264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5">
        <v>67</v>
      </c>
      <c r="AH107" s="30">
        <v>0.81</v>
      </c>
      <c r="AJ107" s="1">
        <v>67</v>
      </c>
      <c r="AK107" s="175">
        <v>1.6</v>
      </c>
      <c r="AL107" s="376"/>
    </row>
    <row r="108" spans="2:38" x14ac:dyDescent="0.3">
      <c r="Q108" s="209">
        <v>100</v>
      </c>
      <c r="R108" s="209" t="s">
        <v>405</v>
      </c>
      <c r="S108" s="264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5">
        <v>68</v>
      </c>
      <c r="AH108" s="30">
        <v>0.81</v>
      </c>
      <c r="AJ108" s="1">
        <v>68</v>
      </c>
      <c r="AK108" s="175">
        <v>1.6</v>
      </c>
      <c r="AL108" s="376"/>
    </row>
    <row r="109" spans="2:38" x14ac:dyDescent="0.3">
      <c r="Q109" s="209">
        <v>101</v>
      </c>
      <c r="R109" s="209" t="s">
        <v>407</v>
      </c>
      <c r="S109" s="264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5">
        <v>69</v>
      </c>
      <c r="AH109" s="30">
        <v>0.81</v>
      </c>
      <c r="AJ109" s="1">
        <v>69</v>
      </c>
      <c r="AK109" s="175">
        <v>1.6</v>
      </c>
      <c r="AL109" s="376"/>
    </row>
    <row r="110" spans="2:38" x14ac:dyDescent="0.3">
      <c r="Q110" s="209">
        <v>102</v>
      </c>
      <c r="R110" s="209" t="s">
        <v>388</v>
      </c>
      <c r="S110" s="264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5">
        <v>70</v>
      </c>
      <c r="AH110" s="30">
        <v>0.81</v>
      </c>
      <c r="AJ110" s="1">
        <v>70</v>
      </c>
      <c r="AK110" s="175">
        <v>1.6</v>
      </c>
      <c r="AL110" s="376"/>
    </row>
    <row r="111" spans="2:38" x14ac:dyDescent="0.3">
      <c r="Q111" s="209">
        <v>103</v>
      </c>
      <c r="R111" s="209" t="s">
        <v>401</v>
      </c>
      <c r="S111" s="264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5">
        <v>71</v>
      </c>
      <c r="AH111" s="30">
        <v>0.81</v>
      </c>
      <c r="AJ111" s="1">
        <v>71</v>
      </c>
      <c r="AK111" s="175">
        <v>1.6</v>
      </c>
      <c r="AL111" s="376"/>
    </row>
    <row r="112" spans="2:38" x14ac:dyDescent="0.3">
      <c r="B112" s="1156" t="s">
        <v>429</v>
      </c>
      <c r="C112" s="1156"/>
      <c r="D112" s="1156"/>
      <c r="E112" s="1156"/>
      <c r="F112" s="1156"/>
      <c r="G112" s="1156"/>
      <c r="H112" s="1156"/>
      <c r="I112" s="1156"/>
      <c r="J112" s="1156"/>
      <c r="Q112" s="209">
        <v>104</v>
      </c>
      <c r="R112" s="209" t="s">
        <v>403</v>
      </c>
      <c r="S112" s="264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5">
        <v>72</v>
      </c>
      <c r="AH112" s="30">
        <v>0.81</v>
      </c>
      <c r="AJ112" s="1">
        <v>72</v>
      </c>
      <c r="AK112" s="175">
        <v>1.6</v>
      </c>
      <c r="AL112" s="376"/>
    </row>
    <row r="113" spans="2:38" x14ac:dyDescent="0.3">
      <c r="B113" s="1156"/>
      <c r="C113" s="1156"/>
      <c r="D113" s="1156"/>
      <c r="E113" s="1156"/>
      <c r="F113" s="1156"/>
      <c r="G113" s="1156"/>
      <c r="H113" s="1156"/>
      <c r="I113" s="1156"/>
      <c r="J113" s="1156"/>
      <c r="Q113" s="209">
        <v>105</v>
      </c>
      <c r="R113" s="209" t="s">
        <v>405</v>
      </c>
      <c r="S113" s="264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5">
        <v>73</v>
      </c>
      <c r="AH113" s="30">
        <v>0.81</v>
      </c>
      <c r="AJ113" s="1">
        <v>73</v>
      </c>
      <c r="AK113" s="175">
        <v>1.6</v>
      </c>
      <c r="AL113" s="376"/>
    </row>
    <row r="114" spans="2:38" x14ac:dyDescent="0.3">
      <c r="Q114" s="209">
        <v>106</v>
      </c>
      <c r="R114" s="209" t="s">
        <v>407</v>
      </c>
      <c r="S114" s="264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5">
        <v>74</v>
      </c>
      <c r="AH114" s="30">
        <v>0.81</v>
      </c>
      <c r="AJ114" s="1">
        <v>74</v>
      </c>
      <c r="AK114" s="175">
        <v>1.6</v>
      </c>
      <c r="AL114" s="376"/>
    </row>
    <row r="115" spans="2:38" x14ac:dyDescent="0.3">
      <c r="Q115" s="209">
        <v>107</v>
      </c>
      <c r="R115" s="209" t="s">
        <v>388</v>
      </c>
      <c r="S115" s="264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5">
        <v>75</v>
      </c>
      <c r="AH115" s="30">
        <v>0.81</v>
      </c>
      <c r="AJ115" s="1">
        <v>75</v>
      </c>
      <c r="AK115" s="175">
        <v>1.6</v>
      </c>
      <c r="AL115" s="376"/>
    </row>
    <row r="116" spans="2:38" x14ac:dyDescent="0.3">
      <c r="Q116" s="209">
        <v>108</v>
      </c>
      <c r="R116" s="209" t="s">
        <v>408</v>
      </c>
      <c r="S116" s="264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5">
        <v>76</v>
      </c>
      <c r="AH116" s="30">
        <v>0.81</v>
      </c>
      <c r="AJ116" s="1">
        <v>76</v>
      </c>
      <c r="AK116" s="175">
        <v>1.6</v>
      </c>
      <c r="AL116" s="376"/>
    </row>
    <row r="117" spans="2:38" x14ac:dyDescent="0.3">
      <c r="Q117" s="209">
        <v>109</v>
      </c>
      <c r="R117" s="209" t="s">
        <v>410</v>
      </c>
      <c r="S117" s="264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5">
        <v>77</v>
      </c>
      <c r="AH117" s="30">
        <v>0.81</v>
      </c>
      <c r="AJ117" s="1">
        <v>77</v>
      </c>
      <c r="AK117" s="175">
        <v>1.6</v>
      </c>
      <c r="AL117" s="376"/>
    </row>
    <row r="118" spans="2:38" x14ac:dyDescent="0.3">
      <c r="Q118" s="209">
        <v>110</v>
      </c>
      <c r="R118" s="209" t="s">
        <v>393</v>
      </c>
      <c r="S118" s="264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5">
        <v>78</v>
      </c>
      <c r="AH118" s="30">
        <v>0.81</v>
      </c>
      <c r="AJ118" s="1">
        <v>78</v>
      </c>
      <c r="AK118" s="175">
        <v>1.6</v>
      </c>
      <c r="AL118" s="376"/>
    </row>
    <row r="119" spans="2:38" x14ac:dyDescent="0.3">
      <c r="Q119" s="209">
        <v>111</v>
      </c>
      <c r="R119" s="209" t="s">
        <v>395</v>
      </c>
      <c r="S119" s="264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5">
        <v>79</v>
      </c>
      <c r="AH119" s="30">
        <v>0.81</v>
      </c>
      <c r="AJ119" s="1">
        <v>79</v>
      </c>
      <c r="AK119" s="175">
        <v>1.6</v>
      </c>
      <c r="AL119" s="376"/>
    </row>
    <row r="120" spans="2:38" x14ac:dyDescent="0.3">
      <c r="Q120" s="209">
        <v>112</v>
      </c>
      <c r="R120" s="209" t="s">
        <v>397</v>
      </c>
      <c r="S120" s="264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5">
        <v>80</v>
      </c>
      <c r="AH120" s="30">
        <v>0.81</v>
      </c>
      <c r="AJ120" s="1">
        <v>80</v>
      </c>
      <c r="AK120" s="175">
        <v>1.6</v>
      </c>
      <c r="AL120" s="376"/>
    </row>
    <row r="121" spans="2:38" x14ac:dyDescent="0.3">
      <c r="Q121" s="209">
        <v>113</v>
      </c>
      <c r="R121" s="209" t="s">
        <v>401</v>
      </c>
      <c r="S121" s="264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5">
        <v>81</v>
      </c>
      <c r="AH121" s="30">
        <v>0.81</v>
      </c>
      <c r="AJ121" s="1">
        <v>81</v>
      </c>
      <c r="AK121" s="175">
        <v>1.6</v>
      </c>
      <c r="AL121" s="376"/>
    </row>
    <row r="122" spans="2:38" x14ac:dyDescent="0.3">
      <c r="Q122" s="209">
        <v>114</v>
      </c>
      <c r="R122" s="209" t="s">
        <v>403</v>
      </c>
      <c r="S122" s="264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5">
        <v>82</v>
      </c>
      <c r="AH122" s="30">
        <v>0.81</v>
      </c>
      <c r="AJ122" s="1">
        <v>82</v>
      </c>
      <c r="AK122" s="175">
        <v>1.6</v>
      </c>
      <c r="AL122" s="376"/>
    </row>
    <row r="123" spans="2:38" x14ac:dyDescent="0.3">
      <c r="Q123" s="209">
        <v>115</v>
      </c>
      <c r="R123" s="209" t="s">
        <v>405</v>
      </c>
      <c r="S123" s="264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5">
        <v>83</v>
      </c>
      <c r="AH123" s="30">
        <v>0.81</v>
      </c>
      <c r="AJ123" s="1">
        <v>83</v>
      </c>
      <c r="AK123" s="175">
        <v>1.6</v>
      </c>
      <c r="AL123" s="376"/>
    </row>
    <row r="124" spans="2:38" x14ac:dyDescent="0.3">
      <c r="Q124" s="209">
        <v>116</v>
      </c>
      <c r="R124" s="209" t="s">
        <v>407</v>
      </c>
      <c r="S124" s="264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5">
        <v>84</v>
      </c>
      <c r="AH124" s="30">
        <v>0.81</v>
      </c>
      <c r="AJ124" s="1">
        <v>84</v>
      </c>
      <c r="AK124" s="175">
        <v>1.6</v>
      </c>
      <c r="AL124" s="376"/>
    </row>
    <row r="125" spans="2:38" ht="15" thickBot="1" x14ac:dyDescent="0.35">
      <c r="Q125" s="209">
        <v>117</v>
      </c>
      <c r="R125" s="209" t="s">
        <v>388</v>
      </c>
      <c r="S125" s="264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7">
        <v>85</v>
      </c>
      <c r="AH125" s="30">
        <v>0.81</v>
      </c>
      <c r="AI125" s="378"/>
      <c r="AJ125" s="1">
        <v>85</v>
      </c>
      <c r="AK125" s="175">
        <v>1.6</v>
      </c>
      <c r="AL125" s="379"/>
    </row>
    <row r="126" spans="2:38" x14ac:dyDescent="0.3">
      <c r="Q126" s="209">
        <v>118</v>
      </c>
      <c r="R126" s="209" t="s">
        <v>408</v>
      </c>
      <c r="S126" s="264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5">
        <v>86</v>
      </c>
      <c r="AH126" s="30">
        <v>0.81</v>
      </c>
    </row>
    <row r="127" spans="2:38" x14ac:dyDescent="0.3">
      <c r="Q127" s="209">
        <v>119</v>
      </c>
      <c r="R127" s="209" t="s">
        <v>393</v>
      </c>
      <c r="S127" s="264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5">
        <v>87</v>
      </c>
      <c r="AH127" s="30">
        <v>0.81</v>
      </c>
    </row>
    <row r="128" spans="2:38" ht="15" thickBot="1" x14ac:dyDescent="0.35">
      <c r="Q128" s="209">
        <v>120</v>
      </c>
      <c r="R128" s="209" t="s">
        <v>395</v>
      </c>
      <c r="S128" s="264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7">
        <v>88</v>
      </c>
      <c r="AH128" s="30">
        <v>0.81</v>
      </c>
    </row>
    <row r="129" spans="17:34" x14ac:dyDescent="0.3">
      <c r="Q129" s="209">
        <v>121</v>
      </c>
      <c r="R129" s="209" t="s">
        <v>397</v>
      </c>
      <c r="S129" s="264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5">
        <v>89</v>
      </c>
      <c r="AH129" s="30">
        <v>0.81</v>
      </c>
    </row>
    <row r="130" spans="17:34" x14ac:dyDescent="0.3">
      <c r="Q130" s="209">
        <v>122</v>
      </c>
      <c r="R130" s="209" t="s">
        <v>399</v>
      </c>
      <c r="S130" s="264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5">
        <v>90</v>
      </c>
      <c r="AH130" s="30">
        <v>0.81</v>
      </c>
    </row>
    <row r="131" spans="17:34" ht="15" thickBot="1" x14ac:dyDescent="0.35">
      <c r="Q131" s="209">
        <v>123</v>
      </c>
      <c r="R131" s="209" t="s">
        <v>401</v>
      </c>
      <c r="S131" s="264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7">
        <v>91</v>
      </c>
      <c r="AH131" s="30">
        <v>0.81</v>
      </c>
    </row>
    <row r="132" spans="17:34" x14ac:dyDescent="0.3">
      <c r="Q132" s="209">
        <v>124</v>
      </c>
      <c r="R132" s="209" t="s">
        <v>403</v>
      </c>
      <c r="S132" s="264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5">
        <v>92</v>
      </c>
      <c r="AH132" s="30">
        <v>0.81</v>
      </c>
    </row>
    <row r="133" spans="17:34" x14ac:dyDescent="0.3">
      <c r="Q133" s="209">
        <v>125</v>
      </c>
      <c r="R133" s="209" t="s">
        <v>405</v>
      </c>
      <c r="S133" s="264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5">
        <v>93</v>
      </c>
      <c r="AH133" s="30">
        <v>0.81</v>
      </c>
    </row>
    <row r="134" spans="17:34" x14ac:dyDescent="0.3">
      <c r="Q134" s="209">
        <v>126</v>
      </c>
      <c r="R134" s="209" t="s">
        <v>407</v>
      </c>
      <c r="S134" s="264">
        <v>46263</v>
      </c>
      <c r="T134" s="6">
        <v>0.21</v>
      </c>
      <c r="U134" s="6"/>
      <c r="V134" s="6"/>
      <c r="AG134" s="375">
        <v>94</v>
      </c>
      <c r="AH134" s="30">
        <v>0.81</v>
      </c>
    </row>
    <row r="135" spans="17:34" ht="15" thickBot="1" x14ac:dyDescent="0.35">
      <c r="Q135" s="209">
        <v>127</v>
      </c>
      <c r="R135" s="209" t="s">
        <v>388</v>
      </c>
      <c r="S135" s="264">
        <v>46263</v>
      </c>
      <c r="T135" s="6">
        <v>0.42</v>
      </c>
      <c r="U135" s="6"/>
      <c r="V135" s="6"/>
      <c r="AG135" s="377">
        <v>95</v>
      </c>
      <c r="AH135" s="30">
        <v>0.81</v>
      </c>
    </row>
    <row r="136" spans="17:34" x14ac:dyDescent="0.3">
      <c r="Q136" s="209">
        <v>128</v>
      </c>
      <c r="R136" s="209" t="s">
        <v>408</v>
      </c>
      <c r="S136" s="264">
        <v>46263</v>
      </c>
      <c r="T136" s="6">
        <v>1.044</v>
      </c>
      <c r="U136" s="6"/>
      <c r="V136" s="6"/>
      <c r="AG136" s="375">
        <v>96</v>
      </c>
      <c r="AH136" s="30">
        <v>0.81</v>
      </c>
    </row>
    <row r="137" spans="17:34" x14ac:dyDescent="0.3">
      <c r="Q137" s="209">
        <v>129</v>
      </c>
      <c r="R137" s="209" t="s">
        <v>410</v>
      </c>
      <c r="S137" s="264">
        <v>46263</v>
      </c>
      <c r="T137" s="6">
        <v>0.38800000000000001</v>
      </c>
      <c r="U137" s="6"/>
      <c r="V137" s="6"/>
      <c r="AG137" s="375">
        <v>97</v>
      </c>
      <c r="AH137" s="30">
        <v>0.81</v>
      </c>
    </row>
    <row r="138" spans="17:34" x14ac:dyDescent="0.3">
      <c r="Q138" s="209">
        <v>130</v>
      </c>
      <c r="R138" s="6" t="s">
        <v>395</v>
      </c>
      <c r="S138" s="264">
        <v>46264</v>
      </c>
      <c r="T138" s="6">
        <v>0.91700000000000004</v>
      </c>
      <c r="U138" s="6"/>
      <c r="V138" s="6"/>
      <c r="AG138" s="375">
        <v>98</v>
      </c>
      <c r="AH138" s="30">
        <v>0.81</v>
      </c>
    </row>
    <row r="139" spans="17:34" ht="15" thickBot="1" x14ac:dyDescent="0.35">
      <c r="Q139" s="209">
        <v>131</v>
      </c>
      <c r="R139" s="6" t="s">
        <v>440</v>
      </c>
      <c r="S139" s="264">
        <v>46264</v>
      </c>
      <c r="T139" s="6">
        <v>0.98599999999999999</v>
      </c>
      <c r="U139" s="6"/>
      <c r="V139" s="6"/>
      <c r="AG139" s="377">
        <v>99</v>
      </c>
      <c r="AH139" s="30">
        <v>0.81</v>
      </c>
    </row>
    <row r="140" spans="17:34" x14ac:dyDescent="0.3">
      <c r="Q140" s="209">
        <v>132</v>
      </c>
      <c r="R140" s="6" t="s">
        <v>441</v>
      </c>
      <c r="S140" s="264">
        <v>46264</v>
      </c>
      <c r="T140" s="6">
        <v>1.2170000000000001</v>
      </c>
      <c r="U140" s="6"/>
      <c r="V140" s="6"/>
      <c r="AG140" s="375">
        <v>100</v>
      </c>
      <c r="AH140" s="30">
        <v>0.81</v>
      </c>
    </row>
    <row r="141" spans="17:34" x14ac:dyDescent="0.3">
      <c r="Q141" s="209">
        <v>133</v>
      </c>
      <c r="R141" s="6" t="s">
        <v>442</v>
      </c>
      <c r="S141" s="264">
        <v>46264</v>
      </c>
      <c r="T141" s="6">
        <v>0.83599999999999997</v>
      </c>
      <c r="U141" s="6"/>
      <c r="V141" s="6"/>
      <c r="AG141" s="375">
        <v>101</v>
      </c>
      <c r="AH141" s="30">
        <v>0.81</v>
      </c>
    </row>
    <row r="142" spans="17:34" x14ac:dyDescent="0.3">
      <c r="Q142" s="209">
        <v>134</v>
      </c>
      <c r="R142" s="209" t="s">
        <v>393</v>
      </c>
      <c r="S142" s="264">
        <v>46274</v>
      </c>
      <c r="T142" s="6">
        <v>0.217</v>
      </c>
      <c r="U142" s="6"/>
      <c r="V142" s="6"/>
      <c r="AG142" s="375">
        <v>102</v>
      </c>
      <c r="AH142" s="30">
        <v>0.81</v>
      </c>
    </row>
    <row r="143" spans="17:34" ht="15" thickBot="1" x14ac:dyDescent="0.35">
      <c r="Q143" s="209">
        <v>135</v>
      </c>
      <c r="R143" s="209" t="s">
        <v>395</v>
      </c>
      <c r="S143" s="264">
        <v>46274</v>
      </c>
      <c r="T143" s="6">
        <v>7.5999999999999998E-2</v>
      </c>
      <c r="U143" s="6"/>
      <c r="V143" s="6"/>
      <c r="AG143" s="377">
        <v>103</v>
      </c>
      <c r="AH143" s="30">
        <v>0.81</v>
      </c>
    </row>
    <row r="144" spans="17:34" x14ac:dyDescent="0.3">
      <c r="Q144" s="209">
        <v>136</v>
      </c>
      <c r="R144" s="209" t="s">
        <v>397</v>
      </c>
      <c r="S144" s="264">
        <v>46274</v>
      </c>
      <c r="T144" s="6">
        <v>0.35099999999999998</v>
      </c>
      <c r="U144" s="6"/>
      <c r="V144" s="6"/>
      <c r="AG144" s="375">
        <v>104</v>
      </c>
      <c r="AH144" s="30">
        <v>0.81</v>
      </c>
    </row>
    <row r="145" spans="2:34" x14ac:dyDescent="0.3">
      <c r="Q145" s="209">
        <v>137</v>
      </c>
      <c r="R145" s="209" t="s">
        <v>399</v>
      </c>
      <c r="S145" s="264">
        <v>46274</v>
      </c>
      <c r="T145" s="6">
        <v>0.184</v>
      </c>
      <c r="U145" s="6"/>
      <c r="V145" s="6"/>
      <c r="AG145" s="375">
        <v>105</v>
      </c>
      <c r="AH145" s="30">
        <v>0.81</v>
      </c>
    </row>
    <row r="146" spans="2:34" x14ac:dyDescent="0.3">
      <c r="Q146" s="209">
        <v>138</v>
      </c>
      <c r="R146" s="209" t="s">
        <v>401</v>
      </c>
      <c r="S146" s="264">
        <v>46274</v>
      </c>
      <c r="T146" s="6">
        <v>0.373</v>
      </c>
      <c r="U146" s="6"/>
      <c r="V146" s="6"/>
      <c r="AG146" s="375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09">
        <v>139</v>
      </c>
      <c r="R147" s="209" t="s">
        <v>403</v>
      </c>
      <c r="S147" s="264">
        <v>46274</v>
      </c>
      <c r="T147" s="6">
        <v>0.50600000000000001</v>
      </c>
      <c r="U147" s="6"/>
      <c r="V147" s="6"/>
      <c r="AG147" s="377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09">
        <v>140</v>
      </c>
      <c r="R148" s="209" t="s">
        <v>639</v>
      </c>
      <c r="S148" s="264">
        <v>46277</v>
      </c>
      <c r="T148" s="6">
        <v>0.39500000000000002</v>
      </c>
      <c r="U148" s="6"/>
      <c r="V148" s="6"/>
      <c r="AG148" s="375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09">
        <v>141</v>
      </c>
      <c r="R149" s="209" t="s">
        <v>393</v>
      </c>
      <c r="S149" s="264">
        <v>46277</v>
      </c>
      <c r="T149" s="6">
        <v>0.29399999999999998</v>
      </c>
      <c r="U149" s="6"/>
      <c r="V149" s="6"/>
      <c r="AG149" s="375">
        <v>109</v>
      </c>
      <c r="AH149" s="30">
        <v>0.81</v>
      </c>
    </row>
    <row r="150" spans="2:34" x14ac:dyDescent="0.3">
      <c r="Q150" s="209">
        <v>142</v>
      </c>
      <c r="R150" s="209" t="s">
        <v>395</v>
      </c>
      <c r="S150" s="264">
        <v>46277</v>
      </c>
      <c r="T150" s="6">
        <v>0.78800000000000003</v>
      </c>
      <c r="U150" s="6"/>
      <c r="V150" s="6"/>
      <c r="AG150" s="375">
        <v>110</v>
      </c>
      <c r="AH150" s="30">
        <v>0.81</v>
      </c>
    </row>
    <row r="151" spans="2:34" ht="15" thickBot="1" x14ac:dyDescent="0.35">
      <c r="Q151" s="209">
        <v>143</v>
      </c>
      <c r="R151" s="209" t="s">
        <v>397</v>
      </c>
      <c r="S151" s="264">
        <v>46277</v>
      </c>
      <c r="T151" s="6">
        <v>0.371</v>
      </c>
      <c r="U151" s="6"/>
      <c r="V151" s="6"/>
      <c r="AG151" s="377">
        <v>111</v>
      </c>
      <c r="AH151" s="30">
        <v>0.81</v>
      </c>
    </row>
    <row r="152" spans="2:34" x14ac:dyDescent="0.3">
      <c r="Q152" s="209">
        <v>144</v>
      </c>
      <c r="R152" s="209" t="s">
        <v>399</v>
      </c>
      <c r="S152" s="264">
        <v>46277</v>
      </c>
      <c r="T152" s="6">
        <v>0.39400000000000002</v>
      </c>
      <c r="U152" s="6"/>
      <c r="V152" s="6"/>
      <c r="AG152" s="375">
        <v>112</v>
      </c>
      <c r="AH152" s="30">
        <v>0.81</v>
      </c>
    </row>
    <row r="153" spans="2:34" x14ac:dyDescent="0.3">
      <c r="Q153" s="209">
        <v>145</v>
      </c>
      <c r="R153" s="209" t="s">
        <v>640</v>
      </c>
      <c r="S153" s="264">
        <v>46277</v>
      </c>
      <c r="T153" s="6">
        <v>0.504</v>
      </c>
      <c r="U153" s="6"/>
      <c r="V153" s="6"/>
      <c r="AG153" s="375">
        <v>113</v>
      </c>
      <c r="AH153" s="30">
        <v>0.81</v>
      </c>
    </row>
    <row r="154" spans="2:34" x14ac:dyDescent="0.3">
      <c r="Q154" s="209">
        <v>146</v>
      </c>
      <c r="R154" s="209" t="s">
        <v>401</v>
      </c>
      <c r="S154" s="264">
        <v>46277</v>
      </c>
      <c r="T154" s="6">
        <v>0.39300000000000002</v>
      </c>
      <c r="U154" s="6"/>
      <c r="V154" s="6"/>
      <c r="AG154" s="375">
        <v>114</v>
      </c>
      <c r="AH154" s="30">
        <v>0.81</v>
      </c>
    </row>
    <row r="155" spans="2:34" ht="15" thickBot="1" x14ac:dyDescent="0.35">
      <c r="Q155" s="209">
        <v>147</v>
      </c>
      <c r="R155" s="209" t="s">
        <v>403</v>
      </c>
      <c r="S155" s="264">
        <v>46277</v>
      </c>
      <c r="T155" s="6">
        <v>0.46200000000000002</v>
      </c>
      <c r="U155" s="6"/>
      <c r="V155" s="6"/>
      <c r="AG155" s="377">
        <v>115</v>
      </c>
      <c r="AH155" s="30">
        <v>0.81</v>
      </c>
    </row>
    <row r="156" spans="2:34" x14ac:dyDescent="0.3">
      <c r="Q156" s="209">
        <v>148</v>
      </c>
      <c r="R156" s="209" t="s">
        <v>405</v>
      </c>
      <c r="S156" s="264">
        <v>46277</v>
      </c>
      <c r="T156" s="6">
        <v>0.70299999999999996</v>
      </c>
      <c r="U156" s="6"/>
      <c r="V156" s="6"/>
      <c r="AG156" s="375">
        <v>116</v>
      </c>
      <c r="AH156" s="30">
        <v>0.81</v>
      </c>
    </row>
    <row r="157" spans="2:34" x14ac:dyDescent="0.3">
      <c r="Q157" s="209">
        <v>149</v>
      </c>
      <c r="R157" s="209" t="s">
        <v>407</v>
      </c>
      <c r="S157" s="264">
        <v>46277</v>
      </c>
      <c r="T157" s="6">
        <v>0.753</v>
      </c>
      <c r="U157" s="6"/>
      <c r="V157" s="6"/>
      <c r="AG157" s="375">
        <v>117</v>
      </c>
      <c r="AH157" s="30">
        <v>0.81</v>
      </c>
    </row>
    <row r="158" spans="2:34" x14ac:dyDescent="0.3">
      <c r="Q158" s="209">
        <v>150</v>
      </c>
      <c r="R158" s="209" t="s">
        <v>388</v>
      </c>
      <c r="S158" s="264">
        <v>46277</v>
      </c>
      <c r="T158" s="6">
        <v>0.92600000000000005</v>
      </c>
      <c r="U158" s="6"/>
      <c r="V158" s="6"/>
      <c r="AG158" s="375">
        <v>118</v>
      </c>
      <c r="AH158" s="30">
        <v>0.81</v>
      </c>
    </row>
    <row r="159" spans="2:34" ht="15" thickBot="1" x14ac:dyDescent="0.35">
      <c r="Q159" s="209">
        <v>151</v>
      </c>
      <c r="R159" s="209" t="s">
        <v>408</v>
      </c>
      <c r="S159" s="264">
        <v>46277</v>
      </c>
      <c r="T159" s="6">
        <v>0.33</v>
      </c>
      <c r="U159" s="6"/>
      <c r="V159" s="6"/>
      <c r="AG159" s="377">
        <v>119</v>
      </c>
      <c r="AH159" s="30">
        <v>0.81</v>
      </c>
    </row>
    <row r="160" spans="2:34" x14ac:dyDescent="0.3">
      <c r="Q160" s="209">
        <v>152</v>
      </c>
      <c r="R160" s="6" t="s">
        <v>639</v>
      </c>
      <c r="S160" s="264">
        <v>46278</v>
      </c>
      <c r="T160" s="960">
        <v>1.4</v>
      </c>
      <c r="U160" s="6"/>
      <c r="V160" s="6"/>
      <c r="AG160" s="375">
        <v>120</v>
      </c>
      <c r="AH160" s="30">
        <v>0.81</v>
      </c>
    </row>
    <row r="161" spans="17:34" x14ac:dyDescent="0.3">
      <c r="Q161" s="209">
        <v>153</v>
      </c>
      <c r="R161" s="6" t="s">
        <v>388</v>
      </c>
      <c r="S161" s="264">
        <v>46278</v>
      </c>
      <c r="T161" s="6">
        <v>1.139</v>
      </c>
      <c r="U161" s="6"/>
      <c r="V161" s="6"/>
      <c r="AG161" s="375">
        <v>121</v>
      </c>
      <c r="AH161" s="30">
        <v>0.81</v>
      </c>
    </row>
    <row r="162" spans="17:34" x14ac:dyDescent="0.3">
      <c r="Q162" s="209">
        <v>154</v>
      </c>
      <c r="R162" s="209" t="s">
        <v>395</v>
      </c>
      <c r="S162" s="264">
        <v>46284</v>
      </c>
      <c r="T162" s="6">
        <v>0.36399999999999999</v>
      </c>
      <c r="U162" s="6"/>
      <c r="V162" s="6"/>
      <c r="AG162" s="375">
        <v>122</v>
      </c>
      <c r="AH162" s="30">
        <v>0.81</v>
      </c>
    </row>
    <row r="163" spans="17:34" ht="15" thickBot="1" x14ac:dyDescent="0.35">
      <c r="Q163" s="209">
        <v>155</v>
      </c>
      <c r="R163" s="209" t="s">
        <v>397</v>
      </c>
      <c r="S163" s="264">
        <v>46284</v>
      </c>
      <c r="T163" s="6">
        <v>0.34200000000000003</v>
      </c>
      <c r="U163" s="6"/>
      <c r="V163" s="6"/>
      <c r="AG163" s="377">
        <v>123</v>
      </c>
      <c r="AH163" s="30">
        <v>0.81</v>
      </c>
    </row>
    <row r="164" spans="17:34" x14ac:dyDescent="0.3">
      <c r="Q164" s="209">
        <v>156</v>
      </c>
      <c r="R164" s="209" t="s">
        <v>399</v>
      </c>
      <c r="S164" s="264">
        <v>46284</v>
      </c>
      <c r="T164" s="6">
        <v>0.36699999999999999</v>
      </c>
      <c r="U164" s="6"/>
      <c r="V164" s="6"/>
      <c r="AG164" s="375">
        <v>124</v>
      </c>
      <c r="AH164" s="30">
        <v>0.81</v>
      </c>
    </row>
    <row r="165" spans="17:34" x14ac:dyDescent="0.3">
      <c r="Q165" s="209">
        <v>157</v>
      </c>
      <c r="R165" s="209" t="s">
        <v>640</v>
      </c>
      <c r="S165" s="264">
        <v>46284</v>
      </c>
      <c r="T165" s="6">
        <v>0.68400000000000005</v>
      </c>
      <c r="U165" s="6"/>
      <c r="V165" s="6"/>
      <c r="AG165" s="375">
        <v>125</v>
      </c>
      <c r="AH165" s="30">
        <v>0.81</v>
      </c>
    </row>
    <row r="166" spans="17:34" x14ac:dyDescent="0.3">
      <c r="Q166" s="209">
        <v>158</v>
      </c>
      <c r="R166" s="209" t="s">
        <v>401</v>
      </c>
      <c r="S166" s="264">
        <v>46284</v>
      </c>
      <c r="T166" s="6">
        <v>0.35599999999999998</v>
      </c>
      <c r="U166" s="6"/>
      <c r="V166" s="6"/>
      <c r="AG166" s="375">
        <v>126</v>
      </c>
      <c r="AH166" s="30">
        <v>0.81</v>
      </c>
    </row>
    <row r="167" spans="17:34" ht="15" thickBot="1" x14ac:dyDescent="0.35">
      <c r="Q167" s="209">
        <v>159</v>
      </c>
      <c r="R167" s="209" t="s">
        <v>403</v>
      </c>
      <c r="S167" s="264">
        <v>46284</v>
      </c>
      <c r="T167" s="6">
        <v>0.52500000000000002</v>
      </c>
      <c r="U167" s="6"/>
      <c r="V167" s="6"/>
      <c r="AG167" s="377">
        <v>127</v>
      </c>
      <c r="AH167" s="30">
        <v>0.81</v>
      </c>
    </row>
    <row r="168" spans="17:34" x14ac:dyDescent="0.3">
      <c r="Q168" s="209">
        <v>160</v>
      </c>
      <c r="R168" s="209" t="s">
        <v>405</v>
      </c>
      <c r="S168" s="264">
        <v>46284</v>
      </c>
      <c r="T168" s="960">
        <v>0.82299999999999995</v>
      </c>
      <c r="U168" s="6"/>
      <c r="V168" s="6"/>
      <c r="AG168" s="375">
        <v>128</v>
      </c>
      <c r="AH168" s="30">
        <v>0.81</v>
      </c>
    </row>
    <row r="169" spans="17:34" x14ac:dyDescent="0.3">
      <c r="Q169" s="209">
        <v>161</v>
      </c>
      <c r="R169" s="6"/>
      <c r="S169" s="264"/>
      <c r="T169" s="6"/>
      <c r="U169" s="6"/>
      <c r="V169" s="6"/>
      <c r="AG169" s="375">
        <v>129</v>
      </c>
      <c r="AH169" s="30">
        <v>0.81</v>
      </c>
    </row>
    <row r="170" spans="17:34" x14ac:dyDescent="0.3">
      <c r="Q170" s="209">
        <v>162</v>
      </c>
      <c r="R170" s="6"/>
      <c r="S170" s="264"/>
      <c r="T170" s="6"/>
      <c r="U170" s="6"/>
      <c r="V170" s="6"/>
      <c r="AG170" s="375">
        <v>130</v>
      </c>
      <c r="AH170" s="30">
        <v>0.81</v>
      </c>
    </row>
    <row r="171" spans="17:34" ht="15" thickBot="1" x14ac:dyDescent="0.35">
      <c r="Q171" s="209">
        <v>163</v>
      </c>
      <c r="R171" s="6"/>
      <c r="S171" s="264"/>
      <c r="T171" s="6"/>
      <c r="U171" s="6"/>
      <c r="V171" s="6"/>
      <c r="AG171" s="377">
        <v>131</v>
      </c>
      <c r="AH171" s="30">
        <v>0.81</v>
      </c>
    </row>
    <row r="172" spans="17:34" x14ac:dyDescent="0.3">
      <c r="Q172" s="209">
        <v>164</v>
      </c>
      <c r="R172" s="6"/>
      <c r="S172" s="264"/>
      <c r="T172" s="6"/>
      <c r="U172" s="6"/>
      <c r="V172" s="6"/>
      <c r="AG172" s="375">
        <v>132</v>
      </c>
      <c r="AH172" s="30">
        <v>0.81</v>
      </c>
    </row>
    <row r="173" spans="17:34" x14ac:dyDescent="0.3">
      <c r="Q173" s="209">
        <v>165</v>
      </c>
      <c r="R173" s="6"/>
      <c r="S173" s="264"/>
      <c r="T173" s="6"/>
      <c r="U173" s="6"/>
      <c r="V173" s="6"/>
      <c r="AG173" s="375">
        <v>133</v>
      </c>
      <c r="AH173" s="30">
        <v>0.81</v>
      </c>
    </row>
    <row r="174" spans="17:34" x14ac:dyDescent="0.3">
      <c r="Q174" s="209">
        <v>166</v>
      </c>
      <c r="R174" s="6"/>
      <c r="S174" s="264"/>
      <c r="T174" s="6"/>
      <c r="U174" s="6"/>
      <c r="V174" s="6"/>
    </row>
    <row r="175" spans="17:34" x14ac:dyDescent="0.3">
      <c r="Q175" s="209">
        <v>167</v>
      </c>
      <c r="R175" s="6"/>
      <c r="S175" s="264"/>
      <c r="T175" s="6"/>
      <c r="U175" s="6"/>
      <c r="V175" s="6"/>
    </row>
    <row r="176" spans="17:34" x14ac:dyDescent="0.3">
      <c r="Q176" s="209">
        <v>168</v>
      </c>
      <c r="R176" s="6"/>
      <c r="S176" s="264"/>
      <c r="T176" s="6"/>
      <c r="U176" s="6"/>
      <c r="V176" s="6"/>
    </row>
    <row r="177" spans="17:22" x14ac:dyDescent="0.3">
      <c r="Q177" s="209">
        <v>169</v>
      </c>
      <c r="R177" s="6"/>
      <c r="S177" s="264"/>
      <c r="T177" s="6"/>
      <c r="U177" s="6"/>
      <c r="V177" s="6"/>
    </row>
    <row r="178" spans="17:22" x14ac:dyDescent="0.3">
      <c r="Q178" s="209">
        <v>170</v>
      </c>
      <c r="R178" s="6"/>
      <c r="S178" s="264"/>
      <c r="T178" s="6"/>
      <c r="U178" s="6"/>
      <c r="V178" s="6"/>
    </row>
    <row r="179" spans="17:22" x14ac:dyDescent="0.3">
      <c r="Q179" s="209">
        <v>171</v>
      </c>
      <c r="R179" s="6"/>
      <c r="S179" s="264"/>
      <c r="T179" s="6"/>
      <c r="U179" s="6"/>
      <c r="V179" s="6"/>
    </row>
    <row r="180" spans="17:22" x14ac:dyDescent="0.3">
      <c r="Q180" s="209">
        <v>172</v>
      </c>
      <c r="R180" s="6"/>
      <c r="S180" s="264"/>
      <c r="T180" s="6"/>
      <c r="U180" s="6"/>
      <c r="V180" s="6"/>
    </row>
    <row r="181" spans="17:22" x14ac:dyDescent="0.3">
      <c r="Q181" s="209">
        <v>173</v>
      </c>
      <c r="R181" s="6"/>
      <c r="S181" s="264"/>
      <c r="T181" s="6"/>
      <c r="U181" s="6"/>
      <c r="V181" s="6"/>
    </row>
    <row r="182" spans="17:22" x14ac:dyDescent="0.3">
      <c r="Q182" s="209">
        <v>174</v>
      </c>
      <c r="R182" s="6"/>
      <c r="S182" s="264"/>
      <c r="T182" s="6"/>
      <c r="U182" s="6"/>
      <c r="V182" s="6"/>
    </row>
    <row r="183" spans="17:22" x14ac:dyDescent="0.3">
      <c r="Q183" s="209">
        <v>175</v>
      </c>
      <c r="R183" s="6"/>
      <c r="S183" s="264"/>
      <c r="T183" s="6"/>
      <c r="U183" s="6"/>
      <c r="V183" s="6"/>
    </row>
    <row r="184" spans="17:22" x14ac:dyDescent="0.3">
      <c r="Q184" s="209">
        <v>176</v>
      </c>
      <c r="R184" s="6"/>
      <c r="S184" s="264"/>
      <c r="T184" s="6"/>
      <c r="U184" s="6"/>
      <c r="V184" s="6"/>
    </row>
    <row r="185" spans="17:22" x14ac:dyDescent="0.3">
      <c r="Q185" s="209">
        <v>177</v>
      </c>
      <c r="R185" s="6"/>
      <c r="S185" s="264"/>
      <c r="T185" s="6"/>
      <c r="U185" s="6"/>
      <c r="V185" s="6"/>
    </row>
    <row r="186" spans="17:22" x14ac:dyDescent="0.3">
      <c r="Q186" s="209">
        <v>178</v>
      </c>
      <c r="R186" s="6"/>
      <c r="S186" s="264"/>
      <c r="T186" s="6"/>
      <c r="U186" s="6"/>
      <c r="V186" s="6"/>
    </row>
    <row r="187" spans="17:22" x14ac:dyDescent="0.3">
      <c r="Q187" s="209">
        <v>179</v>
      </c>
      <c r="R187" s="6"/>
      <c r="S187" s="264"/>
      <c r="T187" s="6"/>
      <c r="U187" s="6"/>
      <c r="V187" s="6"/>
    </row>
    <row r="188" spans="17:22" x14ac:dyDescent="0.3">
      <c r="Q188" s="209">
        <v>180</v>
      </c>
      <c r="R188" s="6"/>
      <c r="S188" s="264"/>
      <c r="T188" s="6"/>
      <c r="U188" s="6"/>
      <c r="V188" s="6"/>
    </row>
    <row r="189" spans="17:22" x14ac:dyDescent="0.3">
      <c r="Q189" s="209">
        <v>181</v>
      </c>
      <c r="R189" s="6"/>
      <c r="S189" s="264"/>
      <c r="T189" s="6"/>
      <c r="U189" s="6"/>
      <c r="V189" s="6"/>
    </row>
    <row r="190" spans="17:22" x14ac:dyDescent="0.3">
      <c r="Q190" s="209">
        <v>182</v>
      </c>
      <c r="R190" s="6"/>
      <c r="S190" s="264"/>
      <c r="T190" s="6"/>
      <c r="U190" s="6"/>
      <c r="V190" s="6"/>
    </row>
    <row r="191" spans="17:22" x14ac:dyDescent="0.3">
      <c r="Q191" s="209">
        <v>183</v>
      </c>
      <c r="R191" s="6"/>
      <c r="S191" s="264"/>
      <c r="T191" s="6"/>
      <c r="U191" s="6"/>
      <c r="V191" s="6"/>
    </row>
    <row r="192" spans="17:22" x14ac:dyDescent="0.3">
      <c r="Q192" s="209">
        <v>184</v>
      </c>
      <c r="R192" s="6"/>
      <c r="S192" s="264"/>
      <c r="T192" s="6"/>
      <c r="U192" s="6"/>
      <c r="V192" s="6"/>
    </row>
    <row r="193" spans="17:22" x14ac:dyDescent="0.3">
      <c r="Q193" s="209">
        <v>185</v>
      </c>
      <c r="R193" s="6"/>
      <c r="S193" s="264"/>
      <c r="T193" s="6"/>
      <c r="U193" s="6"/>
      <c r="V193" s="6"/>
    </row>
    <row r="194" spans="17:22" x14ac:dyDescent="0.3">
      <c r="Q194" s="209">
        <v>186</v>
      </c>
      <c r="R194" s="6"/>
      <c r="S194" s="264"/>
      <c r="T194" s="6"/>
      <c r="U194" s="6"/>
      <c r="V194" s="6"/>
    </row>
    <row r="195" spans="17:22" x14ac:dyDescent="0.3">
      <c r="Q195" s="209">
        <v>187</v>
      </c>
      <c r="R195" s="6"/>
      <c r="S195" s="264"/>
      <c r="T195" s="6"/>
      <c r="U195" s="6"/>
      <c r="V195" s="6"/>
    </row>
    <row r="196" spans="17:22" x14ac:dyDescent="0.3">
      <c r="Q196" s="209">
        <v>188</v>
      </c>
      <c r="R196" s="6"/>
      <c r="S196" s="264"/>
      <c r="T196" s="6"/>
      <c r="U196" s="6"/>
      <c r="V196" s="6"/>
    </row>
    <row r="197" spans="17:22" x14ac:dyDescent="0.3">
      <c r="Q197" s="209">
        <v>189</v>
      </c>
      <c r="R197" s="6"/>
      <c r="S197" s="264"/>
      <c r="T197" s="6"/>
      <c r="U197" s="6"/>
      <c r="V197" s="6"/>
    </row>
    <row r="198" spans="17:22" x14ac:dyDescent="0.3">
      <c r="Q198" s="209">
        <v>190</v>
      </c>
      <c r="R198" s="6"/>
      <c r="S198" s="264"/>
      <c r="T198" s="6"/>
      <c r="U198" s="6"/>
      <c r="V198" s="6"/>
    </row>
    <row r="199" spans="17:22" x14ac:dyDescent="0.3">
      <c r="Q199" s="209">
        <v>191</v>
      </c>
      <c r="R199" s="6"/>
      <c r="S199" s="264"/>
      <c r="T199" s="6"/>
      <c r="U199" s="6"/>
      <c r="V199" s="6"/>
    </row>
    <row r="200" spans="17:22" x14ac:dyDescent="0.3">
      <c r="Q200" s="209">
        <v>192</v>
      </c>
      <c r="R200" s="6"/>
      <c r="S200" s="264"/>
      <c r="T200" s="6"/>
      <c r="U200" s="6"/>
      <c r="V200" s="6"/>
    </row>
    <row r="201" spans="17:22" x14ac:dyDescent="0.3">
      <c r="Q201" s="209">
        <v>193</v>
      </c>
      <c r="R201" s="6"/>
      <c r="S201" s="264"/>
      <c r="T201" s="6"/>
      <c r="U201" s="6"/>
      <c r="V201" s="6"/>
    </row>
    <row r="202" spans="17:22" x14ac:dyDescent="0.3">
      <c r="Q202" s="209">
        <v>194</v>
      </c>
      <c r="R202" s="6"/>
      <c r="S202" s="264"/>
      <c r="T202" s="6"/>
      <c r="U202" s="6"/>
      <c r="V202" s="6"/>
    </row>
    <row r="203" spans="17:22" x14ac:dyDescent="0.3">
      <c r="Q203" s="209">
        <v>195</v>
      </c>
      <c r="R203" s="6"/>
      <c r="S203" s="264"/>
      <c r="T203" s="6"/>
      <c r="U203" s="6"/>
      <c r="V203" s="6"/>
    </row>
    <row r="204" spans="17:22" x14ac:dyDescent="0.3">
      <c r="Q204" s="209">
        <v>196</v>
      </c>
      <c r="R204" s="6"/>
      <c r="S204" s="264"/>
      <c r="T204" s="6"/>
      <c r="U204" s="6"/>
      <c r="V204" s="6"/>
    </row>
    <row r="205" spans="17:22" x14ac:dyDescent="0.3">
      <c r="Q205" s="209">
        <v>197</v>
      </c>
      <c r="R205" s="6"/>
      <c r="S205" s="264"/>
      <c r="T205" s="6"/>
      <c r="U205" s="6"/>
      <c r="V205" s="6"/>
    </row>
    <row r="206" spans="17:22" x14ac:dyDescent="0.3">
      <c r="Q206" s="209">
        <v>198</v>
      </c>
      <c r="R206" s="6"/>
      <c r="S206" s="264"/>
      <c r="T206" s="6"/>
      <c r="U206" s="6"/>
      <c r="V206" s="6"/>
    </row>
    <row r="207" spans="17:22" x14ac:dyDescent="0.3">
      <c r="Q207" s="209">
        <v>199</v>
      </c>
      <c r="R207" s="6"/>
      <c r="S207" s="264"/>
      <c r="T207" s="6"/>
      <c r="U207" s="6"/>
      <c r="V207" s="6"/>
    </row>
    <row r="208" spans="17:22" x14ac:dyDescent="0.3">
      <c r="Q208" s="209">
        <v>200</v>
      </c>
      <c r="R208" s="6"/>
      <c r="S208" s="264"/>
      <c r="T208" s="6"/>
      <c r="U208" s="6"/>
      <c r="V208" s="6"/>
    </row>
    <row r="209" spans="17:22" x14ac:dyDescent="0.3">
      <c r="Q209" s="209">
        <v>201</v>
      </c>
      <c r="R209" s="6"/>
      <c r="S209" s="264"/>
      <c r="T209" s="6"/>
      <c r="U209" s="6"/>
      <c r="V209" s="6"/>
    </row>
    <row r="210" spans="17:22" x14ac:dyDescent="0.3">
      <c r="Q210" s="209">
        <v>202</v>
      </c>
      <c r="R210" s="6"/>
      <c r="S210" s="264"/>
      <c r="T210" s="6"/>
      <c r="U210" s="6"/>
      <c r="V210" s="6"/>
    </row>
    <row r="211" spans="17:22" x14ac:dyDescent="0.3">
      <c r="Q211" s="209">
        <v>203</v>
      </c>
      <c r="R211" s="6"/>
      <c r="S211" s="264"/>
      <c r="T211" s="6"/>
      <c r="U211" s="6"/>
      <c r="V211" s="6"/>
    </row>
    <row r="212" spans="17:22" x14ac:dyDescent="0.3">
      <c r="Q212" s="209">
        <v>204</v>
      </c>
      <c r="R212" s="6"/>
      <c r="S212" s="264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4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U11" activePane="bottomRight" state="frozen"/>
      <selection pane="topRight" activeCell="B1" sqref="B1"/>
      <selection pane="bottomLeft" activeCell="A2" sqref="A2"/>
      <selection pane="bottomRight" activeCell="Y31" sqref="Y3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62" t="s">
        <v>280</v>
      </c>
      <c r="C1" s="1162"/>
      <c r="D1" s="1162"/>
      <c r="E1" s="1162"/>
      <c r="F1" s="1162"/>
      <c r="G1" s="1162"/>
      <c r="H1" s="1162"/>
      <c r="I1" s="1162"/>
      <c r="J1" s="1162"/>
      <c r="K1" s="1162"/>
      <c r="L1" s="1162"/>
      <c r="M1" s="1162"/>
      <c r="N1" s="1162"/>
      <c r="O1" s="1162"/>
      <c r="P1" s="1162"/>
      <c r="Q1" s="1162"/>
      <c r="R1" s="1162"/>
      <c r="S1" s="1162"/>
    </row>
    <row r="2" spans="1:42" ht="18" x14ac:dyDescent="0.35">
      <c r="B2" s="1162" t="s">
        <v>281</v>
      </c>
      <c r="C2" s="1162"/>
      <c r="D2" s="1162"/>
      <c r="E2" s="1162"/>
      <c r="F2" s="1162"/>
      <c r="G2" s="1162"/>
      <c r="H2" s="1162"/>
      <c r="I2" s="1162"/>
      <c r="J2" s="1162"/>
      <c r="K2" s="1162"/>
      <c r="L2" s="1162"/>
      <c r="M2" s="1162"/>
      <c r="N2" s="1162"/>
      <c r="O2" s="1162"/>
      <c r="P2" s="1162"/>
      <c r="Q2" s="1162"/>
      <c r="R2" s="1162"/>
      <c r="S2" s="1162"/>
    </row>
    <row r="3" spans="1:42" ht="18" x14ac:dyDescent="0.35">
      <c r="B3" s="1162" t="s">
        <v>282</v>
      </c>
      <c r="C3" s="1162"/>
      <c r="D3" s="1162"/>
      <c r="E3" s="1162"/>
      <c r="F3" s="1162"/>
      <c r="G3" s="1162"/>
      <c r="H3" s="1162"/>
      <c r="I3" s="1162"/>
      <c r="J3" s="1162"/>
      <c r="K3" s="1162"/>
      <c r="L3" s="1162"/>
      <c r="M3" s="1162"/>
      <c r="N3" s="1162"/>
      <c r="O3" s="1162"/>
      <c r="P3" s="1162"/>
      <c r="Q3" s="1162"/>
      <c r="R3" s="1162"/>
      <c r="S3" s="116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145"/>
      <c r="C5" s="1146"/>
      <c r="D5" s="1145" t="s">
        <v>25</v>
      </c>
      <c r="E5" s="1164"/>
      <c r="F5" s="1146"/>
      <c r="G5" s="1145" t="s">
        <v>26</v>
      </c>
      <c r="H5" s="1164"/>
      <c r="I5" s="1146"/>
      <c r="J5" s="1145" t="s">
        <v>321</v>
      </c>
      <c r="K5" s="1146"/>
      <c r="L5" s="112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2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3" t="s">
        <v>175</v>
      </c>
      <c r="V6" s="113" t="s">
        <v>330</v>
      </c>
      <c r="X6" s="1165" t="s">
        <v>163</v>
      </c>
      <c r="Y6" s="1165"/>
      <c r="Z6" s="1165"/>
      <c r="AA6" s="1165"/>
      <c r="AB6" s="1165"/>
      <c r="AC6" s="1165"/>
    </row>
    <row r="7" spans="1:42" x14ac:dyDescent="0.3">
      <c r="A7" s="20">
        <v>46262</v>
      </c>
      <c r="B7" s="131" t="s">
        <v>13</v>
      </c>
      <c r="C7" s="384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3" t="s">
        <v>224</v>
      </c>
      <c r="Y7" s="123" t="s">
        <v>161</v>
      </c>
      <c r="Z7" s="123" t="s">
        <v>162</v>
      </c>
      <c r="AA7" s="123" t="s">
        <v>164</v>
      </c>
      <c r="AB7" s="123" t="s">
        <v>288</v>
      </c>
      <c r="AC7" s="123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1">
        <f>O60+U60</f>
        <v>3725</v>
      </c>
      <c r="Y8" s="121">
        <f t="shared" ref="Y8:Z8" si="1">P60</f>
        <v>3500</v>
      </c>
      <c r="Z8" s="121">
        <f t="shared" si="1"/>
        <v>3000</v>
      </c>
      <c r="AA8" s="121">
        <f>T60</f>
        <v>200</v>
      </c>
      <c r="AB8" s="122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28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163" t="s">
        <v>336</v>
      </c>
      <c r="Y10" s="1163"/>
      <c r="Z10" s="1163"/>
      <c r="AA10" s="1163"/>
      <c r="AB10" s="1163"/>
      <c r="AC10" s="207"/>
    </row>
    <row r="11" spans="1:42" x14ac:dyDescent="0.3">
      <c r="A11" s="20">
        <v>46266</v>
      </c>
      <c r="B11" s="17" t="s">
        <v>13</v>
      </c>
      <c r="C11" s="432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4">
        <f>X8/'Au Cal Leaching Tank'!$K$61</f>
        <v>1.3029864887303138</v>
      </c>
      <c r="Y11" s="124">
        <f>Y8/'Au Cal Leaching Tank'!$K$61</f>
        <v>1.2242826068606976</v>
      </c>
      <c r="Z11" s="124">
        <f>Z8/'Au Cal Leaching Tank'!$K$61</f>
        <v>1.0493850915948837</v>
      </c>
      <c r="AA11" s="124">
        <f>AA8/'Au Cal Leaching Tank'!$K$61</f>
        <v>6.9959006106325577E-2</v>
      </c>
      <c r="AB11" s="124">
        <f>AB8/'Au Cal Leaching Tank'!$K$61</f>
        <v>0</v>
      </c>
      <c r="AC11" s="124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2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4"/>
      <c r="Y12" s="124"/>
      <c r="Z12" s="124"/>
      <c r="AA12" s="124"/>
      <c r="AB12" s="124"/>
      <c r="AC12" s="124"/>
    </row>
    <row r="13" spans="1:42" x14ac:dyDescent="0.3">
      <c r="A13" s="20">
        <v>46267</v>
      </c>
      <c r="B13" s="17" t="s">
        <v>13</v>
      </c>
      <c r="C13" s="432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19" t="s">
        <v>176</v>
      </c>
      <c r="Y13" s="219" t="s">
        <v>165</v>
      </c>
      <c r="Z13" s="219" t="s">
        <v>166</v>
      </c>
      <c r="AA13" s="219" t="s">
        <v>167</v>
      </c>
      <c r="AB13" s="219" t="s">
        <v>292</v>
      </c>
      <c r="AC13" s="219" t="s">
        <v>335</v>
      </c>
    </row>
    <row r="14" spans="1:42" x14ac:dyDescent="0.3">
      <c r="A14" s="20">
        <v>46267</v>
      </c>
      <c r="B14" s="17" t="s">
        <v>14</v>
      </c>
      <c r="C14" s="432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6"/>
      <c r="Y14" s="436"/>
      <c r="Z14" s="436"/>
      <c r="AA14" s="436"/>
      <c r="AB14" s="436"/>
      <c r="AC14" s="436"/>
    </row>
    <row r="15" spans="1:42" x14ac:dyDescent="0.3">
      <c r="A15" s="20">
        <v>46268</v>
      </c>
      <c r="B15" s="17" t="s">
        <v>13</v>
      </c>
      <c r="C15" s="432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66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49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6"/>
      <c r="AA17" s="246"/>
    </row>
    <row r="18" spans="1:29" x14ac:dyDescent="0.3">
      <c r="A18" s="20">
        <v>46271</v>
      </c>
      <c r="B18" s="17" t="s">
        <v>13</v>
      </c>
      <c r="C18" s="453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3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6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14" t="s">
        <v>585</v>
      </c>
      <c r="Y20" s="1114"/>
      <c r="Z20" s="1114"/>
      <c r="AA20" s="1114"/>
      <c r="AB20" s="1114"/>
      <c r="AC20" s="1114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695">
        <v>48000</v>
      </c>
      <c r="Y22" s="695">
        <v>2300</v>
      </c>
      <c r="Z22" s="695">
        <v>44000</v>
      </c>
      <c r="AA22" s="695">
        <v>30000</v>
      </c>
      <c r="AB22" s="695">
        <v>28000</v>
      </c>
      <c r="AC22" s="69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66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157" t="s">
        <v>584</v>
      </c>
      <c r="Y24" s="1157"/>
      <c r="Z24" s="1157"/>
      <c r="AA24" s="1157"/>
      <c r="AB24" s="1157"/>
      <c r="AC24" s="1157"/>
    </row>
    <row r="25" spans="1:29" x14ac:dyDescent="0.3">
      <c r="A25" s="20">
        <v>46275</v>
      </c>
      <c r="B25" s="17" t="s">
        <v>14</v>
      </c>
      <c r="C25" s="467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96" t="s">
        <v>520</v>
      </c>
      <c r="Y25" s="15" t="s">
        <v>521</v>
      </c>
      <c r="Z25" s="15" t="s">
        <v>303</v>
      </c>
      <c r="AA25" s="15" t="s">
        <v>522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694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697">
        <f>X22*X8</f>
        <v>178800000</v>
      </c>
      <c r="Y26" s="697">
        <f t="shared" ref="Y26:AC26" si="9">Y22*Y8</f>
        <v>8050000</v>
      </c>
      <c r="Z26" s="697">
        <f>Z22*Z8</f>
        <v>132000000</v>
      </c>
      <c r="AA26" s="697">
        <f>AA22*AA8</f>
        <v>6000000</v>
      </c>
      <c r="AB26" s="697">
        <f t="shared" si="9"/>
        <v>0</v>
      </c>
      <c r="AC26" s="69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58" t="s">
        <v>584</v>
      </c>
      <c r="Y27" s="1159"/>
      <c r="Z27" s="1160">
        <f>SUM(X26:AC26)</f>
        <v>324850000</v>
      </c>
      <c r="AA27" s="1159"/>
      <c r="AB27" s="1159"/>
      <c r="AC27" s="116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8">
        <f>X26/$Z$27</f>
        <v>0.55040788056025858</v>
      </c>
      <c r="Y28" s="699">
        <f t="shared" ref="Y28:AC28" si="10">Y26/$Z$27</f>
        <v>2.4780668000615669E-2</v>
      </c>
      <c r="Z28" s="699">
        <f t="shared" si="10"/>
        <v>0.40634138833307681</v>
      </c>
      <c r="AA28" s="699">
        <f t="shared" si="10"/>
        <v>1.8470063106048946E-2</v>
      </c>
      <c r="AB28" s="699">
        <f t="shared" si="10"/>
        <v>0</v>
      </c>
      <c r="AC28" s="700">
        <f t="shared" si="10"/>
        <v>0</v>
      </c>
    </row>
    <row r="29" spans="1:29" x14ac:dyDescent="0.3">
      <c r="A29" s="20">
        <v>46279</v>
      </c>
      <c r="B29" s="17" t="s">
        <v>14</v>
      </c>
      <c r="C29" s="855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55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55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891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55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5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5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5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5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3725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70" t="s">
        <v>123</v>
      </c>
      <c r="C1" s="1170"/>
      <c r="D1" s="1170"/>
      <c r="E1" s="1170"/>
      <c r="F1" s="1170"/>
      <c r="G1" s="1170"/>
      <c r="H1" s="1170"/>
      <c r="I1" s="1170"/>
      <c r="J1" s="1170"/>
      <c r="K1" s="1170"/>
      <c r="L1" s="1170"/>
    </row>
    <row r="2" spans="1:27" ht="18" x14ac:dyDescent="0.35">
      <c r="F2" s="1176" t="s">
        <v>425</v>
      </c>
      <c r="G2" s="1176"/>
      <c r="H2" s="1176"/>
      <c r="I2" s="1176"/>
      <c r="J2" s="1176"/>
    </row>
    <row r="3" spans="1:27" ht="15" thickBot="1" x14ac:dyDescent="0.35">
      <c r="A3" s="1171" t="s">
        <v>199</v>
      </c>
      <c r="B3" s="1172"/>
      <c r="C3" s="1172"/>
      <c r="D3" s="1172"/>
      <c r="E3" s="1172"/>
      <c r="F3" s="1172"/>
      <c r="G3" s="1173"/>
    </row>
    <row r="4" spans="1:27" ht="15" thickBot="1" x14ac:dyDescent="0.35">
      <c r="A4" s="1174" t="s">
        <v>1</v>
      </c>
      <c r="B4" s="1175"/>
      <c r="C4" s="139" t="s">
        <v>2</v>
      </c>
      <c r="D4" s="140" t="s">
        <v>61</v>
      </c>
      <c r="E4" s="140" t="s">
        <v>62</v>
      </c>
      <c r="F4" s="140" t="s">
        <v>63</v>
      </c>
      <c r="G4" s="141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4" t="s">
        <v>142</v>
      </c>
    </row>
    <row r="5" spans="1:27" x14ac:dyDescent="0.3">
      <c r="A5" s="257"/>
      <c r="B5" s="258"/>
      <c r="C5" s="259"/>
      <c r="D5" s="260"/>
      <c r="E5" s="260"/>
      <c r="F5" s="260"/>
      <c r="G5" s="261"/>
      <c r="J5" s="16"/>
      <c r="K5" s="16"/>
      <c r="L5" s="16"/>
      <c r="M5" s="16"/>
      <c r="N5" s="144"/>
    </row>
    <row r="6" spans="1:27" x14ac:dyDescent="0.3">
      <c r="A6" s="1166">
        <v>46252</v>
      </c>
      <c r="B6" s="1167"/>
      <c r="C6" s="142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2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66">
        <v>46253</v>
      </c>
      <c r="B7" s="1167"/>
      <c r="C7" s="142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3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66">
        <v>46254</v>
      </c>
      <c r="B8" s="1167"/>
      <c r="C8" s="142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68" t="s">
        <v>210</v>
      </c>
      <c r="AA8" s="1169"/>
    </row>
    <row r="9" spans="1:27" x14ac:dyDescent="0.3">
      <c r="A9" s="1166">
        <v>46255</v>
      </c>
      <c r="B9" s="1167"/>
      <c r="C9" s="142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5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211</v>
      </c>
      <c r="AA9" s="148">
        <f>L43</f>
        <v>65.95</v>
      </c>
    </row>
    <row r="10" spans="1:27" x14ac:dyDescent="0.3">
      <c r="A10" s="1166">
        <v>46256</v>
      </c>
      <c r="B10" s="1167"/>
      <c r="C10" s="142" t="s">
        <v>170</v>
      </c>
      <c r="D10" s="61">
        <v>6.9444444444444447E-4</v>
      </c>
      <c r="E10" s="61">
        <v>0.625</v>
      </c>
      <c r="F10" s="62">
        <f>(E10-D10)*1440</f>
        <v>899</v>
      </c>
      <c r="G10" s="381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212</v>
      </c>
      <c r="AA10" s="148">
        <f>N43</f>
        <v>66.05</v>
      </c>
    </row>
    <row r="11" spans="1:27" x14ac:dyDescent="0.3">
      <c r="A11" s="1166">
        <v>46257</v>
      </c>
      <c r="B11" s="1167"/>
      <c r="C11" s="142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1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214</v>
      </c>
      <c r="AA11" s="149">
        <f>L44</f>
        <v>0.61064814814814816</v>
      </c>
    </row>
    <row r="12" spans="1:27" x14ac:dyDescent="0.3">
      <c r="A12" s="1166">
        <v>46258</v>
      </c>
      <c r="B12" s="1167"/>
      <c r="C12" s="142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2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213</v>
      </c>
      <c r="AA12" s="149">
        <f>N44</f>
        <v>0</v>
      </c>
    </row>
    <row r="13" spans="1:27" x14ac:dyDescent="0.3">
      <c r="A13" s="1166">
        <v>46259</v>
      </c>
      <c r="B13" s="1167"/>
      <c r="C13" s="142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3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66">
        <v>46260</v>
      </c>
      <c r="B14" s="1167"/>
      <c r="C14" s="142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3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66">
        <v>46261</v>
      </c>
      <c r="B15" s="1167"/>
      <c r="C15" s="142" t="s">
        <v>170</v>
      </c>
      <c r="D15" s="61">
        <v>6.9444444444444447E-4</v>
      </c>
      <c r="E15" s="61">
        <v>0.78125</v>
      </c>
      <c r="F15" s="62">
        <f t="shared" si="0"/>
        <v>1124</v>
      </c>
      <c r="G15" s="388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66">
        <v>46262</v>
      </c>
      <c r="B16" s="1167"/>
      <c r="C16" s="142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6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66">
        <v>46263</v>
      </c>
      <c r="B17" s="1167"/>
      <c r="C17" s="396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7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66">
        <v>46264</v>
      </c>
      <c r="B18" s="1167"/>
      <c r="C18" s="406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66">
        <v>46265</v>
      </c>
      <c r="B19" s="1167"/>
      <c r="C19" s="65"/>
      <c r="D19" s="61"/>
      <c r="E19" s="61"/>
      <c r="F19" s="62">
        <f t="shared" si="0"/>
        <v>0</v>
      </c>
      <c r="G19" s="407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66">
        <v>46266</v>
      </c>
      <c r="B20" s="116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66">
        <v>46267</v>
      </c>
      <c r="B21" s="116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66">
        <v>46268</v>
      </c>
      <c r="B22" s="116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66">
        <v>46269</v>
      </c>
      <c r="B23" s="116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66">
        <v>46270</v>
      </c>
      <c r="B24" s="116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66">
        <v>46271</v>
      </c>
      <c r="B25" s="116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66">
        <v>46272</v>
      </c>
      <c r="B26" s="116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66">
        <v>46273</v>
      </c>
      <c r="B27" s="116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66">
        <v>46274</v>
      </c>
      <c r="B28" s="116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66">
        <v>46275</v>
      </c>
      <c r="B29" s="1167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66">
        <v>46276</v>
      </c>
      <c r="B30" s="1167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66">
        <v>46277</v>
      </c>
      <c r="B31" s="1167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66">
        <v>46278</v>
      </c>
      <c r="B32" s="1167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66">
        <v>46279</v>
      </c>
      <c r="B33" s="1167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66">
        <v>46280</v>
      </c>
      <c r="B34" s="1167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6"/>
      <c r="L34" s="116"/>
      <c r="M34" s="117"/>
      <c r="N34" s="6"/>
    </row>
    <row r="35" spans="1:15" x14ac:dyDescent="0.3">
      <c r="A35" s="1166">
        <v>46281</v>
      </c>
      <c r="B35" s="1167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6"/>
      <c r="L35" s="116"/>
      <c r="M35" s="117"/>
      <c r="N35" s="6"/>
    </row>
    <row r="36" spans="1:15" x14ac:dyDescent="0.3">
      <c r="A36" s="1166">
        <v>46282</v>
      </c>
      <c r="B36" s="116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66">
        <v>46283</v>
      </c>
      <c r="B37" s="1167"/>
      <c r="C37" s="65"/>
      <c r="D37" s="61"/>
      <c r="E37" s="61"/>
      <c r="F37" s="62"/>
      <c r="G37" s="66"/>
      <c r="J37" s="252"/>
      <c r="K37" s="67"/>
      <c r="L37" s="116"/>
      <c r="M37" s="117"/>
      <c r="N37" s="6"/>
    </row>
    <row r="38" spans="1:15" x14ac:dyDescent="0.3">
      <c r="A38" s="1166">
        <v>46284</v>
      </c>
      <c r="B38" s="116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66">
        <v>46285</v>
      </c>
      <c r="B39" s="116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66">
        <v>46286</v>
      </c>
      <c r="B40" s="116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66">
        <v>46287</v>
      </c>
      <c r="B41" s="116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66">
        <v>46288</v>
      </c>
      <c r="B42" s="116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69" zoomScaleNormal="100" workbookViewId="0">
      <selection activeCell="H91" sqref="H9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14" t="s">
        <v>465</v>
      </c>
      <c r="C2" s="1114"/>
      <c r="D2" s="1114"/>
      <c r="E2" s="1114"/>
      <c r="F2" s="1114"/>
      <c r="G2" s="1114"/>
      <c r="H2" s="1114"/>
      <c r="T2" s="1180" t="s">
        <v>506</v>
      </c>
      <c r="U2" s="1180"/>
      <c r="V2" s="1180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38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38" t="s">
        <v>462</v>
      </c>
      <c r="Q3" s="15" t="s">
        <v>463</v>
      </c>
      <c r="R3" s="15" t="s">
        <v>464</v>
      </c>
      <c r="S3" s="15" t="s">
        <v>344</v>
      </c>
      <c r="T3" s="254" t="s">
        <v>254</v>
      </c>
      <c r="U3" s="254" t="s">
        <v>255</v>
      </c>
      <c r="V3" s="254" t="s">
        <v>256</v>
      </c>
    </row>
    <row r="4" spans="2:28" x14ac:dyDescent="0.3">
      <c r="B4" s="589">
        <v>1</v>
      </c>
      <c r="C4" s="1177">
        <v>1</v>
      </c>
      <c r="D4" s="625" t="s">
        <v>467</v>
      </c>
      <c r="E4" s="626">
        <v>46265</v>
      </c>
      <c r="F4" s="625">
        <v>1.0229999999999999</v>
      </c>
      <c r="G4" s="625">
        <v>0.31</v>
      </c>
      <c r="H4" s="625">
        <v>6.1559999999999997</v>
      </c>
      <c r="M4" s="234">
        <v>1</v>
      </c>
      <c r="N4" s="14">
        <v>1</v>
      </c>
      <c r="O4" s="6" t="s">
        <v>496</v>
      </c>
      <c r="P4" s="43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9">
        <v>2</v>
      </c>
      <c r="C5" s="1178"/>
      <c r="D5" s="625" t="s">
        <v>468</v>
      </c>
      <c r="E5" s="626">
        <v>46265</v>
      </c>
      <c r="F5" s="625">
        <v>0.94899999999999995</v>
      </c>
      <c r="G5" s="625">
        <v>0.51300000000000001</v>
      </c>
      <c r="H5" s="625">
        <v>5.9560000000000004</v>
      </c>
      <c r="M5" s="234">
        <v>2</v>
      </c>
      <c r="N5" s="14">
        <v>1</v>
      </c>
      <c r="O5" s="6" t="s">
        <v>497</v>
      </c>
      <c r="P5" s="43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9">
        <v>3</v>
      </c>
      <c r="C6" s="1178"/>
      <c r="D6" s="625" t="s">
        <v>469</v>
      </c>
      <c r="E6" s="626">
        <v>46265</v>
      </c>
      <c r="F6" s="625">
        <v>0.92900000000000005</v>
      </c>
      <c r="G6" s="625">
        <v>0.40699999999999997</v>
      </c>
      <c r="H6" s="625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498</v>
      </c>
      <c r="P6" s="43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9">
        <v>4</v>
      </c>
      <c r="C7" s="1178"/>
      <c r="D7" s="625" t="s">
        <v>470</v>
      </c>
      <c r="E7" s="626">
        <v>46265</v>
      </c>
      <c r="F7" s="625">
        <v>0.64100000000000001</v>
      </c>
      <c r="G7" s="625">
        <v>0.55700000000000005</v>
      </c>
      <c r="H7" s="625">
        <v>7.72</v>
      </c>
      <c r="M7" s="234">
        <v>4</v>
      </c>
      <c r="N7" s="14">
        <v>1</v>
      </c>
      <c r="O7" s="6" t="s">
        <v>499</v>
      </c>
      <c r="P7" s="43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9">
        <v>5</v>
      </c>
      <c r="C8" s="1178"/>
      <c r="D8" s="625" t="s">
        <v>471</v>
      </c>
      <c r="E8" s="626">
        <v>46265</v>
      </c>
      <c r="F8" s="625">
        <v>0.63700000000000001</v>
      </c>
      <c r="G8" s="625">
        <v>0.502</v>
      </c>
      <c r="H8" s="625">
        <v>7.51</v>
      </c>
      <c r="M8" s="460">
        <v>5</v>
      </c>
      <c r="N8" s="461">
        <v>1</v>
      </c>
      <c r="O8" s="462" t="s">
        <v>500</v>
      </c>
      <c r="P8" s="463">
        <v>46265</v>
      </c>
      <c r="Q8" s="462">
        <v>1.123</v>
      </c>
      <c r="R8" s="462">
        <v>0.28899999999999998</v>
      </c>
      <c r="S8" s="462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9">
        <v>6</v>
      </c>
      <c r="C9" s="1178"/>
      <c r="D9" s="625" t="s">
        <v>472</v>
      </c>
      <c r="E9" s="626">
        <v>46265</v>
      </c>
      <c r="F9" s="625">
        <v>0.54900000000000004</v>
      </c>
      <c r="G9" s="625">
        <v>0.52600000000000002</v>
      </c>
      <c r="H9" s="625">
        <v>7.64</v>
      </c>
      <c r="M9" s="234">
        <v>6</v>
      </c>
      <c r="N9" s="14">
        <v>1</v>
      </c>
      <c r="O9" s="6" t="s">
        <v>501</v>
      </c>
      <c r="P9" s="43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9">
        <v>7</v>
      </c>
      <c r="C10" s="1178"/>
      <c r="D10" s="625" t="s">
        <v>467</v>
      </c>
      <c r="E10" s="626">
        <v>46266</v>
      </c>
      <c r="F10" s="625">
        <v>0.64600000000000002</v>
      </c>
      <c r="G10" s="625">
        <v>0.68100000000000005</v>
      </c>
      <c r="H10" s="625">
        <v>7.62</v>
      </c>
      <c r="M10" s="234">
        <v>7</v>
      </c>
      <c r="N10" s="14">
        <v>1</v>
      </c>
      <c r="O10" s="6" t="s">
        <v>496</v>
      </c>
      <c r="P10" s="43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9">
        <v>8</v>
      </c>
      <c r="C11" s="1178"/>
      <c r="D11" s="625" t="s">
        <v>468</v>
      </c>
      <c r="E11" s="626">
        <v>46266</v>
      </c>
      <c r="F11" s="625">
        <v>0.64500000000000002</v>
      </c>
      <c r="G11" s="625">
        <v>0.68700000000000006</v>
      </c>
      <c r="H11" s="625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497</v>
      </c>
      <c r="P11" s="43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9">
        <v>9</v>
      </c>
      <c r="C12" s="1178"/>
      <c r="D12" s="625" t="s">
        <v>469</v>
      </c>
      <c r="E12" s="626">
        <v>46266</v>
      </c>
      <c r="F12" s="625">
        <v>0.65</v>
      </c>
      <c r="G12" s="625">
        <v>0.65500000000000003</v>
      </c>
      <c r="H12" s="625">
        <v>7.43</v>
      </c>
      <c r="M12" s="234">
        <v>9</v>
      </c>
      <c r="N12" s="14">
        <v>1</v>
      </c>
      <c r="O12" s="6" t="s">
        <v>498</v>
      </c>
      <c r="P12" s="43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9">
        <v>10</v>
      </c>
      <c r="C13" s="1178"/>
      <c r="D13" s="625" t="s">
        <v>470</v>
      </c>
      <c r="E13" s="626">
        <v>46266</v>
      </c>
      <c r="F13" s="625">
        <v>0.64100000000000001</v>
      </c>
      <c r="G13" s="625">
        <v>0.55700000000000005</v>
      </c>
      <c r="H13" s="625">
        <v>7.72</v>
      </c>
      <c r="M13" s="460">
        <v>10</v>
      </c>
      <c r="N13" s="461">
        <v>1</v>
      </c>
      <c r="O13" s="462" t="s">
        <v>500</v>
      </c>
      <c r="P13" s="463">
        <v>46266</v>
      </c>
      <c r="Q13" s="462">
        <v>0.73699999999999999</v>
      </c>
      <c r="R13" s="462">
        <v>0.81499999999999995</v>
      </c>
      <c r="S13" s="462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9">
        <v>11</v>
      </c>
      <c r="C14" s="1178"/>
      <c r="D14" s="625" t="s">
        <v>471</v>
      </c>
      <c r="E14" s="626">
        <v>46266</v>
      </c>
      <c r="F14" s="625">
        <v>0.63700000000000001</v>
      </c>
      <c r="G14" s="625">
        <v>0.502</v>
      </c>
      <c r="H14" s="625">
        <v>7.51</v>
      </c>
      <c r="M14" s="234">
        <v>11</v>
      </c>
      <c r="N14" s="14">
        <v>1</v>
      </c>
      <c r="O14" s="6" t="s">
        <v>502</v>
      </c>
      <c r="P14" s="43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9">
        <v>12</v>
      </c>
      <c r="C15" s="1179"/>
      <c r="D15" s="625" t="s">
        <v>472</v>
      </c>
      <c r="E15" s="626">
        <v>46266</v>
      </c>
      <c r="F15" s="625">
        <v>0.54900000000000004</v>
      </c>
      <c r="G15" s="625">
        <v>0.52600000000000002</v>
      </c>
      <c r="H15" s="625">
        <v>7.64</v>
      </c>
      <c r="M15" s="234">
        <v>12</v>
      </c>
      <c r="N15" s="14">
        <v>1</v>
      </c>
      <c r="O15" s="6" t="s">
        <v>503</v>
      </c>
      <c r="P15" s="43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7">
        <v>13</v>
      </c>
      <c r="C16" s="1181">
        <v>2</v>
      </c>
      <c r="D16" s="628" t="s">
        <v>467</v>
      </c>
      <c r="E16" s="629">
        <v>46267</v>
      </c>
      <c r="F16" s="628">
        <v>0.66</v>
      </c>
      <c r="G16" s="628">
        <v>0.32</v>
      </c>
      <c r="H16" s="628">
        <v>9.6300000000000008</v>
      </c>
      <c r="M16" s="234">
        <v>13</v>
      </c>
      <c r="N16" s="14">
        <v>2</v>
      </c>
      <c r="O16" s="6" t="s">
        <v>504</v>
      </c>
      <c r="P16" s="43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7">
        <v>14</v>
      </c>
      <c r="C17" s="1182"/>
      <c r="D17" s="628" t="s">
        <v>468</v>
      </c>
      <c r="E17" s="629">
        <v>46267</v>
      </c>
      <c r="F17" s="628">
        <v>0.82399999999999995</v>
      </c>
      <c r="G17" s="628">
        <v>0.67</v>
      </c>
      <c r="H17" s="628">
        <v>9.7899999999999991</v>
      </c>
      <c r="M17" s="234">
        <v>14</v>
      </c>
      <c r="N17" s="14">
        <v>2</v>
      </c>
      <c r="O17" s="6" t="s">
        <v>505</v>
      </c>
      <c r="P17" s="43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7">
        <v>15</v>
      </c>
      <c r="C18" s="1182"/>
      <c r="D18" s="628" t="s">
        <v>469</v>
      </c>
      <c r="E18" s="629">
        <v>46267</v>
      </c>
      <c r="F18" s="628">
        <v>0.75</v>
      </c>
      <c r="G18" s="628">
        <v>0.78</v>
      </c>
      <c r="H18" s="628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60">
        <v>15</v>
      </c>
      <c r="N18" s="461">
        <v>2</v>
      </c>
      <c r="O18" s="462" t="s">
        <v>500</v>
      </c>
      <c r="P18" s="463">
        <v>46267</v>
      </c>
      <c r="Q18" s="462">
        <v>0.95899999999999996</v>
      </c>
      <c r="R18" s="462">
        <v>0.62</v>
      </c>
      <c r="S18" s="46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7">
        <v>16</v>
      </c>
      <c r="C19" s="1182"/>
      <c r="D19" s="628" t="s">
        <v>470</v>
      </c>
      <c r="E19" s="629">
        <v>46267</v>
      </c>
      <c r="F19" s="630">
        <v>0.63200000000000001</v>
      </c>
      <c r="G19" s="628">
        <v>1.103</v>
      </c>
      <c r="H19" s="628">
        <v>9.26</v>
      </c>
      <c r="M19" s="234">
        <v>16</v>
      </c>
      <c r="N19" s="14">
        <v>2</v>
      </c>
      <c r="O19" s="6" t="s">
        <v>497</v>
      </c>
      <c r="P19" s="43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7">
        <v>17</v>
      </c>
      <c r="C20" s="1182"/>
      <c r="D20" s="628" t="s">
        <v>471</v>
      </c>
      <c r="E20" s="629">
        <v>46267</v>
      </c>
      <c r="F20" s="628">
        <v>0.63100000000000001</v>
      </c>
      <c r="G20" s="628">
        <v>1.008</v>
      </c>
      <c r="H20" s="628">
        <v>9.24</v>
      </c>
      <c r="M20" s="234">
        <v>17</v>
      </c>
      <c r="N20" s="14">
        <v>2</v>
      </c>
      <c r="O20" s="6" t="s">
        <v>498</v>
      </c>
      <c r="P20" s="43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7">
        <v>18</v>
      </c>
      <c r="C21" s="1182"/>
      <c r="D21" s="628" t="s">
        <v>472</v>
      </c>
      <c r="E21" s="629">
        <v>46267</v>
      </c>
      <c r="F21" s="628">
        <v>0.67500000000000004</v>
      </c>
      <c r="G21" s="628">
        <v>1.089</v>
      </c>
      <c r="H21" s="628">
        <v>9.27</v>
      </c>
      <c r="M21" s="460">
        <v>18</v>
      </c>
      <c r="N21" s="461">
        <v>2</v>
      </c>
      <c r="O21" s="462" t="s">
        <v>500</v>
      </c>
      <c r="P21" s="463">
        <v>46268</v>
      </c>
      <c r="Q21" s="462">
        <v>0.76400000000000001</v>
      </c>
      <c r="R21" s="462">
        <v>0.67</v>
      </c>
      <c r="S21" s="462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7">
        <v>19</v>
      </c>
      <c r="C22" s="1182"/>
      <c r="D22" s="628" t="s">
        <v>467</v>
      </c>
      <c r="E22" s="629">
        <v>46268</v>
      </c>
      <c r="F22" s="628">
        <v>0.66800000000000004</v>
      </c>
      <c r="G22" s="628">
        <v>0.61</v>
      </c>
      <c r="H22" s="628">
        <v>8.17</v>
      </c>
      <c r="M22" s="234">
        <v>19</v>
      </c>
      <c r="N22" s="14">
        <v>3</v>
      </c>
      <c r="O22" s="6" t="s">
        <v>501</v>
      </c>
      <c r="P22" s="43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7">
        <v>20</v>
      </c>
      <c r="C23" s="1182"/>
      <c r="D23" s="628" t="s">
        <v>468</v>
      </c>
      <c r="E23" s="629">
        <v>46268</v>
      </c>
      <c r="F23" s="628">
        <v>0.59399999999999997</v>
      </c>
      <c r="G23" s="628">
        <v>0.71</v>
      </c>
      <c r="H23" s="628">
        <v>7.54</v>
      </c>
      <c r="M23" s="234">
        <v>20</v>
      </c>
      <c r="N23" s="14">
        <v>3</v>
      </c>
      <c r="O23" s="6" t="s">
        <v>496</v>
      </c>
      <c r="P23" s="43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7">
        <v>21</v>
      </c>
      <c r="C24" s="1183"/>
      <c r="D24" s="628" t="s">
        <v>469</v>
      </c>
      <c r="E24" s="629">
        <v>46268</v>
      </c>
      <c r="F24" s="628">
        <v>0.72199999999999998</v>
      </c>
      <c r="G24" s="628">
        <v>0.85</v>
      </c>
      <c r="H24" s="628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497</v>
      </c>
      <c r="P24" s="43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9">
        <v>22</v>
      </c>
      <c r="C25" s="1177">
        <v>3</v>
      </c>
      <c r="D25" s="625" t="s">
        <v>470</v>
      </c>
      <c r="E25" s="626">
        <v>46270</v>
      </c>
      <c r="F25" s="625">
        <v>1.0980000000000001</v>
      </c>
      <c r="G25" s="625">
        <v>0.82</v>
      </c>
      <c r="H25" s="625">
        <v>8.17</v>
      </c>
      <c r="M25" s="234">
        <v>21</v>
      </c>
      <c r="N25" s="14">
        <v>3</v>
      </c>
      <c r="O25" s="6" t="s">
        <v>499</v>
      </c>
      <c r="P25" s="43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9">
        <v>23</v>
      </c>
      <c r="C26" s="1178"/>
      <c r="D26" s="625" t="s">
        <v>471</v>
      </c>
      <c r="E26" s="626">
        <v>46270</v>
      </c>
      <c r="F26" s="625">
        <v>1.0880000000000001</v>
      </c>
      <c r="G26" s="625">
        <v>0.75</v>
      </c>
      <c r="H26" s="625">
        <v>8.1</v>
      </c>
      <c r="M26" s="460">
        <v>21</v>
      </c>
      <c r="N26" s="461">
        <v>3</v>
      </c>
      <c r="O26" s="462" t="s">
        <v>500</v>
      </c>
      <c r="P26" s="463">
        <v>46271</v>
      </c>
      <c r="Q26" s="462">
        <v>1.1679999999999999</v>
      </c>
      <c r="R26" s="462">
        <v>0.83</v>
      </c>
      <c r="S26" s="462">
        <v>9.84</v>
      </c>
    </row>
    <row r="27" spans="2:28" x14ac:dyDescent="0.3">
      <c r="B27" s="589">
        <v>24</v>
      </c>
      <c r="C27" s="1178"/>
      <c r="D27" s="625" t="s">
        <v>472</v>
      </c>
      <c r="E27" s="626">
        <v>46270</v>
      </c>
      <c r="F27" s="625">
        <v>1.075</v>
      </c>
      <c r="G27" s="625">
        <v>0.75</v>
      </c>
      <c r="H27" s="625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9">
        <v>25</v>
      </c>
      <c r="C28" s="1178"/>
      <c r="D28" s="625" t="s">
        <v>467</v>
      </c>
      <c r="E28" s="626">
        <v>46271</v>
      </c>
      <c r="F28" s="625">
        <v>0.92</v>
      </c>
      <c r="G28" s="625">
        <v>0.56999999999999995</v>
      </c>
      <c r="H28" s="625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9">
        <v>26</v>
      </c>
      <c r="C29" s="1178"/>
      <c r="D29" s="625" t="s">
        <v>468</v>
      </c>
      <c r="E29" s="626">
        <v>46271</v>
      </c>
      <c r="F29" s="625">
        <v>0.86</v>
      </c>
      <c r="G29" s="625">
        <v>0.54</v>
      </c>
      <c r="H29" s="625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9">
        <v>27</v>
      </c>
      <c r="C30" s="1178"/>
      <c r="D30" s="625" t="s">
        <v>469</v>
      </c>
      <c r="E30" s="626">
        <v>46271</v>
      </c>
      <c r="F30" s="625">
        <v>0.92700000000000005</v>
      </c>
      <c r="G30" s="625">
        <v>0.6</v>
      </c>
      <c r="H30" s="625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9">
        <v>28</v>
      </c>
      <c r="C31" s="1178"/>
      <c r="D31" s="625" t="s">
        <v>470</v>
      </c>
      <c r="E31" s="626">
        <v>46271</v>
      </c>
      <c r="F31" s="625">
        <v>0.78800000000000003</v>
      </c>
      <c r="G31" s="625">
        <v>0.62</v>
      </c>
      <c r="H31" s="625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9">
        <v>29</v>
      </c>
      <c r="C32" s="1178"/>
      <c r="D32" s="625" t="s">
        <v>471</v>
      </c>
      <c r="E32" s="626">
        <v>46271</v>
      </c>
      <c r="F32" s="625">
        <v>0.74199999999999999</v>
      </c>
      <c r="G32" s="625">
        <v>0.6</v>
      </c>
      <c r="H32" s="625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9">
        <v>30</v>
      </c>
      <c r="C33" s="1178"/>
      <c r="D33" s="625" t="s">
        <v>472</v>
      </c>
      <c r="E33" s="626">
        <v>46271</v>
      </c>
      <c r="F33" s="625">
        <v>0.91300000000000003</v>
      </c>
      <c r="G33" s="625">
        <v>0.68</v>
      </c>
      <c r="H33" s="625">
        <v>9.42</v>
      </c>
    </row>
    <row r="34" spans="2:8" x14ac:dyDescent="0.3">
      <c r="B34" s="589">
        <v>31</v>
      </c>
      <c r="C34" s="1178"/>
      <c r="D34" s="625" t="s">
        <v>467</v>
      </c>
      <c r="E34" s="626">
        <v>46272</v>
      </c>
      <c r="F34" s="625">
        <v>0.91100000000000003</v>
      </c>
      <c r="G34" s="625">
        <v>0.95</v>
      </c>
      <c r="H34" s="625">
        <v>9.3800000000000008</v>
      </c>
    </row>
    <row r="35" spans="2:8" x14ac:dyDescent="0.3">
      <c r="B35" s="589">
        <v>32</v>
      </c>
      <c r="C35" s="1178"/>
      <c r="D35" s="625" t="s">
        <v>468</v>
      </c>
      <c r="E35" s="626">
        <v>46272</v>
      </c>
      <c r="F35" s="625">
        <v>0.95199999999999996</v>
      </c>
      <c r="G35" s="625">
        <v>0.98</v>
      </c>
      <c r="H35" s="625">
        <v>9.4</v>
      </c>
    </row>
    <row r="36" spans="2:8" x14ac:dyDescent="0.3">
      <c r="B36" s="589">
        <v>33</v>
      </c>
      <c r="C36" s="1179"/>
      <c r="D36" s="625" t="s">
        <v>469</v>
      </c>
      <c r="E36" s="626">
        <v>46272</v>
      </c>
      <c r="F36" s="625">
        <v>0.873</v>
      </c>
      <c r="G36" s="625">
        <v>0.93</v>
      </c>
      <c r="H36" s="625">
        <v>9.41</v>
      </c>
    </row>
    <row r="37" spans="2:8" x14ac:dyDescent="0.3">
      <c r="B37" s="627">
        <v>34</v>
      </c>
      <c r="C37" s="1181">
        <v>4</v>
      </c>
      <c r="D37" s="628" t="s">
        <v>470</v>
      </c>
      <c r="E37" s="629">
        <v>46272</v>
      </c>
      <c r="F37" s="628">
        <v>0.53100000000000003</v>
      </c>
      <c r="G37" s="628">
        <v>1.07</v>
      </c>
      <c r="H37" s="628">
        <v>8.8699999999999992</v>
      </c>
    </row>
    <row r="38" spans="2:8" x14ac:dyDescent="0.3">
      <c r="B38" s="627">
        <v>35</v>
      </c>
      <c r="C38" s="1182"/>
      <c r="D38" s="628" t="s">
        <v>471</v>
      </c>
      <c r="E38" s="629">
        <v>46272</v>
      </c>
      <c r="F38" s="628">
        <v>0.501</v>
      </c>
      <c r="G38" s="628">
        <v>1.1200000000000001</v>
      </c>
      <c r="H38" s="628">
        <v>8.99</v>
      </c>
    </row>
    <row r="39" spans="2:8" x14ac:dyDescent="0.3">
      <c r="B39" s="627">
        <v>36</v>
      </c>
      <c r="C39" s="1182"/>
      <c r="D39" s="628" t="s">
        <v>472</v>
      </c>
      <c r="E39" s="629">
        <v>46272</v>
      </c>
      <c r="F39" s="628">
        <v>0.55900000000000005</v>
      </c>
      <c r="G39" s="628">
        <v>1.02</v>
      </c>
      <c r="H39" s="628">
        <v>8.92</v>
      </c>
    </row>
    <row r="40" spans="2:8" x14ac:dyDescent="0.3">
      <c r="B40" s="627">
        <v>37</v>
      </c>
      <c r="C40" s="1182"/>
      <c r="D40" s="628" t="s">
        <v>467</v>
      </c>
      <c r="E40" s="629">
        <v>46273</v>
      </c>
      <c r="F40" s="628">
        <v>0.66400000000000003</v>
      </c>
      <c r="G40" s="628">
        <v>0.98</v>
      </c>
      <c r="H40" s="628">
        <v>9.0500000000000007</v>
      </c>
    </row>
    <row r="41" spans="2:8" x14ac:dyDescent="0.3">
      <c r="B41" s="627">
        <v>38</v>
      </c>
      <c r="C41" s="1182"/>
      <c r="D41" s="628" t="s">
        <v>468</v>
      </c>
      <c r="E41" s="629">
        <v>46273</v>
      </c>
      <c r="F41" s="628">
        <v>0.64500000000000002</v>
      </c>
      <c r="G41" s="628">
        <v>0.94</v>
      </c>
      <c r="H41" s="628">
        <v>9.0299999999999994</v>
      </c>
    </row>
    <row r="42" spans="2:8" x14ac:dyDescent="0.3">
      <c r="B42" s="627">
        <v>39</v>
      </c>
      <c r="C42" s="1182"/>
      <c r="D42" s="628" t="s">
        <v>469</v>
      </c>
      <c r="E42" s="629">
        <v>46273</v>
      </c>
      <c r="F42" s="628">
        <v>0.63100000000000001</v>
      </c>
      <c r="G42" s="628">
        <v>0.97</v>
      </c>
      <c r="H42" s="628">
        <v>9.23</v>
      </c>
    </row>
    <row r="43" spans="2:8" x14ac:dyDescent="0.3">
      <c r="B43" s="627">
        <v>40</v>
      </c>
      <c r="C43" s="1182"/>
      <c r="D43" s="628" t="s">
        <v>470</v>
      </c>
      <c r="E43" s="629">
        <v>46273</v>
      </c>
      <c r="F43" s="628">
        <v>0.61</v>
      </c>
      <c r="G43" s="628">
        <v>1.01</v>
      </c>
      <c r="H43" s="628">
        <v>7.79</v>
      </c>
    </row>
    <row r="44" spans="2:8" x14ac:dyDescent="0.3">
      <c r="B44" s="627">
        <v>41</v>
      </c>
      <c r="C44" s="1182"/>
      <c r="D44" s="628" t="s">
        <v>471</v>
      </c>
      <c r="E44" s="629">
        <v>46273</v>
      </c>
      <c r="F44" s="628">
        <v>0.63300000000000001</v>
      </c>
      <c r="G44" s="628">
        <v>1.05</v>
      </c>
      <c r="H44" s="628">
        <v>7.71</v>
      </c>
    </row>
    <row r="45" spans="2:8" x14ac:dyDescent="0.3">
      <c r="B45" s="627">
        <v>42</v>
      </c>
      <c r="C45" s="1182"/>
      <c r="D45" s="628" t="s">
        <v>472</v>
      </c>
      <c r="E45" s="629">
        <v>46273</v>
      </c>
      <c r="F45" s="628">
        <v>0.66200000000000003</v>
      </c>
      <c r="G45" s="628">
        <v>1.04</v>
      </c>
      <c r="H45" s="628">
        <v>7.93</v>
      </c>
    </row>
    <row r="46" spans="2:8" x14ac:dyDescent="0.3">
      <c r="B46" s="627">
        <v>43</v>
      </c>
      <c r="C46" s="1182"/>
      <c r="D46" s="628" t="s">
        <v>467</v>
      </c>
      <c r="E46" s="629">
        <v>46274</v>
      </c>
      <c r="F46" s="631">
        <v>0.59599999999999997</v>
      </c>
      <c r="G46" s="628">
        <v>0.64</v>
      </c>
      <c r="H46" s="628">
        <v>7.27</v>
      </c>
    </row>
    <row r="47" spans="2:8" x14ac:dyDescent="0.3">
      <c r="B47" s="627">
        <v>44</v>
      </c>
      <c r="C47" s="1182"/>
      <c r="D47" s="628" t="s">
        <v>468</v>
      </c>
      <c r="E47" s="629">
        <v>46274</v>
      </c>
      <c r="F47" s="628">
        <v>0.59399999999999997</v>
      </c>
      <c r="G47" s="628">
        <v>0.68</v>
      </c>
      <c r="H47" s="628">
        <v>7.24</v>
      </c>
    </row>
    <row r="48" spans="2:8" x14ac:dyDescent="0.3">
      <c r="B48" s="627">
        <v>45</v>
      </c>
      <c r="C48" s="1183"/>
      <c r="D48" s="628" t="s">
        <v>469</v>
      </c>
      <c r="E48" s="629">
        <v>46274</v>
      </c>
      <c r="F48" s="628">
        <v>0.58699999999999997</v>
      </c>
      <c r="G48" s="628">
        <v>0.68</v>
      </c>
      <c r="H48" s="628">
        <v>7.21</v>
      </c>
    </row>
    <row r="49" spans="2:8" x14ac:dyDescent="0.3">
      <c r="B49" s="234">
        <v>46</v>
      </c>
      <c r="C49" s="6"/>
      <c r="D49" s="6" t="s">
        <v>470</v>
      </c>
      <c r="E49" s="439">
        <v>46274</v>
      </c>
      <c r="F49" s="6" t="s">
        <v>545</v>
      </c>
      <c r="G49" s="6"/>
      <c r="H49" s="6"/>
    </row>
    <row r="50" spans="2:8" x14ac:dyDescent="0.3">
      <c r="B50" s="234">
        <v>47</v>
      </c>
      <c r="C50" s="6"/>
      <c r="D50" s="6" t="s">
        <v>471</v>
      </c>
      <c r="E50" s="439">
        <v>46274</v>
      </c>
      <c r="F50" s="6" t="s">
        <v>546</v>
      </c>
      <c r="G50" s="6"/>
      <c r="H50" s="6"/>
    </row>
    <row r="51" spans="2:8" x14ac:dyDescent="0.3">
      <c r="B51" s="234">
        <v>48</v>
      </c>
      <c r="C51" s="6"/>
      <c r="D51" s="6" t="s">
        <v>472</v>
      </c>
      <c r="E51" s="439">
        <v>46274</v>
      </c>
      <c r="F51" s="6"/>
      <c r="G51" s="6"/>
      <c r="H51" s="6"/>
    </row>
    <row r="52" spans="2:8" x14ac:dyDescent="0.3">
      <c r="B52" s="627">
        <v>49</v>
      </c>
      <c r="C52" s="1181">
        <v>5</v>
      </c>
      <c r="D52" s="628" t="s">
        <v>467</v>
      </c>
      <c r="E52" s="629">
        <v>46275</v>
      </c>
      <c r="F52" s="628">
        <v>0.79600000000000004</v>
      </c>
      <c r="G52" s="628">
        <v>0.64</v>
      </c>
      <c r="H52" s="628">
        <v>9.08</v>
      </c>
    </row>
    <row r="53" spans="2:8" x14ac:dyDescent="0.3">
      <c r="B53" s="627">
        <v>50</v>
      </c>
      <c r="C53" s="1182"/>
      <c r="D53" s="628" t="s">
        <v>468</v>
      </c>
      <c r="E53" s="629">
        <v>46275</v>
      </c>
      <c r="F53" s="628">
        <v>0.82599999999999996</v>
      </c>
      <c r="G53" s="628">
        <v>0.72</v>
      </c>
      <c r="H53" s="628">
        <v>8.82</v>
      </c>
    </row>
    <row r="54" spans="2:8" x14ac:dyDescent="0.3">
      <c r="B54" s="627">
        <v>51</v>
      </c>
      <c r="C54" s="1182"/>
      <c r="D54" s="628" t="s">
        <v>469</v>
      </c>
      <c r="E54" s="629">
        <v>46275</v>
      </c>
      <c r="F54" s="628">
        <v>0.73</v>
      </c>
      <c r="G54" s="628">
        <v>0.63</v>
      </c>
      <c r="H54" s="628">
        <v>8.57</v>
      </c>
    </row>
    <row r="55" spans="2:8" x14ac:dyDescent="0.3">
      <c r="B55" s="627">
        <v>52</v>
      </c>
      <c r="C55" s="1182"/>
      <c r="D55" s="628" t="s">
        <v>470</v>
      </c>
      <c r="E55" s="629">
        <v>46275</v>
      </c>
      <c r="F55" s="628">
        <v>0.49299999999999999</v>
      </c>
      <c r="G55" s="628">
        <v>0.45</v>
      </c>
      <c r="H55" s="628">
        <v>9.11</v>
      </c>
    </row>
    <row r="56" spans="2:8" x14ac:dyDescent="0.3">
      <c r="B56" s="627">
        <v>53</v>
      </c>
      <c r="C56" s="1182"/>
      <c r="D56" s="628" t="s">
        <v>471</v>
      </c>
      <c r="E56" s="629">
        <v>46275</v>
      </c>
      <c r="F56" s="628">
        <v>0.497</v>
      </c>
      <c r="G56" s="628">
        <v>0.52</v>
      </c>
      <c r="H56" s="628">
        <v>9.36</v>
      </c>
    </row>
    <row r="57" spans="2:8" x14ac:dyDescent="0.3">
      <c r="B57" s="627">
        <v>54</v>
      </c>
      <c r="C57" s="1182"/>
      <c r="D57" s="628" t="s">
        <v>472</v>
      </c>
      <c r="E57" s="629">
        <v>46275</v>
      </c>
      <c r="F57" s="628">
        <v>0.55800000000000005</v>
      </c>
      <c r="G57" s="628">
        <v>0.32</v>
      </c>
      <c r="H57" s="628">
        <v>9.36</v>
      </c>
    </row>
    <row r="58" spans="2:8" x14ac:dyDescent="0.3">
      <c r="B58" s="627">
        <v>55</v>
      </c>
      <c r="C58" s="1182"/>
      <c r="D58" s="628" t="s">
        <v>467</v>
      </c>
      <c r="E58" s="629">
        <v>46276</v>
      </c>
      <c r="F58" s="628">
        <v>1.3759999999999999</v>
      </c>
      <c r="G58" s="628">
        <v>0.99</v>
      </c>
      <c r="H58" s="628">
        <v>9.2100000000000009</v>
      </c>
    </row>
    <row r="59" spans="2:8" x14ac:dyDescent="0.3">
      <c r="B59" s="627">
        <v>56</v>
      </c>
      <c r="C59" s="1182"/>
      <c r="D59" s="628" t="s">
        <v>468</v>
      </c>
      <c r="E59" s="629">
        <v>46276</v>
      </c>
      <c r="F59" s="628">
        <v>1.468</v>
      </c>
      <c r="G59" s="628">
        <v>0.93</v>
      </c>
      <c r="H59" s="628">
        <v>8.94</v>
      </c>
    </row>
    <row r="60" spans="2:8" x14ac:dyDescent="0.3">
      <c r="B60" s="627">
        <v>57</v>
      </c>
      <c r="C60" s="1183"/>
      <c r="D60" s="628" t="s">
        <v>469</v>
      </c>
      <c r="E60" s="629">
        <v>46276</v>
      </c>
      <c r="F60" s="628">
        <v>1.4419999999999999</v>
      </c>
      <c r="G60" s="628">
        <v>1.06</v>
      </c>
      <c r="H60" s="628">
        <v>9.25</v>
      </c>
    </row>
    <row r="61" spans="2:8" x14ac:dyDescent="0.3">
      <c r="B61" s="589">
        <v>58</v>
      </c>
      <c r="C61" s="1177">
        <v>6</v>
      </c>
      <c r="D61" s="625" t="s">
        <v>470</v>
      </c>
      <c r="E61" s="626">
        <v>46276</v>
      </c>
      <c r="F61" s="625">
        <v>0.28000000000000003</v>
      </c>
      <c r="G61" s="625">
        <v>0.56000000000000005</v>
      </c>
      <c r="H61" s="625">
        <v>7.41</v>
      </c>
    </row>
    <row r="62" spans="2:8" x14ac:dyDescent="0.3">
      <c r="B62" s="589">
        <v>59</v>
      </c>
      <c r="C62" s="1178"/>
      <c r="D62" s="625" t="s">
        <v>471</v>
      </c>
      <c r="E62" s="626">
        <v>46276</v>
      </c>
      <c r="F62" s="625">
        <v>0.23300000000000001</v>
      </c>
      <c r="G62" s="625">
        <v>0.66</v>
      </c>
      <c r="H62" s="625">
        <v>7.27</v>
      </c>
    </row>
    <row r="63" spans="2:8" x14ac:dyDescent="0.3">
      <c r="B63" s="589">
        <v>60</v>
      </c>
      <c r="C63" s="1178"/>
      <c r="D63" s="625" t="s">
        <v>472</v>
      </c>
      <c r="E63" s="626">
        <v>46276</v>
      </c>
      <c r="F63" s="625">
        <v>0.28199999999999997</v>
      </c>
      <c r="G63" s="625">
        <v>0.5</v>
      </c>
      <c r="H63" s="625">
        <v>8.1</v>
      </c>
    </row>
    <row r="64" spans="2:8" x14ac:dyDescent="0.3">
      <c r="B64" s="589">
        <v>61</v>
      </c>
      <c r="C64" s="1178"/>
      <c r="D64" s="625" t="s">
        <v>467</v>
      </c>
      <c r="E64" s="626">
        <v>46277</v>
      </c>
      <c r="F64" s="625">
        <v>0.27800000000000002</v>
      </c>
      <c r="G64" s="625">
        <v>0.54</v>
      </c>
      <c r="H64" s="625">
        <v>6.85</v>
      </c>
    </row>
    <row r="65" spans="2:8" x14ac:dyDescent="0.3">
      <c r="B65" s="589">
        <v>62</v>
      </c>
      <c r="C65" s="1178"/>
      <c r="D65" s="625" t="s">
        <v>468</v>
      </c>
      <c r="E65" s="626">
        <v>46277</v>
      </c>
      <c r="F65" s="625">
        <v>0.313</v>
      </c>
      <c r="G65" s="625">
        <v>0.71</v>
      </c>
      <c r="H65" s="625">
        <v>6.29</v>
      </c>
    </row>
    <row r="66" spans="2:8" x14ac:dyDescent="0.3">
      <c r="B66" s="589">
        <v>63</v>
      </c>
      <c r="C66" s="1179"/>
      <c r="D66" s="625" t="s">
        <v>469</v>
      </c>
      <c r="E66" s="626">
        <v>46277</v>
      </c>
      <c r="F66" s="625">
        <v>0.32500000000000001</v>
      </c>
      <c r="G66" s="625">
        <v>0.41</v>
      </c>
      <c r="H66" s="625">
        <v>7.25</v>
      </c>
    </row>
    <row r="67" spans="2:8" x14ac:dyDescent="0.3">
      <c r="B67" s="627">
        <v>64</v>
      </c>
      <c r="C67" s="1181">
        <v>7</v>
      </c>
      <c r="D67" s="628" t="s">
        <v>470</v>
      </c>
      <c r="E67" s="629">
        <v>46279</v>
      </c>
      <c r="F67" s="628">
        <v>0.72</v>
      </c>
      <c r="G67" s="628">
        <v>0.56999999999999995</v>
      </c>
      <c r="H67" s="628">
        <v>8.7200000000000006</v>
      </c>
    </row>
    <row r="68" spans="2:8" x14ac:dyDescent="0.3">
      <c r="B68" s="627">
        <v>65</v>
      </c>
      <c r="C68" s="1182"/>
      <c r="D68" s="628" t="s">
        <v>471</v>
      </c>
      <c r="E68" s="629">
        <v>46279</v>
      </c>
      <c r="F68" s="628">
        <v>0.505</v>
      </c>
      <c r="G68" s="628">
        <v>0.55000000000000004</v>
      </c>
      <c r="H68" s="628">
        <v>8.4</v>
      </c>
    </row>
    <row r="69" spans="2:8" x14ac:dyDescent="0.3">
      <c r="B69" s="627">
        <v>66</v>
      </c>
      <c r="C69" s="1182"/>
      <c r="D69" s="628" t="s">
        <v>472</v>
      </c>
      <c r="E69" s="629">
        <v>46279</v>
      </c>
      <c r="F69" s="628">
        <v>0.67100000000000004</v>
      </c>
      <c r="G69" s="628">
        <v>0.64</v>
      </c>
      <c r="H69" s="628">
        <v>8.67</v>
      </c>
    </row>
    <row r="70" spans="2:8" x14ac:dyDescent="0.3">
      <c r="B70" s="627">
        <v>67</v>
      </c>
      <c r="C70" s="1182"/>
      <c r="D70" s="628" t="s">
        <v>467</v>
      </c>
      <c r="E70" s="629">
        <v>46280</v>
      </c>
      <c r="F70" s="628">
        <v>0.35</v>
      </c>
      <c r="G70" s="628">
        <v>0.49</v>
      </c>
      <c r="H70" s="628">
        <v>9.5299999999999994</v>
      </c>
    </row>
    <row r="71" spans="2:8" x14ac:dyDescent="0.3">
      <c r="B71" s="627">
        <v>68</v>
      </c>
      <c r="C71" s="1182"/>
      <c r="D71" s="628" t="s">
        <v>468</v>
      </c>
      <c r="E71" s="629">
        <v>46280</v>
      </c>
      <c r="F71" s="628">
        <v>0.375</v>
      </c>
      <c r="G71" s="628">
        <v>0.46</v>
      </c>
      <c r="H71" s="628">
        <v>9.86</v>
      </c>
    </row>
    <row r="72" spans="2:8" x14ac:dyDescent="0.3">
      <c r="B72" s="627">
        <v>69</v>
      </c>
      <c r="C72" s="1182"/>
      <c r="D72" s="628" t="s">
        <v>469</v>
      </c>
      <c r="E72" s="629">
        <v>46280</v>
      </c>
      <c r="F72" s="628">
        <v>0.36899999999999999</v>
      </c>
      <c r="G72" s="628">
        <v>0.45</v>
      </c>
      <c r="H72" s="628">
        <v>9.32</v>
      </c>
    </row>
    <row r="73" spans="2:8" x14ac:dyDescent="0.3">
      <c r="B73" s="627">
        <v>70</v>
      </c>
      <c r="C73" s="1182"/>
      <c r="D73" s="628" t="s">
        <v>470</v>
      </c>
      <c r="E73" s="629">
        <v>46280</v>
      </c>
      <c r="F73" s="628">
        <v>0.64</v>
      </c>
      <c r="G73" s="628">
        <v>0.57999999999999996</v>
      </c>
      <c r="H73" s="628">
        <v>11.12</v>
      </c>
    </row>
    <row r="74" spans="2:8" x14ac:dyDescent="0.3">
      <c r="B74" s="627">
        <v>71</v>
      </c>
      <c r="C74" s="1182"/>
      <c r="D74" s="628" t="s">
        <v>471</v>
      </c>
      <c r="E74" s="629">
        <v>46280</v>
      </c>
      <c r="F74" s="628">
        <v>0.58299999999999996</v>
      </c>
      <c r="G74" s="628">
        <v>0.53</v>
      </c>
      <c r="H74" s="628">
        <v>11.35</v>
      </c>
    </row>
    <row r="75" spans="2:8" x14ac:dyDescent="0.3">
      <c r="B75" s="627">
        <v>72</v>
      </c>
      <c r="C75" s="1183"/>
      <c r="D75" s="628" t="s">
        <v>472</v>
      </c>
      <c r="E75" s="629">
        <v>46280</v>
      </c>
      <c r="F75" s="628">
        <v>0.60699999999999998</v>
      </c>
      <c r="G75" s="628">
        <v>0.55000000000000004</v>
      </c>
      <c r="H75" s="628">
        <v>11.36</v>
      </c>
    </row>
    <row r="76" spans="2:8" ht="14.4" customHeight="1" x14ac:dyDescent="0.3">
      <c r="B76" s="589">
        <v>73</v>
      </c>
      <c r="C76" s="1177">
        <v>8</v>
      </c>
      <c r="D76" s="625" t="s">
        <v>467</v>
      </c>
      <c r="E76" s="626">
        <v>46281</v>
      </c>
      <c r="F76" s="625">
        <v>0.44900000000000001</v>
      </c>
      <c r="G76" s="625">
        <v>0.63</v>
      </c>
      <c r="H76" s="625">
        <v>11.56</v>
      </c>
    </row>
    <row r="77" spans="2:8" ht="14.4" customHeight="1" x14ac:dyDescent="0.3">
      <c r="B77" s="589">
        <v>74</v>
      </c>
      <c r="C77" s="1178"/>
      <c r="D77" s="625" t="s">
        <v>468</v>
      </c>
      <c r="E77" s="626">
        <v>46281</v>
      </c>
      <c r="F77" s="625">
        <v>0.46800000000000003</v>
      </c>
      <c r="G77" s="625">
        <v>0.6</v>
      </c>
      <c r="H77" s="625">
        <v>11.66</v>
      </c>
    </row>
    <row r="78" spans="2:8" ht="14.4" customHeight="1" x14ac:dyDescent="0.3">
      <c r="B78" s="589">
        <v>75</v>
      </c>
      <c r="C78" s="1178"/>
      <c r="D78" s="625" t="s">
        <v>469</v>
      </c>
      <c r="E78" s="626">
        <v>46281</v>
      </c>
      <c r="F78" s="625">
        <v>0.438</v>
      </c>
      <c r="G78" s="625">
        <v>0.67</v>
      </c>
      <c r="H78" s="625">
        <v>11.67</v>
      </c>
    </row>
    <row r="79" spans="2:8" ht="14.4" customHeight="1" x14ac:dyDescent="0.3">
      <c r="B79" s="589">
        <v>76</v>
      </c>
      <c r="C79" s="1178"/>
      <c r="D79" s="625" t="s">
        <v>470</v>
      </c>
      <c r="E79" s="626">
        <v>46281</v>
      </c>
      <c r="F79" s="625">
        <v>0.59599999999999997</v>
      </c>
      <c r="G79" s="625">
        <v>0.59</v>
      </c>
      <c r="H79" s="625">
        <v>9.1300000000000008</v>
      </c>
    </row>
    <row r="80" spans="2:8" ht="14.4" customHeight="1" x14ac:dyDescent="0.3">
      <c r="B80" s="589">
        <v>77</v>
      </c>
      <c r="C80" s="1178"/>
      <c r="D80" s="625" t="s">
        <v>471</v>
      </c>
      <c r="E80" s="626">
        <v>46281</v>
      </c>
      <c r="F80" s="625">
        <v>0.58499999999999996</v>
      </c>
      <c r="G80" s="625">
        <v>0.56999999999999995</v>
      </c>
      <c r="H80" s="625">
        <v>9.2899999999999991</v>
      </c>
    </row>
    <row r="81" spans="2:8" ht="14.4" customHeight="1" x14ac:dyDescent="0.3">
      <c r="B81" s="589">
        <v>78</v>
      </c>
      <c r="C81" s="1178"/>
      <c r="D81" s="625" t="s">
        <v>472</v>
      </c>
      <c r="E81" s="626">
        <v>46281</v>
      </c>
      <c r="F81" s="625">
        <v>0.58299999999999996</v>
      </c>
      <c r="G81" s="625">
        <v>0.57999999999999996</v>
      </c>
      <c r="H81" s="625">
        <v>9.14</v>
      </c>
    </row>
    <row r="82" spans="2:8" x14ac:dyDescent="0.3">
      <c r="B82" s="589">
        <v>79</v>
      </c>
      <c r="C82" s="1178"/>
      <c r="D82" s="625" t="s">
        <v>467</v>
      </c>
      <c r="E82" s="626">
        <v>46282</v>
      </c>
      <c r="F82" s="625">
        <v>0.57699999999999996</v>
      </c>
      <c r="G82" s="625">
        <v>0.53</v>
      </c>
      <c r="H82" s="625">
        <v>10.92</v>
      </c>
    </row>
    <row r="83" spans="2:8" x14ac:dyDescent="0.3">
      <c r="B83" s="589">
        <v>80</v>
      </c>
      <c r="C83" s="1178"/>
      <c r="D83" s="625" t="s">
        <v>468</v>
      </c>
      <c r="E83" s="626">
        <v>46282</v>
      </c>
      <c r="F83" s="625">
        <v>0.68</v>
      </c>
      <c r="G83" s="625">
        <v>0.67</v>
      </c>
      <c r="H83" s="625">
        <v>10.54</v>
      </c>
    </row>
    <row r="84" spans="2:8" x14ac:dyDescent="0.3">
      <c r="B84" s="589">
        <v>81</v>
      </c>
      <c r="C84" s="1178"/>
      <c r="D84" s="625" t="s">
        <v>469</v>
      </c>
      <c r="E84" s="626">
        <v>46282</v>
      </c>
      <c r="F84" s="625">
        <v>0.58599999999999997</v>
      </c>
      <c r="G84" s="625">
        <v>0.56999999999999995</v>
      </c>
      <c r="H84" s="625">
        <v>11.77</v>
      </c>
    </row>
    <row r="85" spans="2:8" x14ac:dyDescent="0.3">
      <c r="B85" s="589">
        <v>82</v>
      </c>
      <c r="C85" s="1178"/>
      <c r="D85" s="625" t="s">
        <v>470</v>
      </c>
      <c r="E85" s="626">
        <v>46282</v>
      </c>
      <c r="F85" s="625">
        <v>0.73599999999999999</v>
      </c>
      <c r="G85" s="625">
        <v>0.61</v>
      </c>
      <c r="H85" s="625">
        <v>9.9</v>
      </c>
    </row>
    <row r="86" spans="2:8" x14ac:dyDescent="0.3">
      <c r="B86" s="589">
        <v>83</v>
      </c>
      <c r="C86" s="1178"/>
      <c r="D86" s="625" t="s">
        <v>471</v>
      </c>
      <c r="E86" s="626">
        <v>46282</v>
      </c>
      <c r="F86" s="625">
        <v>0.69099999999999995</v>
      </c>
      <c r="G86" s="625">
        <v>0.53</v>
      </c>
      <c r="H86" s="625">
        <v>10.31</v>
      </c>
    </row>
    <row r="87" spans="2:8" x14ac:dyDescent="0.3">
      <c r="B87" s="589">
        <v>84</v>
      </c>
      <c r="C87" s="1179"/>
      <c r="D87" s="625" t="s">
        <v>472</v>
      </c>
      <c r="E87" s="626">
        <v>46282</v>
      </c>
      <c r="F87" s="625">
        <v>0.629</v>
      </c>
      <c r="G87" s="625">
        <v>0.51</v>
      </c>
      <c r="H87" s="625">
        <v>8.64</v>
      </c>
    </row>
    <row r="88" spans="2:8" x14ac:dyDescent="0.3">
      <c r="B88" s="460">
        <v>85</v>
      </c>
      <c r="C88" s="462"/>
      <c r="D88" s="462" t="s">
        <v>467</v>
      </c>
      <c r="E88" s="463">
        <v>46283</v>
      </c>
      <c r="F88" s="462">
        <v>0.78200000000000003</v>
      </c>
      <c r="G88" s="462">
        <v>0.55000000000000004</v>
      </c>
      <c r="H88" s="462">
        <v>12.04</v>
      </c>
    </row>
    <row r="89" spans="2:8" x14ac:dyDescent="0.3">
      <c r="B89" s="460">
        <v>86</v>
      </c>
      <c r="C89" s="462"/>
      <c r="D89" s="462" t="s">
        <v>468</v>
      </c>
      <c r="E89" s="463">
        <v>46283</v>
      </c>
      <c r="F89" s="462">
        <v>0.75900000000000001</v>
      </c>
      <c r="G89" s="462">
        <v>0.52</v>
      </c>
      <c r="H89" s="462">
        <v>12.08</v>
      </c>
    </row>
    <row r="90" spans="2:8" x14ac:dyDescent="0.3">
      <c r="B90" s="460">
        <v>87</v>
      </c>
      <c r="C90" s="462"/>
      <c r="D90" s="462" t="s">
        <v>469</v>
      </c>
      <c r="E90" s="463">
        <v>46283</v>
      </c>
      <c r="F90" s="462">
        <v>0.76300000000000001</v>
      </c>
      <c r="G90" s="462">
        <v>0.54</v>
      </c>
      <c r="H90" s="462">
        <v>12.03</v>
      </c>
    </row>
    <row r="91" spans="2:8" x14ac:dyDescent="0.3">
      <c r="B91" s="6"/>
      <c r="C91" s="6"/>
      <c r="D91" s="6"/>
      <c r="E91" s="234"/>
      <c r="F91" s="6"/>
      <c r="G91" s="6"/>
      <c r="H91" s="6"/>
    </row>
    <row r="92" spans="2:8" x14ac:dyDescent="0.3">
      <c r="B92" s="6"/>
      <c r="C92" s="6"/>
      <c r="D92" s="6"/>
      <c r="E92" s="234"/>
      <c r="F92" s="6"/>
      <c r="G92" s="6"/>
      <c r="H92" s="6"/>
    </row>
    <row r="93" spans="2:8" x14ac:dyDescent="0.3">
      <c r="B93" s="6"/>
      <c r="C93" s="6"/>
      <c r="D93" s="6"/>
      <c r="E93" s="234"/>
      <c r="F93" s="6"/>
      <c r="G93" s="6"/>
      <c r="H93" s="6"/>
    </row>
    <row r="94" spans="2:8" x14ac:dyDescent="0.3">
      <c r="B94" s="6"/>
      <c r="C94" s="6"/>
      <c r="D94" s="6"/>
      <c r="E94" s="234"/>
      <c r="F94" s="6"/>
      <c r="G94" s="6"/>
      <c r="H94" s="6"/>
    </row>
    <row r="95" spans="2:8" x14ac:dyDescent="0.3">
      <c r="B95" s="6"/>
      <c r="C95" s="6"/>
      <c r="D95" s="6"/>
      <c r="E95" s="234"/>
      <c r="F95" s="6"/>
      <c r="G95" s="6"/>
      <c r="H95" s="6"/>
    </row>
    <row r="96" spans="2:8" x14ac:dyDescent="0.3">
      <c r="B96" s="6"/>
      <c r="C96" s="6"/>
      <c r="D96" s="6"/>
      <c r="E96" s="234"/>
      <c r="F96" s="6"/>
      <c r="G96" s="6"/>
      <c r="H96" s="6"/>
    </row>
    <row r="97" spans="2:8" x14ac:dyDescent="0.3">
      <c r="B97" s="6"/>
      <c r="C97" s="6"/>
      <c r="D97" s="6"/>
      <c r="E97" s="234"/>
      <c r="F97" s="6"/>
      <c r="G97" s="6"/>
      <c r="H97" s="6"/>
    </row>
    <row r="98" spans="2:8" x14ac:dyDescent="0.3">
      <c r="B98" s="6"/>
      <c r="C98" s="6"/>
      <c r="D98" s="6"/>
      <c r="E98" s="234"/>
      <c r="F98" s="6"/>
      <c r="G98" s="6"/>
      <c r="H98" s="6"/>
    </row>
    <row r="99" spans="2:8" x14ac:dyDescent="0.3">
      <c r="B99" s="6"/>
      <c r="C99" s="6"/>
      <c r="D99" s="6"/>
      <c r="E99" s="234"/>
      <c r="F99" s="6"/>
      <c r="G99" s="6"/>
      <c r="H99" s="6"/>
    </row>
    <row r="100" spans="2:8" x14ac:dyDescent="0.3">
      <c r="B100" s="6"/>
      <c r="C100" s="6"/>
      <c r="D100" s="6"/>
      <c r="E100" s="234"/>
      <c r="F100" s="6"/>
      <c r="G100" s="6"/>
      <c r="H100" s="6"/>
    </row>
    <row r="101" spans="2:8" x14ac:dyDescent="0.3">
      <c r="B101" s="6"/>
      <c r="C101" s="6"/>
      <c r="D101" s="6"/>
      <c r="E101" s="234"/>
      <c r="F101" s="6"/>
      <c r="G101" s="6"/>
      <c r="H101" s="6"/>
    </row>
    <row r="102" spans="2:8" x14ac:dyDescent="0.3">
      <c r="B102" s="6"/>
      <c r="C102" s="6"/>
      <c r="D102" s="6"/>
      <c r="E102" s="234"/>
      <c r="F102" s="6"/>
      <c r="G102" s="6"/>
      <c r="H102" s="6"/>
    </row>
    <row r="103" spans="2:8" x14ac:dyDescent="0.3">
      <c r="B103" s="6"/>
      <c r="C103" s="6"/>
      <c r="D103" s="6"/>
      <c r="E103" s="234"/>
      <c r="F103" s="6"/>
      <c r="G103" s="6"/>
      <c r="H103" s="6"/>
    </row>
    <row r="104" spans="2:8" x14ac:dyDescent="0.3">
      <c r="B104" s="6"/>
      <c r="C104" s="6"/>
      <c r="D104" s="6"/>
      <c r="E104" s="234"/>
      <c r="F104" s="6"/>
      <c r="G104" s="6"/>
      <c r="H104" s="6"/>
    </row>
    <row r="105" spans="2:8" x14ac:dyDescent="0.3">
      <c r="B105" s="6"/>
      <c r="C105" s="6"/>
      <c r="D105" s="6"/>
      <c r="E105" s="234"/>
      <c r="F105" s="6"/>
      <c r="G105" s="6"/>
      <c r="H105" s="6"/>
    </row>
    <row r="106" spans="2:8" x14ac:dyDescent="0.3">
      <c r="B106" s="6"/>
      <c r="C106" s="6"/>
      <c r="D106" s="6"/>
      <c r="E106" s="234"/>
      <c r="F106" s="6"/>
      <c r="G106" s="6"/>
      <c r="H106" s="6"/>
    </row>
    <row r="107" spans="2:8" x14ac:dyDescent="0.3">
      <c r="B107" s="6"/>
      <c r="C107" s="6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5" activePane="bottomLeft" state="frozen"/>
      <selection pane="bottomLeft" activeCell="L37" sqref="L37:L38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7" bestFit="1" customWidth="1"/>
    <col min="9" max="9" width="8.77734375" style="138"/>
    <col min="10" max="10" width="14.77734375" style="440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91" t="s">
        <v>64</v>
      </c>
      <c r="B3" s="1165"/>
      <c r="C3" s="1165"/>
      <c r="D3" s="1165"/>
      <c r="E3" s="1165"/>
      <c r="F3" s="1165"/>
      <c r="G3" s="1165"/>
      <c r="H3" s="1165"/>
      <c r="I3" s="1165"/>
      <c r="J3" s="1165"/>
      <c r="K3" s="1165"/>
      <c r="L3" s="1165"/>
    </row>
    <row r="4" spans="1:36" ht="28.8" x14ac:dyDescent="0.3">
      <c r="A4" s="1198" t="s">
        <v>1</v>
      </c>
      <c r="B4" s="1198"/>
      <c r="C4" s="923" t="s">
        <v>27</v>
      </c>
      <c r="D4" s="923" t="s">
        <v>2</v>
      </c>
      <c r="E4" s="923" t="s">
        <v>61</v>
      </c>
      <c r="F4" s="923" t="s">
        <v>62</v>
      </c>
      <c r="G4" s="923" t="s">
        <v>63</v>
      </c>
      <c r="H4" s="923" t="s">
        <v>65</v>
      </c>
      <c r="I4" s="923" t="s">
        <v>551</v>
      </c>
      <c r="J4" s="929" t="s">
        <v>603</v>
      </c>
      <c r="K4" s="923" t="s">
        <v>604</v>
      </c>
      <c r="L4" s="923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4" t="s">
        <v>299</v>
      </c>
      <c r="T4" s="132" t="s">
        <v>65</v>
      </c>
    </row>
    <row r="5" spans="1:36" ht="43.8" thickBot="1" x14ac:dyDescent="0.35">
      <c r="A5" s="1192">
        <v>46265</v>
      </c>
      <c r="B5" s="1193"/>
      <c r="C5" s="930" t="s">
        <v>13</v>
      </c>
      <c r="D5" s="924" t="s">
        <v>170</v>
      </c>
      <c r="E5" s="925">
        <v>6.9444444444444447E-4</v>
      </c>
      <c r="F5" s="754">
        <v>6.5972222222222224E-2</v>
      </c>
      <c r="G5" s="755">
        <f>(F5-E5)*1440</f>
        <v>94</v>
      </c>
      <c r="H5" s="926" t="s">
        <v>453</v>
      </c>
      <c r="I5" s="1178">
        <v>1</v>
      </c>
      <c r="J5" s="927">
        <f>(720-G5)/60</f>
        <v>10.433333333333334</v>
      </c>
      <c r="K5" s="928">
        <f>J5/12</f>
        <v>0.86944444444444446</v>
      </c>
      <c r="L5" s="1188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94">
        <v>46265</v>
      </c>
      <c r="B6" s="1195"/>
      <c r="C6" s="787" t="s">
        <v>14</v>
      </c>
      <c r="D6" s="602"/>
      <c r="E6" s="596"/>
      <c r="F6" s="511"/>
      <c r="G6" s="512">
        <f>(F6-E6)*1440</f>
        <v>0</v>
      </c>
      <c r="H6" s="597"/>
      <c r="I6" s="1178"/>
      <c r="J6" s="827">
        <f>(720-G6)/60</f>
        <v>12</v>
      </c>
      <c r="K6" s="830">
        <f t="shared" ref="K6:K8" si="1">J6/12</f>
        <v>1</v>
      </c>
      <c r="L6" s="1188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5" t="str">
        <f>H8</f>
        <v>shift malam jam 20:59-21:40 stop thicekener tank bermasalah, jam 06:00-07:00 houskepping ball mill 3 meluap</v>
      </c>
      <c r="V6" s="1" t="s">
        <v>14</v>
      </c>
      <c r="AH6" s="975">
        <f>Q59</f>
        <v>331.88333333333327</v>
      </c>
      <c r="AI6" s="976">
        <f>S59</f>
        <v>172.11666666666665</v>
      </c>
      <c r="AJ6" s="977">
        <f>R59</f>
        <v>0.65849867724867728</v>
      </c>
    </row>
    <row r="7" spans="1:36" ht="44.4" customHeight="1" thickBot="1" x14ac:dyDescent="0.45">
      <c r="A7" s="1194">
        <v>46266</v>
      </c>
      <c r="B7" s="1195"/>
      <c r="C7" s="787" t="s">
        <v>13</v>
      </c>
      <c r="D7" s="602"/>
      <c r="E7" s="596"/>
      <c r="F7" s="511"/>
      <c r="G7" s="512">
        <f>(F7-E7)*1440</f>
        <v>0</v>
      </c>
      <c r="H7" s="597"/>
      <c r="I7" s="1178"/>
      <c r="J7" s="827">
        <f>(720-G7)/60</f>
        <v>12</v>
      </c>
      <c r="K7" s="830">
        <f t="shared" si="1"/>
        <v>1</v>
      </c>
      <c r="L7" s="1188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5" t="str">
        <f>H9</f>
        <v>Ball mill sampai jam 12 Cuma berjalan 1, housekepping material meluap dari ball mill 3 hingga jam 9</v>
      </c>
      <c r="AH7" s="974" t="s">
        <v>644</v>
      </c>
      <c r="AI7" s="974" t="s">
        <v>645</v>
      </c>
      <c r="AJ7" s="974" t="s">
        <v>646</v>
      </c>
    </row>
    <row r="8" spans="1:36" ht="54" customHeight="1" x14ac:dyDescent="0.3">
      <c r="A8" s="1194">
        <v>46266</v>
      </c>
      <c r="B8" s="1195"/>
      <c r="C8" s="787" t="s">
        <v>14</v>
      </c>
      <c r="D8" s="603" t="s">
        <v>170</v>
      </c>
      <c r="E8" s="511">
        <v>6.9444444444444447E-4</v>
      </c>
      <c r="F8" s="511">
        <v>4.6527777777777779E-2</v>
      </c>
      <c r="G8" s="512">
        <f t="shared" ref="G8:G45" si="4">(F8-E8)*1440</f>
        <v>66</v>
      </c>
      <c r="H8" s="598" t="s">
        <v>484</v>
      </c>
      <c r="I8" s="1179"/>
      <c r="J8" s="827">
        <f t="shared" ref="J8:J14" si="5">(720-G8)/60</f>
        <v>10.9</v>
      </c>
      <c r="K8" s="830">
        <f t="shared" si="1"/>
        <v>0.90833333333333333</v>
      </c>
      <c r="L8" s="1188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5" t="str">
        <f>H12</f>
        <v>Stop ball mill jam 18:00 material finish pump ke tank 3, shift malam drain slurry tank 2</v>
      </c>
    </row>
    <row r="9" spans="1:36" ht="28.8" x14ac:dyDescent="0.3">
      <c r="A9" s="1196">
        <v>46267</v>
      </c>
      <c r="B9" s="1197"/>
      <c r="C9" s="849" t="s">
        <v>13</v>
      </c>
      <c r="D9" s="604" t="s">
        <v>223</v>
      </c>
      <c r="E9" s="508">
        <v>6.9444444444444447E-4</v>
      </c>
      <c r="F9" s="508">
        <v>8.4027777777777785E-2</v>
      </c>
      <c r="G9" s="509">
        <f t="shared" si="4"/>
        <v>120.00000000000001</v>
      </c>
      <c r="H9" s="963" t="s">
        <v>485</v>
      </c>
      <c r="I9" s="1181">
        <v>2</v>
      </c>
      <c r="J9" s="828">
        <f t="shared" si="5"/>
        <v>10</v>
      </c>
      <c r="K9" s="831">
        <f>J9/12</f>
        <v>0.83333333333333337</v>
      </c>
      <c r="L9" s="1189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96">
        <v>46267</v>
      </c>
      <c r="B10" s="1197"/>
      <c r="C10" s="849" t="s">
        <v>14</v>
      </c>
      <c r="D10" s="604"/>
      <c r="E10" s="508"/>
      <c r="F10" s="508"/>
      <c r="G10" s="509">
        <f t="shared" si="4"/>
        <v>0</v>
      </c>
      <c r="H10" s="599"/>
      <c r="I10" s="1182"/>
      <c r="J10" s="828">
        <f t="shared" si="5"/>
        <v>12</v>
      </c>
      <c r="K10" s="831">
        <f t="shared" ref="K10:K14" si="6">J10/12</f>
        <v>1</v>
      </c>
      <c r="L10" s="1189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5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96">
        <v>46268</v>
      </c>
      <c r="B11" s="1197"/>
      <c r="C11" s="849" t="s">
        <v>13</v>
      </c>
      <c r="D11" s="604"/>
      <c r="E11" s="508"/>
      <c r="F11" s="508"/>
      <c r="G11" s="509">
        <f t="shared" si="4"/>
        <v>0</v>
      </c>
      <c r="H11" s="599"/>
      <c r="I11" s="1182"/>
      <c r="J11" s="828">
        <f t="shared" si="5"/>
        <v>12</v>
      </c>
      <c r="K11" s="831">
        <f t="shared" si="6"/>
        <v>1</v>
      </c>
      <c r="L11" s="1189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96">
        <v>46268</v>
      </c>
      <c r="B12" s="1197"/>
      <c r="C12" s="849" t="s">
        <v>14</v>
      </c>
      <c r="D12" s="605" t="s">
        <v>170</v>
      </c>
      <c r="E12" s="508">
        <v>6.9444444444444447E-4</v>
      </c>
      <c r="F12" s="508">
        <v>4.2361111111111113E-2</v>
      </c>
      <c r="G12" s="509">
        <f t="shared" si="4"/>
        <v>60.000000000000007</v>
      </c>
      <c r="H12" s="599" t="s">
        <v>475</v>
      </c>
      <c r="I12" s="1182"/>
      <c r="J12" s="828">
        <f t="shared" si="5"/>
        <v>11</v>
      </c>
      <c r="K12" s="831">
        <f t="shared" si="6"/>
        <v>0.91666666666666663</v>
      </c>
      <c r="L12" s="1189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5" t="s">
        <v>532</v>
      </c>
      <c r="V12" s="11">
        <f>SUM(S17:S19)</f>
        <v>62</v>
      </c>
    </row>
    <row r="13" spans="1:36" ht="72" x14ac:dyDescent="0.3">
      <c r="A13" s="1196">
        <v>46269</v>
      </c>
      <c r="B13" s="1197"/>
      <c r="C13" s="849" t="s">
        <v>13</v>
      </c>
      <c r="D13" s="606" t="s">
        <v>223</v>
      </c>
      <c r="E13" s="600">
        <v>6.9444444444444447E-4</v>
      </c>
      <c r="F13" s="508">
        <v>0.50069444444444444</v>
      </c>
      <c r="G13" s="509">
        <f t="shared" si="4"/>
        <v>720</v>
      </c>
      <c r="H13" s="601" t="s">
        <v>483</v>
      </c>
      <c r="I13" s="1182"/>
      <c r="J13" s="828">
        <f t="shared" si="5"/>
        <v>0</v>
      </c>
      <c r="K13" s="831">
        <f t="shared" si="6"/>
        <v>0</v>
      </c>
      <c r="L13" s="1189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5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96">
        <v>46269</v>
      </c>
      <c r="B14" s="1197"/>
      <c r="C14" s="849" t="s">
        <v>14</v>
      </c>
      <c r="D14" s="857" t="s">
        <v>170</v>
      </c>
      <c r="E14" s="600">
        <v>6.9444444444444447E-4</v>
      </c>
      <c r="F14" s="508">
        <v>0.50069444444444444</v>
      </c>
      <c r="G14" s="509">
        <f t="shared" si="4"/>
        <v>720</v>
      </c>
      <c r="H14" s="858" t="s">
        <v>483</v>
      </c>
      <c r="I14" s="1183"/>
      <c r="J14" s="828">
        <f t="shared" si="5"/>
        <v>0</v>
      </c>
      <c r="K14" s="831">
        <f t="shared" si="6"/>
        <v>0</v>
      </c>
      <c r="L14" s="1189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5" t="s">
        <v>539</v>
      </c>
    </row>
    <row r="15" spans="1:36" ht="65.400000000000006" customHeight="1" x14ac:dyDescent="0.3">
      <c r="A15" s="1194">
        <v>46270</v>
      </c>
      <c r="B15" s="1195"/>
      <c r="C15" s="787" t="s">
        <v>13</v>
      </c>
      <c r="D15" s="801"/>
      <c r="E15" s="802">
        <v>6.9444444444444447E-4</v>
      </c>
      <c r="F15" s="511">
        <v>0.50069444444444444</v>
      </c>
      <c r="G15" s="512">
        <f t="shared" si="4"/>
        <v>720</v>
      </c>
      <c r="H15" s="803" t="s">
        <v>596</v>
      </c>
      <c r="I15" s="1177">
        <v>3</v>
      </c>
      <c r="J15" s="827">
        <f>(720-G15)/60</f>
        <v>0</v>
      </c>
      <c r="K15" s="830">
        <f>J15/12</f>
        <v>0</v>
      </c>
      <c r="L15" s="1188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5"/>
    </row>
    <row r="16" spans="1:36" ht="43.2" x14ac:dyDescent="0.3">
      <c r="A16" s="1194">
        <v>46270</v>
      </c>
      <c r="B16" s="1195"/>
      <c r="C16" s="787" t="s">
        <v>14</v>
      </c>
      <c r="D16" s="611" t="s">
        <v>170</v>
      </c>
      <c r="E16" s="511">
        <v>6.9444444444444447E-4</v>
      </c>
      <c r="F16" s="511">
        <v>4.2361111111111113E-2</v>
      </c>
      <c r="G16" s="512">
        <f>(F16-E16)*1440</f>
        <v>60.000000000000007</v>
      </c>
      <c r="H16" s="612" t="s">
        <v>495</v>
      </c>
      <c r="I16" s="1178"/>
      <c r="J16" s="827">
        <f t="shared" ref="J16:J19" si="8">(720-G16)/60</f>
        <v>11</v>
      </c>
      <c r="K16" s="830">
        <f t="shared" ref="K16:K19" si="9">J16/12</f>
        <v>0.91666666666666663</v>
      </c>
      <c r="L16" s="1188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94">
        <v>46271</v>
      </c>
      <c r="B17" s="1195"/>
      <c r="C17" s="787" t="s">
        <v>13</v>
      </c>
      <c r="D17" s="613" t="s">
        <v>515</v>
      </c>
      <c r="E17" s="511">
        <v>6.9444444444444447E-4</v>
      </c>
      <c r="F17" s="511">
        <v>0.18124999999999999</v>
      </c>
      <c r="G17" s="512">
        <f>(F17-E17)*720</f>
        <v>130</v>
      </c>
      <c r="H17" s="614" t="s">
        <v>517</v>
      </c>
      <c r="I17" s="1178"/>
      <c r="J17" s="827">
        <f t="shared" si="8"/>
        <v>9.8333333333333339</v>
      </c>
      <c r="K17" s="830">
        <f t="shared" si="9"/>
        <v>0.81944444444444453</v>
      </c>
      <c r="L17" s="1188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94">
        <v>46271</v>
      </c>
      <c r="B18" s="1195"/>
      <c r="C18" s="787" t="s">
        <v>14</v>
      </c>
      <c r="D18" s="613" t="s">
        <v>516</v>
      </c>
      <c r="E18" s="511"/>
      <c r="F18" s="511"/>
      <c r="G18" s="512">
        <f t="shared" si="4"/>
        <v>0</v>
      </c>
      <c r="H18" s="614" t="s">
        <v>524</v>
      </c>
      <c r="I18" s="1178"/>
      <c r="J18" s="827">
        <f t="shared" si="8"/>
        <v>12</v>
      </c>
      <c r="K18" s="830">
        <f t="shared" si="9"/>
        <v>1</v>
      </c>
      <c r="L18" s="1188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94">
        <v>46272</v>
      </c>
      <c r="B19" s="1195"/>
      <c r="C19" s="787" t="s">
        <v>13</v>
      </c>
      <c r="D19" s="615" t="s">
        <v>170</v>
      </c>
      <c r="E19" s="511">
        <v>6.9444444444444447E-4</v>
      </c>
      <c r="F19" s="511">
        <v>1.3888888888888888E-2</v>
      </c>
      <c r="G19" s="512">
        <f t="shared" si="4"/>
        <v>19</v>
      </c>
      <c r="H19" s="616" t="s">
        <v>533</v>
      </c>
      <c r="I19" s="1179"/>
      <c r="J19" s="827">
        <f t="shared" si="8"/>
        <v>11.683333333333334</v>
      </c>
      <c r="K19" s="830">
        <f t="shared" si="9"/>
        <v>0.97361111111111109</v>
      </c>
      <c r="L19" s="1187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96">
        <v>46272</v>
      </c>
      <c r="B20" s="1197"/>
      <c r="C20" s="849" t="s">
        <v>14</v>
      </c>
      <c r="D20" s="617" t="s">
        <v>170</v>
      </c>
      <c r="E20" s="508">
        <v>6.9444444444444447E-4</v>
      </c>
      <c r="F20" s="508">
        <v>5.2083333333333336E-2</v>
      </c>
      <c r="G20" s="509">
        <f t="shared" si="4"/>
        <v>74</v>
      </c>
      <c r="H20" s="513" t="s">
        <v>534</v>
      </c>
      <c r="I20" s="1225">
        <v>4</v>
      </c>
      <c r="J20" s="828">
        <f>(720-G20)/60</f>
        <v>10.766666666666667</v>
      </c>
      <c r="K20" s="831">
        <f>J20/12</f>
        <v>0.89722222222222225</v>
      </c>
      <c r="L20" s="1187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96">
        <v>46273</v>
      </c>
      <c r="B21" s="1197"/>
      <c r="C21" s="849" t="s">
        <v>13</v>
      </c>
      <c r="D21" s="617" t="s">
        <v>170</v>
      </c>
      <c r="E21" s="508">
        <v>6.9444444444444447E-4</v>
      </c>
      <c r="F21" s="508">
        <v>7.013888888888889E-2</v>
      </c>
      <c r="G21" s="509">
        <f>(F21-E21)*1440</f>
        <v>100</v>
      </c>
      <c r="H21" s="618" t="s">
        <v>527</v>
      </c>
      <c r="I21" s="1226"/>
      <c r="J21" s="828">
        <f t="shared" ref="J21:J23" si="10">(720-G21)/60</f>
        <v>10.333333333333334</v>
      </c>
      <c r="K21" s="831">
        <f t="shared" ref="K21:K23" si="11">J21/12</f>
        <v>0.86111111111111116</v>
      </c>
      <c r="L21" s="1189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96">
        <v>46273</v>
      </c>
      <c r="B22" s="1197"/>
      <c r="C22" s="849" t="s">
        <v>14</v>
      </c>
      <c r="D22" s="619" t="s">
        <v>531</v>
      </c>
      <c r="E22" s="508">
        <v>6.9444444444444447E-4</v>
      </c>
      <c r="F22" s="508">
        <v>0.10694444444444444</v>
      </c>
      <c r="G22" s="509">
        <f>(F22-E22)*1440</f>
        <v>153</v>
      </c>
      <c r="H22" s="513" t="s">
        <v>535</v>
      </c>
      <c r="I22" s="1226"/>
      <c r="J22" s="828">
        <f t="shared" si="10"/>
        <v>9.4499999999999993</v>
      </c>
      <c r="K22" s="831">
        <f t="shared" si="11"/>
        <v>0.78749999999999998</v>
      </c>
      <c r="L22" s="1189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96">
        <v>46274</v>
      </c>
      <c r="B23" s="1197"/>
      <c r="C23" s="849" t="s">
        <v>13</v>
      </c>
      <c r="D23" s="608" t="s">
        <v>170</v>
      </c>
      <c r="E23" s="508">
        <v>6.9444444444444447E-4</v>
      </c>
      <c r="F23" s="508">
        <v>0.37569444444444444</v>
      </c>
      <c r="G23" s="509">
        <f t="shared" si="4"/>
        <v>540</v>
      </c>
      <c r="H23" s="513" t="s">
        <v>538</v>
      </c>
      <c r="I23" s="1227"/>
      <c r="J23" s="828">
        <f t="shared" si="10"/>
        <v>3</v>
      </c>
      <c r="K23" s="831">
        <f t="shared" si="11"/>
        <v>0.25</v>
      </c>
      <c r="L23" s="1189">
        <f>SUM(J23:J24)/24</f>
        <v>0.125</v>
      </c>
      <c r="O23" s="63">
        <v>46283</v>
      </c>
      <c r="P23" s="67">
        <f>SUM(G41:G42)</f>
        <v>175</v>
      </c>
      <c r="Q23" s="67">
        <f t="shared" ref="Q23:Q25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03">
        <v>46274</v>
      </c>
      <c r="B24" s="1204"/>
      <c r="C24" s="931" t="s">
        <v>14</v>
      </c>
      <c r="D24" s="607" t="s">
        <v>170</v>
      </c>
      <c r="E24" s="505">
        <v>6.9444444444444447E-4</v>
      </c>
      <c r="F24" s="505">
        <v>0.50069444444444444</v>
      </c>
      <c r="G24" s="506">
        <f t="shared" si="4"/>
        <v>720</v>
      </c>
      <c r="H24" s="464" t="s">
        <v>537</v>
      </c>
      <c r="I24" s="800"/>
      <c r="J24" s="426">
        <f>(720-G24)/60</f>
        <v>0</v>
      </c>
      <c r="K24" s="829">
        <f>J24/12</f>
        <v>0</v>
      </c>
      <c r="L24" s="1189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94">
        <v>46275</v>
      </c>
      <c r="B25" s="1195"/>
      <c r="C25" s="787" t="s">
        <v>13</v>
      </c>
      <c r="D25" s="620" t="s">
        <v>170</v>
      </c>
      <c r="E25" s="511">
        <v>6.9444444444444447E-4</v>
      </c>
      <c r="F25" s="511">
        <v>6.0416666666666667E-2</v>
      </c>
      <c r="G25" s="512">
        <f t="shared" si="4"/>
        <v>86</v>
      </c>
      <c r="H25" s="616" t="s">
        <v>543</v>
      </c>
      <c r="I25" s="1214">
        <v>5</v>
      </c>
      <c r="J25" s="827">
        <f>(720-G25)/60</f>
        <v>10.566666666666666</v>
      </c>
      <c r="K25" s="830">
        <f>J25/12</f>
        <v>0.88055555555555554</v>
      </c>
      <c r="L25" s="1188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666</v>
      </c>
    </row>
    <row r="26" spans="1:20" ht="15" thickBot="1" x14ac:dyDescent="0.35">
      <c r="A26" s="1194">
        <v>46275</v>
      </c>
      <c r="B26" s="1195"/>
      <c r="C26" s="787" t="s">
        <v>14</v>
      </c>
      <c r="D26" s="621" t="s">
        <v>549</v>
      </c>
      <c r="E26" s="622">
        <v>6.9444444444444447E-4</v>
      </c>
      <c r="F26" s="622">
        <v>6.458333333333334E-2</v>
      </c>
      <c r="G26" s="492">
        <f t="shared" si="4"/>
        <v>92.000000000000014</v>
      </c>
      <c r="H26" s="644" t="s">
        <v>550</v>
      </c>
      <c r="I26" s="1215"/>
      <c r="J26" s="827">
        <f t="shared" ref="J26:J27" si="13">(720-G26)/60</f>
        <v>10.466666666666667</v>
      </c>
      <c r="K26" s="830">
        <f t="shared" ref="K26:K27" si="14">J26/12</f>
        <v>0.87222222222222223</v>
      </c>
      <c r="L26" s="1188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94">
        <v>46276</v>
      </c>
      <c r="B27" s="1195"/>
      <c r="C27" s="787" t="s">
        <v>13</v>
      </c>
      <c r="D27" s="623" t="s">
        <v>170</v>
      </c>
      <c r="E27" s="511">
        <v>6.9444444444444447E-4</v>
      </c>
      <c r="F27" s="511">
        <v>4.3055555555555555E-2</v>
      </c>
      <c r="G27" s="643">
        <f>(F27-E27)*1440</f>
        <v>61</v>
      </c>
      <c r="H27" s="645" t="s">
        <v>553</v>
      </c>
      <c r="I27" s="1216"/>
      <c r="J27" s="827">
        <f t="shared" si="13"/>
        <v>10.983333333333333</v>
      </c>
      <c r="K27" s="830">
        <f t="shared" si="14"/>
        <v>0.91527777777777775</v>
      </c>
      <c r="L27" s="1187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209">
        <v>46276</v>
      </c>
      <c r="B28" s="1210"/>
      <c r="C28" s="849" t="s">
        <v>14</v>
      </c>
      <c r="D28" s="635" t="s">
        <v>170</v>
      </c>
      <c r="E28" s="636">
        <v>6.9444444444444447E-4</v>
      </c>
      <c r="F28" s="636">
        <v>0.41736111111111113</v>
      </c>
      <c r="G28" s="646">
        <f t="shared" si="4"/>
        <v>600</v>
      </c>
      <c r="H28" s="651" t="s">
        <v>562</v>
      </c>
      <c r="I28" s="1228">
        <v>6</v>
      </c>
      <c r="J28" s="828">
        <f>(720-G28)/60</f>
        <v>2</v>
      </c>
      <c r="K28" s="831">
        <f>J28/12</f>
        <v>0.16666666666666666</v>
      </c>
      <c r="L28" s="1187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05">
        <v>46277</v>
      </c>
      <c r="B29" s="1206"/>
      <c r="C29" s="849" t="s">
        <v>13</v>
      </c>
      <c r="D29" s="639" t="s">
        <v>170</v>
      </c>
      <c r="E29" s="640">
        <v>6.9444444444444447E-4</v>
      </c>
      <c r="F29" s="640">
        <v>0.50069444444444444</v>
      </c>
      <c r="G29" s="641">
        <f t="shared" si="4"/>
        <v>720</v>
      </c>
      <c r="H29" s="642" t="s">
        <v>552</v>
      </c>
      <c r="I29" s="1229"/>
      <c r="J29" s="828">
        <f t="shared" ref="J29:J33" si="15">(720-G29)/60</f>
        <v>0</v>
      </c>
      <c r="K29" s="831">
        <f t="shared" ref="K29:K33" si="16">J29/12</f>
        <v>0</v>
      </c>
      <c r="L29" s="1189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07">
        <v>46277</v>
      </c>
      <c r="B30" s="1208"/>
      <c r="C30" s="849" t="s">
        <v>14</v>
      </c>
      <c r="D30" s="637" t="s">
        <v>170</v>
      </c>
      <c r="E30" s="638">
        <v>6.9444444444444447E-4</v>
      </c>
      <c r="F30" s="638">
        <v>0.50069444444444444</v>
      </c>
      <c r="G30" s="634">
        <f t="shared" si="4"/>
        <v>720</v>
      </c>
      <c r="H30" s="652" t="s">
        <v>563</v>
      </c>
      <c r="I30" s="1229"/>
      <c r="J30" s="828">
        <f t="shared" si="15"/>
        <v>0</v>
      </c>
      <c r="K30" s="831">
        <f t="shared" si="16"/>
        <v>0</v>
      </c>
      <c r="L30" s="1189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209">
        <v>46278</v>
      </c>
      <c r="B31" s="1210"/>
      <c r="C31" s="849" t="s">
        <v>13</v>
      </c>
      <c r="D31" s="775" t="s">
        <v>223</v>
      </c>
      <c r="E31" s="636">
        <v>6.9444444444444447E-4</v>
      </c>
      <c r="F31" s="636">
        <v>0.50069444444444444</v>
      </c>
      <c r="G31" s="744">
        <f t="shared" si="4"/>
        <v>720</v>
      </c>
      <c r="H31" s="745" t="s">
        <v>564</v>
      </c>
      <c r="I31" s="1229"/>
      <c r="J31" s="828">
        <f t="shared" si="15"/>
        <v>0</v>
      </c>
      <c r="K31" s="831">
        <f t="shared" si="16"/>
        <v>0</v>
      </c>
      <c r="L31" s="1189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11">
        <v>46278</v>
      </c>
      <c r="B32" s="1212"/>
      <c r="C32" s="849" t="s">
        <v>14</v>
      </c>
      <c r="D32" s="776" t="s">
        <v>170</v>
      </c>
      <c r="E32" s="747">
        <v>6.9444444444444447E-4</v>
      </c>
      <c r="F32" s="747">
        <v>0.50069444444444444</v>
      </c>
      <c r="G32" s="748">
        <f t="shared" si="4"/>
        <v>720</v>
      </c>
      <c r="H32" s="749"/>
      <c r="I32" s="1229"/>
      <c r="J32" s="828">
        <f t="shared" si="15"/>
        <v>0</v>
      </c>
      <c r="K32" s="831">
        <f t="shared" si="16"/>
        <v>0</v>
      </c>
      <c r="L32" s="1189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217">
        <v>46279</v>
      </c>
      <c r="B33" s="1218"/>
      <c r="C33" s="849" t="s">
        <v>13</v>
      </c>
      <c r="D33" s="750" t="s">
        <v>170</v>
      </c>
      <c r="E33" s="751">
        <v>6.9444444444444447E-4</v>
      </c>
      <c r="F33" s="751">
        <v>0.50069444444444444</v>
      </c>
      <c r="G33" s="752">
        <f t="shared" si="4"/>
        <v>720</v>
      </c>
      <c r="H33" s="753"/>
      <c r="I33" s="1230"/>
      <c r="J33" s="828">
        <f t="shared" si="15"/>
        <v>0</v>
      </c>
      <c r="K33" s="831">
        <f t="shared" si="16"/>
        <v>0</v>
      </c>
      <c r="L33" s="1187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92">
        <v>46279</v>
      </c>
      <c r="B34" s="1193"/>
      <c r="C34" s="787" t="s">
        <v>14</v>
      </c>
      <c r="D34" s="756" t="s">
        <v>591</v>
      </c>
      <c r="E34" s="754">
        <v>6.9444444444444447E-4</v>
      </c>
      <c r="F34" s="754">
        <v>8.4027777777777785E-2</v>
      </c>
      <c r="G34" s="755">
        <f t="shared" si="4"/>
        <v>120.00000000000001</v>
      </c>
      <c r="H34" s="777" t="s">
        <v>592</v>
      </c>
      <c r="I34" s="1213">
        <v>7</v>
      </c>
      <c r="J34" s="827">
        <f>(720-G34)/60</f>
        <v>10</v>
      </c>
      <c r="K34" s="830">
        <f>J34/12</f>
        <v>0.83333333333333337</v>
      </c>
      <c r="L34" s="1187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94">
        <v>46280</v>
      </c>
      <c r="B35" s="1195"/>
      <c r="C35" s="787" t="s">
        <v>13</v>
      </c>
      <c r="D35" s="832" t="s">
        <v>531</v>
      </c>
      <c r="E35" s="511"/>
      <c r="F35" s="511"/>
      <c r="G35" s="512">
        <f t="shared" si="4"/>
        <v>0</v>
      </c>
      <c r="H35" s="833" t="s">
        <v>598</v>
      </c>
      <c r="I35" s="1178"/>
      <c r="J35" s="827">
        <f t="shared" ref="J35:J36" si="17">(720-G35)/60</f>
        <v>12</v>
      </c>
      <c r="K35" s="830">
        <f t="shared" ref="K35:K36" si="18">J35/12</f>
        <v>1</v>
      </c>
      <c r="L35" s="1188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94">
        <v>46280</v>
      </c>
      <c r="B36" s="1195"/>
      <c r="C36" s="787" t="s">
        <v>14</v>
      </c>
      <c r="D36" s="851" t="s">
        <v>591</v>
      </c>
      <c r="E36" s="511"/>
      <c r="F36" s="511"/>
      <c r="G36" s="512">
        <f t="shared" si="4"/>
        <v>0</v>
      </c>
      <c r="H36" s="856" t="s">
        <v>602</v>
      </c>
      <c r="I36" s="1179"/>
      <c r="J36" s="827">
        <f t="shared" si="17"/>
        <v>12</v>
      </c>
      <c r="K36" s="830">
        <f t="shared" si="18"/>
        <v>1</v>
      </c>
      <c r="L36" s="1188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96">
        <v>46281</v>
      </c>
      <c r="B37" s="1197"/>
      <c r="C37" s="849" t="s">
        <v>13</v>
      </c>
      <c r="D37" s="853" t="s">
        <v>531</v>
      </c>
      <c r="E37" s="852"/>
      <c r="F37" s="852"/>
      <c r="G37" s="509">
        <f t="shared" si="4"/>
        <v>0</v>
      </c>
      <c r="H37" s="854" t="s">
        <v>600</v>
      </c>
      <c r="I37" s="1222">
        <v>8</v>
      </c>
      <c r="J37" s="828">
        <f>(720-G37)/60</f>
        <v>12</v>
      </c>
      <c r="K37" s="831">
        <f>J37/12</f>
        <v>1</v>
      </c>
      <c r="L37" s="1189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96">
        <v>46281</v>
      </c>
      <c r="B38" s="1197"/>
      <c r="C38" s="849" t="s">
        <v>14</v>
      </c>
      <c r="D38" s="862" t="s">
        <v>605</v>
      </c>
      <c r="E38" s="852">
        <v>6.9444444444444447E-4</v>
      </c>
      <c r="F38" s="852">
        <v>4.5138888888888888E-2</v>
      </c>
      <c r="G38" s="509">
        <f t="shared" si="4"/>
        <v>64</v>
      </c>
      <c r="H38" s="863" t="s">
        <v>607</v>
      </c>
      <c r="I38" s="1223"/>
      <c r="J38" s="828">
        <f t="shared" ref="J38:J69" si="19">(720-G38)/60</f>
        <v>10.933333333333334</v>
      </c>
      <c r="K38" s="831">
        <f t="shared" ref="K38:K69" si="20">J38/12</f>
        <v>0.91111111111111109</v>
      </c>
      <c r="L38" s="1189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96">
        <v>46282</v>
      </c>
      <c r="B39" s="1197"/>
      <c r="C39" s="507" t="s">
        <v>13</v>
      </c>
      <c r="D39" s="946" t="s">
        <v>636</v>
      </c>
      <c r="E39" s="852"/>
      <c r="F39" s="852"/>
      <c r="G39" s="509">
        <f t="shared" si="4"/>
        <v>0</v>
      </c>
      <c r="H39" s="947" t="s">
        <v>637</v>
      </c>
      <c r="I39" s="1223"/>
      <c r="J39" s="828">
        <f t="shared" si="19"/>
        <v>12</v>
      </c>
      <c r="K39" s="831">
        <f t="shared" si="20"/>
        <v>1</v>
      </c>
      <c r="L39" s="1189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99">
        <v>46282</v>
      </c>
      <c r="B40" s="1200"/>
      <c r="C40" s="934" t="s">
        <v>14</v>
      </c>
      <c r="D40" s="968" t="s">
        <v>605</v>
      </c>
      <c r="E40" s="964"/>
      <c r="F40" s="964"/>
      <c r="G40" s="965">
        <f t="shared" si="4"/>
        <v>0</v>
      </c>
      <c r="H40" s="969" t="s">
        <v>643</v>
      </c>
      <c r="I40" s="1224"/>
      <c r="J40" s="966">
        <f t="shared" si="19"/>
        <v>12</v>
      </c>
      <c r="K40" s="967">
        <f t="shared" si="20"/>
        <v>1</v>
      </c>
      <c r="L40" s="1189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01">
        <v>46283</v>
      </c>
      <c r="B41" s="1202"/>
      <c r="C41" s="996" t="s">
        <v>13</v>
      </c>
      <c r="D41" s="1024" t="s">
        <v>549</v>
      </c>
      <c r="E41" s="1025">
        <v>6.9444444444444447E-4</v>
      </c>
      <c r="F41" s="1025">
        <v>0.12222222222222222</v>
      </c>
      <c r="G41" s="1026">
        <f t="shared" si="4"/>
        <v>175</v>
      </c>
      <c r="H41" s="1027" t="s">
        <v>656</v>
      </c>
      <c r="I41" s="1219">
        <v>9</v>
      </c>
      <c r="J41" s="1028">
        <f t="shared" si="19"/>
        <v>9.0833333333333339</v>
      </c>
      <c r="K41" s="1029">
        <f t="shared" si="20"/>
        <v>0.75694444444444453</v>
      </c>
      <c r="L41" s="1190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01">
        <v>46283</v>
      </c>
      <c r="B42" s="1202"/>
      <c r="C42" s="996" t="s">
        <v>14</v>
      </c>
      <c r="D42" s="1030" t="s">
        <v>657</v>
      </c>
      <c r="E42" s="1025">
        <v>6.9444444444444447E-4</v>
      </c>
      <c r="F42" s="1025">
        <v>6.9444444444444447E-4</v>
      </c>
      <c r="G42" s="1026">
        <f t="shared" si="4"/>
        <v>0</v>
      </c>
      <c r="H42" s="1056" t="s">
        <v>658</v>
      </c>
      <c r="I42" s="1220"/>
      <c r="J42" s="1028">
        <f t="shared" si="19"/>
        <v>12</v>
      </c>
      <c r="K42" s="1029">
        <f t="shared" si="20"/>
        <v>1</v>
      </c>
      <c r="L42" s="1190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01">
        <v>46284</v>
      </c>
      <c r="B43" s="1202"/>
      <c r="C43" s="996" t="s">
        <v>13</v>
      </c>
      <c r="D43" s="1057" t="s">
        <v>516</v>
      </c>
      <c r="E43" s="1025">
        <v>6.9444444444444447E-4</v>
      </c>
      <c r="F43" s="1025">
        <v>6.9444444444444447E-4</v>
      </c>
      <c r="G43" s="1026">
        <f t="shared" si="4"/>
        <v>0</v>
      </c>
      <c r="H43" s="1031" t="s">
        <v>658</v>
      </c>
      <c r="I43" s="1220"/>
      <c r="J43" s="1028">
        <f t="shared" si="19"/>
        <v>12</v>
      </c>
      <c r="K43" s="1029">
        <f t="shared" si="20"/>
        <v>1</v>
      </c>
      <c r="L43" s="1190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01">
        <v>46284</v>
      </c>
      <c r="B44" s="1202"/>
      <c r="C44" s="996" t="s">
        <v>14</v>
      </c>
      <c r="D44" s="1057" t="s">
        <v>660</v>
      </c>
      <c r="E44" s="1025">
        <v>6.9444444444444447E-4</v>
      </c>
      <c r="F44" s="1025">
        <v>0.25069444444444444</v>
      </c>
      <c r="G44" s="1026">
        <f t="shared" si="4"/>
        <v>360</v>
      </c>
      <c r="H44" s="1056" t="s">
        <v>659</v>
      </c>
      <c r="I44" s="1221"/>
      <c r="J44" s="1028">
        <f t="shared" si="19"/>
        <v>6</v>
      </c>
      <c r="K44" s="1029">
        <f t="shared" si="20"/>
        <v>0.5</v>
      </c>
      <c r="L44" s="1190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199">
        <v>46285</v>
      </c>
      <c r="B45" s="1200"/>
      <c r="C45" s="934" t="s">
        <v>13</v>
      </c>
      <c r="D45" s="1067" t="s">
        <v>170</v>
      </c>
      <c r="E45" s="964">
        <v>6.9444444444444447E-4</v>
      </c>
      <c r="F45" s="964">
        <v>0.50069444444444444</v>
      </c>
      <c r="G45" s="965">
        <f t="shared" si="4"/>
        <v>720</v>
      </c>
      <c r="H45" s="1068" t="s">
        <v>662</v>
      </c>
      <c r="I45" s="1184">
        <v>10</v>
      </c>
      <c r="J45" s="966">
        <f t="shared" si="19"/>
        <v>0</v>
      </c>
      <c r="K45" s="967">
        <f t="shared" si="20"/>
        <v>0</v>
      </c>
      <c r="L45" s="1448">
        <f t="shared" ref="L45:L48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199">
        <v>46285</v>
      </c>
      <c r="B46" s="1200"/>
      <c r="C46" s="934" t="s">
        <v>14</v>
      </c>
      <c r="D46" s="1446" t="s">
        <v>516</v>
      </c>
      <c r="E46" s="964">
        <v>6.9444444444444447E-4</v>
      </c>
      <c r="F46" s="964">
        <v>0.50069444444444444</v>
      </c>
      <c r="G46" s="965">
        <f t="shared" ref="G46:G47" si="22">(F46-E46)*1440</f>
        <v>720</v>
      </c>
      <c r="H46" s="1447" t="s">
        <v>665</v>
      </c>
      <c r="I46" s="1185"/>
      <c r="J46" s="966">
        <f t="shared" si="19"/>
        <v>0</v>
      </c>
      <c r="K46" s="967">
        <f t="shared" si="20"/>
        <v>0</v>
      </c>
      <c r="L46" s="1448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199">
        <v>46286</v>
      </c>
      <c r="B47" s="1200"/>
      <c r="C47" s="934" t="s">
        <v>13</v>
      </c>
      <c r="D47" s="1065"/>
      <c r="E47" s="964"/>
      <c r="F47" s="964"/>
      <c r="G47" s="965">
        <f t="shared" si="22"/>
        <v>0</v>
      </c>
      <c r="H47" s="1066"/>
      <c r="I47" s="1185"/>
      <c r="J47" s="966">
        <f t="shared" si="19"/>
        <v>12</v>
      </c>
      <c r="K47" s="967">
        <f t="shared" si="20"/>
        <v>1</v>
      </c>
      <c r="L47" s="1448">
        <f t="shared" ref="L47:L48" si="23">SUM(J47:J48)/24</f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199">
        <v>46286</v>
      </c>
      <c r="B48" s="1200"/>
      <c r="C48" s="934" t="s">
        <v>14</v>
      </c>
      <c r="D48" s="1065"/>
      <c r="E48" s="964"/>
      <c r="F48" s="964"/>
      <c r="G48" s="965">
        <f t="shared" ref="G48" si="24">(F48-E48)*1440</f>
        <v>0</v>
      </c>
      <c r="H48" s="1066"/>
      <c r="I48" s="1186"/>
      <c r="J48" s="966">
        <f t="shared" si="19"/>
        <v>12</v>
      </c>
      <c r="K48" s="967">
        <f t="shared" si="20"/>
        <v>1</v>
      </c>
      <c r="L48" s="1448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203">
        <v>46287</v>
      </c>
      <c r="B49" s="1204"/>
      <c r="C49" s="37" t="s">
        <v>13</v>
      </c>
      <c r="D49" s="66"/>
      <c r="E49" s="68"/>
      <c r="F49" s="68"/>
      <c r="G49" s="506">
        <f t="shared" ref="G49:G51" si="25">(F49-E49)*1440</f>
        <v>0</v>
      </c>
      <c r="H49" s="446"/>
      <c r="I49" s="425"/>
      <c r="J49" s="426">
        <f t="shared" si="19"/>
        <v>12</v>
      </c>
      <c r="K49" s="829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203">
        <v>46287</v>
      </c>
      <c r="B50" s="1204"/>
      <c r="C50" s="37" t="s">
        <v>14</v>
      </c>
      <c r="D50" s="66"/>
      <c r="E50" s="68"/>
      <c r="F50" s="68"/>
      <c r="G50" s="506">
        <f t="shared" si="25"/>
        <v>0</v>
      </c>
      <c r="H50" s="446"/>
      <c r="I50" s="425"/>
      <c r="J50" s="426">
        <f t="shared" si="19"/>
        <v>12</v>
      </c>
      <c r="K50" s="829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203">
        <v>46288</v>
      </c>
      <c r="B51" s="1204"/>
      <c r="C51" s="37" t="s">
        <v>13</v>
      </c>
      <c r="D51" s="66"/>
      <c r="E51" s="68"/>
      <c r="F51" s="68"/>
      <c r="G51" s="506">
        <f t="shared" si="25"/>
        <v>0</v>
      </c>
      <c r="H51" s="446"/>
      <c r="I51" s="425"/>
      <c r="J51" s="426">
        <f t="shared" si="19"/>
        <v>12</v>
      </c>
      <c r="K51" s="829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203">
        <v>46288</v>
      </c>
      <c r="B52" s="1204"/>
      <c r="C52" s="37" t="s">
        <v>14</v>
      </c>
      <c r="D52" s="66"/>
      <c r="E52" s="68"/>
      <c r="F52" s="68"/>
      <c r="G52" s="506">
        <f>(F52-E52)*1440</f>
        <v>0</v>
      </c>
      <c r="H52" s="446"/>
      <c r="I52" s="425"/>
      <c r="J52" s="426">
        <f t="shared" si="19"/>
        <v>12</v>
      </c>
      <c r="K52" s="829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03">
        <v>46289</v>
      </c>
      <c r="B53" s="1204"/>
      <c r="C53" s="37" t="s">
        <v>13</v>
      </c>
      <c r="D53" s="66"/>
      <c r="E53" s="68"/>
      <c r="F53" s="68"/>
      <c r="G53" s="506">
        <f t="shared" ref="G53:G57" si="26">(F53-E53)*1440</f>
        <v>0</v>
      </c>
      <c r="H53" s="446"/>
      <c r="I53" s="425"/>
      <c r="J53" s="426">
        <f t="shared" si="19"/>
        <v>12</v>
      </c>
      <c r="K53" s="829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03">
        <v>46289</v>
      </c>
      <c r="B54" s="1204"/>
      <c r="C54" s="37" t="s">
        <v>14</v>
      </c>
      <c r="D54" s="66"/>
      <c r="E54" s="68"/>
      <c r="F54" s="68"/>
      <c r="G54" s="506">
        <f t="shared" si="26"/>
        <v>0</v>
      </c>
      <c r="H54" s="446"/>
      <c r="I54" s="425"/>
      <c r="J54" s="426">
        <f t="shared" si="19"/>
        <v>12</v>
      </c>
      <c r="K54" s="829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203">
        <v>46290</v>
      </c>
      <c r="B55" s="1204"/>
      <c r="C55" s="37" t="s">
        <v>13</v>
      </c>
      <c r="D55" s="66"/>
      <c r="E55" s="68"/>
      <c r="F55" s="68"/>
      <c r="G55" s="506">
        <f t="shared" si="26"/>
        <v>0</v>
      </c>
      <c r="H55" s="446"/>
      <c r="I55" s="425"/>
      <c r="J55" s="426">
        <f t="shared" si="19"/>
        <v>12</v>
      </c>
      <c r="K55" s="829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03">
        <v>46290</v>
      </c>
      <c r="B56" s="1204"/>
      <c r="C56" s="37" t="s">
        <v>14</v>
      </c>
      <c r="D56" s="66"/>
      <c r="E56" s="68"/>
      <c r="F56" s="68"/>
      <c r="G56" s="506">
        <f t="shared" si="26"/>
        <v>0</v>
      </c>
      <c r="H56" s="446"/>
      <c r="I56" s="425"/>
      <c r="J56" s="426">
        <f t="shared" si="19"/>
        <v>12</v>
      </c>
      <c r="K56" s="829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03">
        <v>46291</v>
      </c>
      <c r="B57" s="1204"/>
      <c r="C57" s="37" t="s">
        <v>13</v>
      </c>
      <c r="D57" s="66"/>
      <c r="E57" s="68"/>
      <c r="F57" s="68"/>
      <c r="G57" s="506">
        <f t="shared" si="26"/>
        <v>0</v>
      </c>
      <c r="H57" s="446"/>
      <c r="I57" s="425"/>
      <c r="J57" s="426">
        <f t="shared" si="19"/>
        <v>12</v>
      </c>
      <c r="K57" s="829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03">
        <v>46291</v>
      </c>
      <c r="B58" s="1204"/>
      <c r="C58" s="37" t="s">
        <v>14</v>
      </c>
      <c r="D58" s="66"/>
      <c r="E58" s="68"/>
      <c r="F58" s="68"/>
      <c r="G58" s="506">
        <f t="shared" ref="G58:G69" si="27">(F58-E58)*1440</f>
        <v>0</v>
      </c>
      <c r="H58" s="446"/>
      <c r="I58" s="425"/>
      <c r="J58" s="426">
        <f t="shared" si="19"/>
        <v>12</v>
      </c>
      <c r="K58" s="829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03">
        <v>46292</v>
      </c>
      <c r="B59" s="1204"/>
      <c r="C59" s="37" t="s">
        <v>13</v>
      </c>
      <c r="D59" s="66"/>
      <c r="E59" s="68"/>
      <c r="F59" s="68"/>
      <c r="G59" s="506">
        <f t="shared" si="27"/>
        <v>0</v>
      </c>
      <c r="H59" s="446"/>
      <c r="I59" s="425"/>
      <c r="J59" s="426">
        <f t="shared" si="19"/>
        <v>12</v>
      </c>
      <c r="K59" s="829">
        <f t="shared" si="20"/>
        <v>1</v>
      </c>
      <c r="L59" s="6"/>
      <c r="O59" s="63"/>
      <c r="P59" s="70">
        <f>SUM(P5:P58)</f>
        <v>10327</v>
      </c>
      <c r="Q59" s="70">
        <f>SUM(Q5:Q58)</f>
        <v>331.88333333333327</v>
      </c>
      <c r="R59" s="71">
        <f>Q59/(Q59+S59)</f>
        <v>0.65849867724867728</v>
      </c>
      <c r="S59" s="67">
        <f>SUM(S5:S58)</f>
        <v>172.11666666666665</v>
      </c>
      <c r="T59" s="6"/>
    </row>
    <row r="60" spans="1:20" x14ac:dyDescent="0.3">
      <c r="A60" s="1203">
        <v>46292</v>
      </c>
      <c r="B60" s="1204"/>
      <c r="C60" s="37" t="s">
        <v>14</v>
      </c>
      <c r="D60" s="66"/>
      <c r="E60" s="68"/>
      <c r="F60" s="68"/>
      <c r="G60" s="506">
        <f t="shared" si="27"/>
        <v>0</v>
      </c>
      <c r="H60" s="446"/>
      <c r="I60" s="425"/>
      <c r="J60" s="426">
        <f t="shared" si="19"/>
        <v>12</v>
      </c>
      <c r="K60" s="829">
        <f t="shared" si="20"/>
        <v>1</v>
      </c>
      <c r="L60" s="6"/>
      <c r="O60" s="63"/>
      <c r="P60" s="72">
        <f>P59/60</f>
        <v>172.11666666666667</v>
      </c>
      <c r="Q60" s="44">
        <f>Q59/24</f>
        <v>13.828472222222219</v>
      </c>
      <c r="R60" s="973">
        <f>Q60+S60</f>
        <v>20.999999999999996</v>
      </c>
      <c r="S60" s="11">
        <f>S59/24</f>
        <v>7.1715277777777766</v>
      </c>
    </row>
    <row r="61" spans="1:20" x14ac:dyDescent="0.3">
      <c r="A61" s="1203">
        <v>46293</v>
      </c>
      <c r="B61" s="1204"/>
      <c r="C61" s="37" t="s">
        <v>13</v>
      </c>
      <c r="D61" s="66"/>
      <c r="E61" s="68"/>
      <c r="F61" s="68"/>
      <c r="G61" s="506">
        <f t="shared" si="27"/>
        <v>0</v>
      </c>
      <c r="H61" s="446"/>
      <c r="I61" s="425"/>
      <c r="J61" s="426">
        <f t="shared" si="19"/>
        <v>12</v>
      </c>
      <c r="K61" s="829">
        <f t="shared" si="20"/>
        <v>1</v>
      </c>
      <c r="L61" s="6"/>
      <c r="M61" s="44">
        <f>Q60+S60</f>
        <v>20.999999999999996</v>
      </c>
      <c r="Q61" s="11"/>
    </row>
    <row r="62" spans="1:20" x14ac:dyDescent="0.3">
      <c r="A62" s="1203">
        <v>46293</v>
      </c>
      <c r="B62" s="1204"/>
      <c r="C62" s="37" t="s">
        <v>14</v>
      </c>
      <c r="D62" s="66"/>
      <c r="E62" s="68"/>
      <c r="F62" s="68"/>
      <c r="G62" s="506">
        <f t="shared" si="27"/>
        <v>0</v>
      </c>
      <c r="H62" s="446"/>
      <c r="I62" s="425"/>
      <c r="J62" s="426">
        <f t="shared" si="19"/>
        <v>12</v>
      </c>
      <c r="K62" s="829">
        <f t="shared" si="20"/>
        <v>1</v>
      </c>
      <c r="L62" s="6"/>
      <c r="N62" s="11">
        <f>'Au Cal Leaching Tank'!K61/238</f>
        <v>12.011836377100842</v>
      </c>
      <c r="P62" s="11"/>
      <c r="S62" s="1">
        <f>9*0.7</f>
        <v>6.3</v>
      </c>
    </row>
    <row r="63" spans="1:20" x14ac:dyDescent="0.3">
      <c r="A63" s="1203">
        <v>46294</v>
      </c>
      <c r="B63" s="1204"/>
      <c r="C63" s="37" t="s">
        <v>13</v>
      </c>
      <c r="D63" s="66"/>
      <c r="E63" s="68"/>
      <c r="F63" s="68"/>
      <c r="G63" s="506">
        <f t="shared" si="27"/>
        <v>0</v>
      </c>
      <c r="H63" s="446"/>
      <c r="I63" s="425"/>
      <c r="J63" s="426">
        <f t="shared" si="19"/>
        <v>12</v>
      </c>
      <c r="K63" s="829">
        <f t="shared" si="20"/>
        <v>1</v>
      </c>
      <c r="L63" s="6"/>
      <c r="N63" s="1">
        <f>N62*234</f>
        <v>2810.7697122415971</v>
      </c>
      <c r="S63" s="1">
        <f>S62*0.8</f>
        <v>5.04</v>
      </c>
    </row>
    <row r="64" spans="1:20" x14ac:dyDescent="0.3">
      <c r="A64" s="1203">
        <v>46294</v>
      </c>
      <c r="B64" s="1204"/>
      <c r="C64" s="37" t="s">
        <v>14</v>
      </c>
      <c r="D64" s="66"/>
      <c r="E64" s="68"/>
      <c r="F64" s="68"/>
      <c r="G64" s="506">
        <f t="shared" si="27"/>
        <v>0</v>
      </c>
      <c r="H64" s="446"/>
      <c r="I64" s="425"/>
      <c r="J64" s="426">
        <f t="shared" si="19"/>
        <v>12</v>
      </c>
      <c r="K64" s="829">
        <f t="shared" si="20"/>
        <v>1</v>
      </c>
      <c r="L64" s="6"/>
      <c r="S64" s="1">
        <f>S63*0.84</f>
        <v>4.2336</v>
      </c>
    </row>
    <row r="65" spans="1:19" x14ac:dyDescent="0.3">
      <c r="A65" s="1203">
        <v>46295</v>
      </c>
      <c r="B65" s="1204"/>
      <c r="C65" s="37" t="s">
        <v>13</v>
      </c>
      <c r="D65" s="66"/>
      <c r="E65" s="68"/>
      <c r="F65" s="68"/>
      <c r="G65" s="506">
        <f t="shared" si="27"/>
        <v>0</v>
      </c>
      <c r="H65" s="446"/>
      <c r="I65" s="425"/>
      <c r="J65" s="426">
        <f t="shared" si="19"/>
        <v>12</v>
      </c>
      <c r="K65" s="829">
        <f t="shared" si="20"/>
        <v>1</v>
      </c>
      <c r="L65" s="6"/>
      <c r="S65" s="137">
        <f>S64*2400000</f>
        <v>10160640</v>
      </c>
    </row>
    <row r="66" spans="1:19" x14ac:dyDescent="0.3">
      <c r="A66" s="1203">
        <v>46295</v>
      </c>
      <c r="B66" s="1204"/>
      <c r="C66" s="37" t="s">
        <v>14</v>
      </c>
      <c r="D66" s="66"/>
      <c r="E66" s="68"/>
      <c r="F66" s="68"/>
      <c r="G66" s="506">
        <f t="shared" si="27"/>
        <v>0</v>
      </c>
      <c r="H66" s="446"/>
      <c r="I66" s="425"/>
      <c r="J66" s="426">
        <f t="shared" si="19"/>
        <v>12</v>
      </c>
      <c r="K66" s="829">
        <f t="shared" si="20"/>
        <v>1</v>
      </c>
      <c r="L66" s="6"/>
      <c r="Q66" s="2"/>
      <c r="S66" s="137">
        <f>S65*24</f>
        <v>243855360</v>
      </c>
    </row>
    <row r="67" spans="1:19" x14ac:dyDescent="0.3">
      <c r="A67" s="1203">
        <v>46296</v>
      </c>
      <c r="B67" s="1204"/>
      <c r="C67" s="37" t="s">
        <v>13</v>
      </c>
      <c r="D67" s="66"/>
      <c r="E67" s="68"/>
      <c r="F67" s="68"/>
      <c r="G67" s="506">
        <f t="shared" si="27"/>
        <v>0</v>
      </c>
      <c r="H67" s="446"/>
      <c r="I67" s="425"/>
      <c r="J67" s="426">
        <f t="shared" si="19"/>
        <v>12</v>
      </c>
      <c r="K67" s="829">
        <f t="shared" si="20"/>
        <v>1</v>
      </c>
      <c r="L67" s="6"/>
      <c r="M67" s="30"/>
    </row>
    <row r="68" spans="1:19" x14ac:dyDescent="0.3">
      <c r="A68" s="1203">
        <v>46296</v>
      </c>
      <c r="B68" s="1204"/>
      <c r="C68" s="37" t="s">
        <v>14</v>
      </c>
      <c r="D68" s="66"/>
      <c r="E68" s="68"/>
      <c r="F68" s="68"/>
      <c r="G68" s="506">
        <f t="shared" si="27"/>
        <v>0</v>
      </c>
      <c r="H68" s="446"/>
      <c r="I68" s="425"/>
      <c r="J68" s="426">
        <f t="shared" si="19"/>
        <v>12</v>
      </c>
      <c r="K68" s="829">
        <f t="shared" si="20"/>
        <v>1</v>
      </c>
      <c r="L68" s="6"/>
      <c r="S68" s="1449" t="s">
        <v>667</v>
      </c>
    </row>
    <row r="69" spans="1:19" x14ac:dyDescent="0.3">
      <c r="A69" s="1203">
        <v>46297</v>
      </c>
      <c r="B69" s="1204"/>
      <c r="C69" s="37" t="s">
        <v>13</v>
      </c>
      <c r="D69" s="66"/>
      <c r="E69" s="68"/>
      <c r="F69" s="68"/>
      <c r="G69" s="506">
        <f t="shared" si="27"/>
        <v>0</v>
      </c>
      <c r="H69" s="446"/>
      <c r="I69" s="425"/>
      <c r="J69" s="426">
        <f t="shared" si="19"/>
        <v>12</v>
      </c>
      <c r="K69" s="829">
        <f t="shared" si="20"/>
        <v>1</v>
      </c>
      <c r="L69" s="6"/>
    </row>
  </sheetData>
  <mergeCells count="99"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45:B45"/>
    <mergeCell ref="A43:B43"/>
    <mergeCell ref="A44:B44"/>
    <mergeCell ref="A48:B48"/>
    <mergeCell ref="A49:B4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74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0" activePane="bottomLeft" state="frozen"/>
      <selection pane="bottomLeft" activeCell="D19" sqref="D1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5.77734375" style="1" bestFit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45" t="s">
        <v>244</v>
      </c>
      <c r="E2" s="1246"/>
      <c r="F2" s="1246"/>
      <c r="G2" s="1246"/>
      <c r="H2" s="1246"/>
      <c r="I2" s="1246"/>
      <c r="J2" s="1246"/>
      <c r="K2" s="1246"/>
      <c r="L2" s="1246"/>
      <c r="M2" s="1246"/>
      <c r="N2" s="1246"/>
      <c r="O2" s="1246"/>
      <c r="P2" s="1246"/>
      <c r="Q2" s="1246"/>
      <c r="R2" s="1246"/>
      <c r="S2" s="1246"/>
      <c r="T2" s="1246"/>
      <c r="U2" s="1246"/>
      <c r="V2" s="1246"/>
      <c r="W2" s="1246"/>
      <c r="X2" s="1246"/>
      <c r="Y2" s="1246"/>
      <c r="Z2" s="1246"/>
      <c r="AA2" s="1246"/>
      <c r="AB2" s="1246"/>
      <c r="AC2" s="1247"/>
    </row>
    <row r="3" spans="2:62" ht="24" thickBot="1" x14ac:dyDescent="0.5">
      <c r="D3" s="1245" t="s">
        <v>198</v>
      </c>
      <c r="E3" s="1246"/>
      <c r="F3" s="1246"/>
      <c r="G3" s="1246"/>
      <c r="H3" s="1246"/>
      <c r="I3" s="1246"/>
      <c r="J3" s="1246"/>
      <c r="K3" s="1246"/>
      <c r="L3" s="1246"/>
      <c r="M3" s="1246"/>
      <c r="N3" s="1246"/>
      <c r="O3" s="1246"/>
      <c r="P3" s="1246"/>
      <c r="Q3" s="1246"/>
      <c r="R3" s="1246"/>
      <c r="S3" s="1246"/>
      <c r="T3" s="1246"/>
      <c r="U3" s="1246"/>
      <c r="V3" s="1246"/>
      <c r="W3" s="1246"/>
      <c r="X3" s="1246"/>
      <c r="Y3" s="1246"/>
      <c r="Z3" s="1246"/>
      <c r="AA3" s="1246"/>
      <c r="AB3" s="1246"/>
      <c r="AC3" s="1247"/>
      <c r="AG3" s="137"/>
    </row>
    <row r="4" spans="2:62" ht="24" thickBot="1" x14ac:dyDescent="0.5">
      <c r="D4" s="1250" t="s">
        <v>544</v>
      </c>
      <c r="E4" s="1251"/>
      <c r="F4" s="1251"/>
      <c r="G4" s="1251"/>
      <c r="H4" s="1251"/>
      <c r="I4" s="1251"/>
      <c r="J4" s="1251"/>
      <c r="K4" s="1251"/>
      <c r="L4" s="1251"/>
      <c r="M4" s="1251"/>
      <c r="N4" s="1251"/>
      <c r="O4" s="1251"/>
      <c r="P4" s="1251"/>
      <c r="Q4" s="1251"/>
      <c r="R4" s="1251"/>
      <c r="S4" s="1251"/>
      <c r="T4" s="1251"/>
      <c r="U4" s="1251"/>
      <c r="V4" s="1251"/>
      <c r="W4" s="1251"/>
      <c r="X4" s="1251"/>
      <c r="Y4" s="1251"/>
      <c r="Z4" s="1251"/>
      <c r="AA4" s="1251"/>
      <c r="AB4" s="1251"/>
      <c r="AC4" s="1252"/>
      <c r="AE4" s="430"/>
      <c r="AF4" s="2"/>
      <c r="AJ4" s="2"/>
    </row>
    <row r="5" spans="2:62" x14ac:dyDescent="0.3">
      <c r="F5" s="137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31" t="s">
        <v>260</v>
      </c>
      <c r="C7" s="206" t="s">
        <v>328</v>
      </c>
      <c r="D7" s="1231" t="s">
        <v>245</v>
      </c>
      <c r="E7" s="1231" t="s">
        <v>246</v>
      </c>
      <c r="F7" s="1231" t="s">
        <v>247</v>
      </c>
      <c r="G7" s="1231" t="s">
        <v>248</v>
      </c>
      <c r="H7" s="1231" t="s">
        <v>249</v>
      </c>
      <c r="I7" s="1248" t="s">
        <v>145</v>
      </c>
      <c r="J7" s="1231" t="s">
        <v>251</v>
      </c>
      <c r="K7" s="1238" t="s">
        <v>250</v>
      </c>
      <c r="L7" s="225" t="s">
        <v>250</v>
      </c>
      <c r="M7" s="1238" t="s">
        <v>296</v>
      </c>
      <c r="N7" s="225" t="s">
        <v>293</v>
      </c>
      <c r="O7" s="225" t="s">
        <v>454</v>
      </c>
      <c r="P7" s="225" t="s">
        <v>456</v>
      </c>
      <c r="Q7" s="225" t="s">
        <v>459</v>
      </c>
      <c r="R7" s="206" t="s">
        <v>283</v>
      </c>
      <c r="S7" s="1231" t="s">
        <v>252</v>
      </c>
      <c r="T7" s="206" t="s">
        <v>305</v>
      </c>
      <c r="U7" s="1231" t="s">
        <v>261</v>
      </c>
      <c r="V7" s="1231"/>
      <c r="W7" s="1231"/>
      <c r="X7" s="1163" t="s">
        <v>263</v>
      </c>
      <c r="Y7" s="1163"/>
      <c r="Z7" s="1163"/>
      <c r="AA7" s="1231" t="s">
        <v>270</v>
      </c>
      <c r="AB7" s="1231" t="s">
        <v>291</v>
      </c>
      <c r="AC7" s="1163" t="s">
        <v>257</v>
      </c>
      <c r="AD7" s="1163"/>
      <c r="AE7" s="1163"/>
      <c r="AF7" s="1163"/>
      <c r="AG7" s="1163"/>
      <c r="AH7" s="1163"/>
      <c r="AI7" s="1163" t="s">
        <v>267</v>
      </c>
      <c r="AJ7" s="1163"/>
      <c r="AK7" s="1163"/>
      <c r="AL7" s="1163" t="s">
        <v>268</v>
      </c>
      <c r="AM7" s="1163"/>
      <c r="AN7" s="1163"/>
      <c r="AO7" s="132"/>
      <c r="AP7" s="249" t="s">
        <v>334</v>
      </c>
      <c r="AQ7" s="1232" t="s">
        <v>274</v>
      </c>
      <c r="AR7" s="1233"/>
      <c r="AS7" s="1234"/>
      <c r="AT7" s="227"/>
      <c r="AU7" s="1238" t="s">
        <v>303</v>
      </c>
      <c r="AV7" s="1163" t="s">
        <v>300</v>
      </c>
      <c r="AW7" s="1163"/>
      <c r="AX7" s="1163"/>
      <c r="AY7" s="132" t="s">
        <v>294</v>
      </c>
      <c r="AZ7" s="1163" t="s">
        <v>278</v>
      </c>
      <c r="BA7" s="1163"/>
      <c r="BB7" s="1163"/>
    </row>
    <row r="8" spans="2:62" x14ac:dyDescent="0.3">
      <c r="B8" s="1231"/>
      <c r="C8" s="206" t="s">
        <v>297</v>
      </c>
      <c r="D8" s="1231"/>
      <c r="E8" s="1231"/>
      <c r="F8" s="1231"/>
      <c r="G8" s="1231"/>
      <c r="H8" s="1231"/>
      <c r="I8" s="1248"/>
      <c r="J8" s="1231"/>
      <c r="K8" s="1249"/>
      <c r="L8" s="226" t="s">
        <v>318</v>
      </c>
      <c r="M8" s="1249"/>
      <c r="N8" s="226" t="s">
        <v>55</v>
      </c>
      <c r="O8" s="226" t="s">
        <v>455</v>
      </c>
      <c r="P8" s="226" t="s">
        <v>457</v>
      </c>
      <c r="Q8" s="226" t="s">
        <v>460</v>
      </c>
      <c r="R8" s="206" t="s">
        <v>284</v>
      </c>
      <c r="S8" s="1231"/>
      <c r="T8" s="206" t="s">
        <v>185</v>
      </c>
      <c r="U8" s="1231" t="s">
        <v>262</v>
      </c>
      <c r="V8" s="1231"/>
      <c r="W8" s="1231"/>
      <c r="X8" s="1163" t="s">
        <v>473</v>
      </c>
      <c r="Y8" s="1163"/>
      <c r="Z8" s="1163"/>
      <c r="AA8" s="1231"/>
      <c r="AB8" s="1231"/>
      <c r="AC8" s="1163" t="s">
        <v>264</v>
      </c>
      <c r="AD8" s="1163"/>
      <c r="AE8" s="1163"/>
      <c r="AF8" s="1163" t="s">
        <v>265</v>
      </c>
      <c r="AG8" s="1163"/>
      <c r="AH8" s="1163"/>
      <c r="AI8" s="1163" t="s">
        <v>266</v>
      </c>
      <c r="AJ8" s="1163"/>
      <c r="AK8" s="1163"/>
      <c r="AL8" s="1163" t="s">
        <v>258</v>
      </c>
      <c r="AM8" s="1163"/>
      <c r="AN8" s="1163"/>
      <c r="AO8" s="132" t="s">
        <v>259</v>
      </c>
      <c r="AP8" s="250" t="s">
        <v>295</v>
      </c>
      <c r="AQ8" s="1235"/>
      <c r="AR8" s="1236"/>
      <c r="AS8" s="1237"/>
      <c r="AT8" s="227" t="s">
        <v>302</v>
      </c>
      <c r="AU8" s="1239"/>
      <c r="AV8" s="1163" t="s">
        <v>262</v>
      </c>
      <c r="AW8" s="1163"/>
      <c r="AX8" s="1163"/>
      <c r="AY8" s="132" t="s">
        <v>295</v>
      </c>
      <c r="AZ8" s="1163" t="s">
        <v>41</v>
      </c>
      <c r="BA8" s="1163"/>
      <c r="BB8" s="1163"/>
    </row>
    <row r="9" spans="2:62" x14ac:dyDescent="0.3">
      <c r="B9" s="1231"/>
      <c r="C9" s="206" t="s">
        <v>298</v>
      </c>
      <c r="D9" s="1231"/>
      <c r="E9" s="1231"/>
      <c r="F9" s="1231"/>
      <c r="G9" s="1231"/>
      <c r="H9" s="1231"/>
      <c r="I9" s="1248"/>
      <c r="J9" s="1231"/>
      <c r="K9" s="1239"/>
      <c r="L9" s="205" t="s">
        <v>317</v>
      </c>
      <c r="M9" s="1239"/>
      <c r="N9" s="205" t="s">
        <v>71</v>
      </c>
      <c r="O9" s="205"/>
      <c r="P9" s="205" t="s">
        <v>458</v>
      </c>
      <c r="Q9" s="205" t="s">
        <v>458</v>
      </c>
      <c r="R9" s="206" t="s">
        <v>285</v>
      </c>
      <c r="S9" s="1231"/>
      <c r="T9" s="206" t="s">
        <v>306</v>
      </c>
      <c r="U9" s="206" t="s">
        <v>254</v>
      </c>
      <c r="V9" s="206" t="s">
        <v>255</v>
      </c>
      <c r="W9" s="206" t="s">
        <v>256</v>
      </c>
      <c r="X9" s="132" t="s">
        <v>254</v>
      </c>
      <c r="Y9" s="132" t="s">
        <v>255</v>
      </c>
      <c r="Z9" s="132" t="s">
        <v>256</v>
      </c>
      <c r="AA9" s="1231"/>
      <c r="AB9" s="1231"/>
      <c r="AC9" s="132" t="s">
        <v>254</v>
      </c>
      <c r="AD9" s="132" t="s">
        <v>255</v>
      </c>
      <c r="AE9" s="132" t="s">
        <v>256</v>
      </c>
      <c r="AF9" s="132" t="s">
        <v>254</v>
      </c>
      <c r="AG9" s="132" t="s">
        <v>255</v>
      </c>
      <c r="AH9" s="132" t="s">
        <v>256</v>
      </c>
      <c r="AI9" s="132" t="s">
        <v>254</v>
      </c>
      <c r="AJ9" s="132" t="s">
        <v>255</v>
      </c>
      <c r="AK9" s="132" t="s">
        <v>256</v>
      </c>
      <c r="AL9" s="132" t="s">
        <v>254</v>
      </c>
      <c r="AM9" s="132" t="s">
        <v>255</v>
      </c>
      <c r="AN9" s="132" t="s">
        <v>256</v>
      </c>
      <c r="AO9" s="132" t="s">
        <v>254</v>
      </c>
      <c r="AP9" s="132" t="s">
        <v>71</v>
      </c>
      <c r="AQ9" s="132" t="s">
        <v>254</v>
      </c>
      <c r="AR9" s="132" t="s">
        <v>255</v>
      </c>
      <c r="AS9" s="132" t="s">
        <v>256</v>
      </c>
      <c r="AT9" s="227"/>
      <c r="AU9" s="132" t="s">
        <v>304</v>
      </c>
      <c r="AV9" s="132" t="s">
        <v>254</v>
      </c>
      <c r="AW9" s="132" t="s">
        <v>255</v>
      </c>
      <c r="AX9" s="132" t="s">
        <v>256</v>
      </c>
      <c r="AY9" s="132" t="s">
        <v>71</v>
      </c>
      <c r="AZ9" s="132" t="s">
        <v>254</v>
      </c>
      <c r="BA9" s="132" t="s">
        <v>255</v>
      </c>
      <c r="BB9" s="132" t="s">
        <v>256</v>
      </c>
      <c r="BD9" s="13"/>
      <c r="BE9" s="13"/>
      <c r="BF9" s="13"/>
      <c r="BG9" s="13"/>
    </row>
    <row r="10" spans="2:62" s="630" customFormat="1" x14ac:dyDescent="0.3">
      <c r="B10" s="497">
        <v>1</v>
      </c>
      <c r="C10" s="481">
        <f>SUM('Milling and Leach Feed_OLD'!P5:P8)</f>
        <v>45.333333333333329</v>
      </c>
      <c r="D10" s="497">
        <v>2</v>
      </c>
      <c r="E10" s="648">
        <v>46266</v>
      </c>
      <c r="F10" s="835">
        <v>0.25</v>
      </c>
      <c r="G10" s="648">
        <v>46268</v>
      </c>
      <c r="H10" s="835">
        <v>0.79166666666666663</v>
      </c>
      <c r="I10" s="497">
        <v>557</v>
      </c>
      <c r="J10" s="496">
        <v>0.41</v>
      </c>
      <c r="K10" s="481">
        <f t="shared" ref="K10:K18" si="0">J10*I10*M10</f>
        <v>292.31359999999995</v>
      </c>
      <c r="L10" s="481"/>
      <c r="M10" s="497">
        <v>1.28</v>
      </c>
      <c r="N10" s="497">
        <v>2</v>
      </c>
      <c r="O10" s="496">
        <v>0.39900000000000002</v>
      </c>
      <c r="P10" s="497">
        <v>1.2649999999999999</v>
      </c>
      <c r="Q10" s="481">
        <v>107.85</v>
      </c>
      <c r="R10" s="481">
        <f t="shared" ref="R10:R15" si="1">Q10*P10*O10</f>
        <v>54.435669749999995</v>
      </c>
      <c r="S10" s="481">
        <f t="shared" ref="S10:S15" si="2">K10*((1-J10)/J10)</f>
        <v>420.64640000000003</v>
      </c>
      <c r="T10" s="481">
        <f>K10</f>
        <v>292.31359999999995</v>
      </c>
      <c r="U10" s="836">
        <f>AVERAGE('Milling and Leach Feed_OLD'!T5:T8)</f>
        <v>0.70799999999999996</v>
      </c>
      <c r="V10" s="836">
        <f>AVERAGE('Milling and Leach Feed_OLD'!U5:U8)</f>
        <v>0.53525</v>
      </c>
      <c r="W10" s="836">
        <f>AVERAGE('Milling and Leach Feed_OLD'!V5:V8)</f>
        <v>7.2224166666666676</v>
      </c>
      <c r="X10" s="836">
        <f>SUM('Milling and Leach Feed_OLD'!W5:W8)/'Au Cal Leaching Tank'!K10</f>
        <v>0.65897435796966009</v>
      </c>
      <c r="Y10" s="836">
        <f>SUM('Milling and Leach Feed_OLD'!X5:X8)/'Au Cal Leaching Tank'!K10</f>
        <v>0.56643603797540276</v>
      </c>
      <c r="Z10" s="836">
        <f>SUM('Milling and Leach Feed_OLD'!Y5:Y8)/'Au Cal Leaching Tank'!K10</f>
        <v>7.4363798214475381</v>
      </c>
      <c r="AA10" s="837">
        <f>U10-X10</f>
        <v>4.9025642030339878E-2</v>
      </c>
      <c r="AB10" s="838">
        <f>((U10-X10)/(U10+X10)/2)</f>
        <v>1.7932173249817464E-2</v>
      </c>
      <c r="AC10" s="836">
        <f>'LT Floculation'!G6</f>
        <v>0.11299999999999999</v>
      </c>
      <c r="AD10" s="836">
        <v>0.17</v>
      </c>
      <c r="AE10" s="836">
        <v>6.55</v>
      </c>
      <c r="AF10" s="497">
        <v>0.02</v>
      </c>
      <c r="AG10" s="628"/>
      <c r="AH10" s="628"/>
      <c r="AI10" s="481">
        <f>U10*$K$10</f>
        <v>206.95802879999997</v>
      </c>
      <c r="AJ10" s="481">
        <f t="shared" ref="AJ10" si="3">Y10*$K$10</f>
        <v>165.57695743032667</v>
      </c>
      <c r="AK10" s="481">
        <f>Z10*$K$10</f>
        <v>2173.7549565746867</v>
      </c>
      <c r="AL10" s="481">
        <f>AC10*K10</f>
        <v>33.031436799999994</v>
      </c>
      <c r="AM10" s="481">
        <f>AD10*K10</f>
        <v>49.693311999999999</v>
      </c>
      <c r="AN10" s="481">
        <f>AE10*K10</f>
        <v>1914.6540799999996</v>
      </c>
      <c r="AO10" s="481">
        <f>AF10*S10</f>
        <v>8.4129280000000008</v>
      </c>
      <c r="AP10" s="481">
        <v>1</v>
      </c>
      <c r="AQ10" s="838">
        <f>((AI10-(AL10+AO10))/AI10)</f>
        <v>0.79974507372192372</v>
      </c>
      <c r="AR10" s="838">
        <f t="shared" ref="AR10" si="4">((AJ10-AM10)/AJ10)*0.95</f>
        <v>0.66488396010740214</v>
      </c>
      <c r="AS10" s="838">
        <f>((AK10-AN10)/AK10)*0.95</f>
        <v>0.11323531753267131</v>
      </c>
      <c r="AT10" s="839">
        <v>2</v>
      </c>
      <c r="AU10" s="840">
        <v>1</v>
      </c>
      <c r="AV10" s="481">
        <f>AZ10/$AU10</f>
        <v>165.51366399999998</v>
      </c>
      <c r="AW10" s="481">
        <f t="shared" ref="AW10:AX11" si="5">BA10/$AU10</f>
        <v>115.88364543032668</v>
      </c>
      <c r="AX10" s="481">
        <f t="shared" si="5"/>
        <v>259.10087657468716</v>
      </c>
      <c r="AY10" s="481">
        <v>1</v>
      </c>
      <c r="AZ10" s="481">
        <f>(AI10-AL10-AO10)</f>
        <v>165.51366399999998</v>
      </c>
      <c r="BA10" s="481">
        <f>(AJ10-AM10)</f>
        <v>115.88364543032668</v>
      </c>
      <c r="BB10" s="481">
        <f>(AK10-AN10)</f>
        <v>259.10087657468716</v>
      </c>
      <c r="BD10" s="841"/>
      <c r="BE10" s="842"/>
      <c r="BF10" s="842"/>
      <c r="BG10" s="842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4">
        <f>AVERAGE('Milling and Leach Feed_OLD'!T9:T11)</f>
        <v>0.68400000000000005</v>
      </c>
      <c r="V11" s="134">
        <f>AVERAGE('Milling and Leach Feed_OLD'!U9:U11)</f>
        <v>0.79333333333333333</v>
      </c>
      <c r="W11" s="134">
        <f>AVERAGE('Milling and Leach Feed_OLD'!V9:V11)</f>
        <v>9.051111111111112</v>
      </c>
      <c r="X11" s="134">
        <f>SUM('Milling and Leach Feed_OLD'!W9:W11)/'Au Cal Leaching Tank'!$K$11</f>
        <v>0.68534607973810646</v>
      </c>
      <c r="Y11" s="134">
        <f>SUM('Milling and Leach Feed_OLD'!X9:X11)/'Au Cal Leaching Tank'!$K$11</f>
        <v>0.79554044142084002</v>
      </c>
      <c r="Z11" s="134">
        <f>SUM('Milling and Leach Feed_OLD'!Y9:Y11)/'Au Cal Leaching Tank'!$K$11</f>
        <v>9.1008204118170912</v>
      </c>
      <c r="AA11" s="241">
        <f>X11-U11</f>
        <v>1.3460797381064094E-3</v>
      </c>
      <c r="AB11" s="39">
        <f>((X11-U11)/(X11+U11)/2)</f>
        <v>4.9150457945731766E-4</v>
      </c>
      <c r="AC11" s="134">
        <f>'LT Floculation'!G7</f>
        <v>5.5749999999999994E-2</v>
      </c>
      <c r="AD11" s="134">
        <f>'LT Floculation'!H7</f>
        <v>0.25</v>
      </c>
      <c r="AE11" s="134">
        <f>'LT Floculation'!I7</f>
        <v>8.3524999999999991</v>
      </c>
      <c r="AF11" s="427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2">
        <v>3</v>
      </c>
      <c r="AU11" s="441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0" customFormat="1" x14ac:dyDescent="0.3">
      <c r="B12" s="497">
        <v>3</v>
      </c>
      <c r="C12" s="481">
        <f>SUM('Milling and Leach Feed_OLD'!P16:P19)</f>
        <v>47.333333333333329</v>
      </c>
      <c r="D12" s="497">
        <v>2</v>
      </c>
      <c r="E12" s="648">
        <v>46272</v>
      </c>
      <c r="F12" s="835">
        <v>0.91666666666666663</v>
      </c>
      <c r="G12" s="648">
        <v>46274</v>
      </c>
      <c r="H12" s="835">
        <v>0.41666666666666669</v>
      </c>
      <c r="I12" s="497">
        <v>647</v>
      </c>
      <c r="J12" s="496">
        <v>0.45</v>
      </c>
      <c r="K12" s="481">
        <f t="shared" si="0"/>
        <v>381.40650000000005</v>
      </c>
      <c r="L12" s="481">
        <f>K12-R10</f>
        <v>326.97083025000006</v>
      </c>
      <c r="M12" s="497">
        <v>1.31</v>
      </c>
      <c r="N12" s="497">
        <v>2</v>
      </c>
      <c r="O12" s="496">
        <v>0.44</v>
      </c>
      <c r="P12" s="497">
        <v>1.3</v>
      </c>
      <c r="Q12" s="481">
        <v>107.85</v>
      </c>
      <c r="R12" s="481">
        <f t="shared" si="1"/>
        <v>61.69019999999999</v>
      </c>
      <c r="S12" s="481">
        <f t="shared" si="2"/>
        <v>466.16350000000011</v>
      </c>
      <c r="T12" s="481">
        <f>L12+T11</f>
        <v>919.42658025000003</v>
      </c>
      <c r="U12" s="836">
        <f>AVERAGE('Milling and Leach Feed_OLD'!T16:T18)</f>
        <v>0.93455555555555547</v>
      </c>
      <c r="V12" s="836">
        <f>AVERAGE('Milling and Leach Feed_OLD'!U16:U18)</f>
        <v>0.65888888888888886</v>
      </c>
      <c r="W12" s="836">
        <f>AVERAGE('Milling and Leach Feed_OLD'!V16:V18)</f>
        <v>9.0688888888888908</v>
      </c>
      <c r="X12" s="836">
        <f>SUM('Milling and Leach Feed_OLD'!W16:W19)/'Au Cal Leaching Tank'!$L$12</f>
        <v>0.88874983310558886</v>
      </c>
      <c r="Y12" s="836">
        <f>SUM('Milling and Leach Feed_OLD'!X16:X18)/'Au Cal Leaching Tank'!$L$12</f>
        <v>0.38757072090021194</v>
      </c>
      <c r="Z12" s="836">
        <f>SUM('Milling and Leach Feed_OLD'!Y16:Y18)/'Au Cal Leaching Tank'!$L$12</f>
        <v>5.6910690955920016</v>
      </c>
      <c r="AA12" s="837">
        <f>U12-X12</f>
        <v>4.5805722449966613E-2</v>
      </c>
      <c r="AB12" s="838">
        <f>((U12-X12)/(U12+X12)/2)</f>
        <v>1.2561176732879022E-2</v>
      </c>
      <c r="AC12" s="836">
        <f>'LT Floculation'!G8</f>
        <v>9.816666666666668E-2</v>
      </c>
      <c r="AD12" s="836">
        <f>'LT Floculation'!H8</f>
        <v>0.23333333333333331</v>
      </c>
      <c r="AE12" s="836">
        <f>'LT Floculation'!I8</f>
        <v>8.9633333333333329</v>
      </c>
      <c r="AF12" s="497">
        <v>2.3E-2</v>
      </c>
      <c r="AG12" s="628"/>
      <c r="AH12" s="628"/>
      <c r="AI12" s="481">
        <f>$L12*U12</f>
        <v>305.57240591475005</v>
      </c>
      <c r="AJ12" s="481">
        <f t="shared" ref="AJ12:AK12" si="10">$L12*V12</f>
        <v>215.43744704250003</v>
      </c>
      <c r="AK12" s="481">
        <f t="shared" si="10"/>
        <v>2965.2621294450014</v>
      </c>
      <c r="AL12" s="481">
        <f>AC12*$L12</f>
        <v>32.097636502875012</v>
      </c>
      <c r="AM12" s="481">
        <f>AD12*$L12</f>
        <v>76.293193725000009</v>
      </c>
      <c r="AN12" s="481">
        <f>AE12*$L12</f>
        <v>2930.7485418075003</v>
      </c>
      <c r="AO12" s="481">
        <f t="shared" ref="AO12:AO17" si="11">AF12*S12</f>
        <v>10.721760500000002</v>
      </c>
      <c r="AP12" s="481">
        <v>3</v>
      </c>
      <c r="AQ12" s="838">
        <f>IFERROR(((AI12-(AL12+AO12))/AI12),"")</f>
        <v>0.85987151924044825</v>
      </c>
      <c r="AR12" s="838">
        <f>IFERROR((AJ12-AM12)/AJ12,"")</f>
        <v>0.64586846543001686</v>
      </c>
      <c r="AS12" s="838">
        <f>IFERROR((AK12-AN12)/AK12,"")</f>
        <v>1.1639304092134657E-2</v>
      </c>
      <c r="AT12" s="839">
        <v>2</v>
      </c>
      <c r="AU12" s="843">
        <v>1</v>
      </c>
      <c r="AV12" s="481">
        <f>(AZ10+AZ12)/AU12</f>
        <v>428.26667291187505</v>
      </c>
      <c r="AW12" s="481">
        <f>(BA10+BA12)/AU12</f>
        <v>255.0278987478267</v>
      </c>
      <c r="AX12" s="844">
        <f>(AX10+BB12)/AU12</f>
        <v>293.6144642121883</v>
      </c>
      <c r="AY12" s="844">
        <v>3</v>
      </c>
      <c r="AZ12" s="481">
        <f>(AI12-AL12-AO12)</f>
        <v>262.75300891187504</v>
      </c>
      <c r="BA12" s="481">
        <f t="shared" ref="BA12:BA13" si="12">(AJ12-AM12)</f>
        <v>139.14425331750002</v>
      </c>
      <c r="BB12" s="481">
        <f t="shared" ref="BB12:BB13" si="13">(AK12-AN12)</f>
        <v>34.513587637501132</v>
      </c>
      <c r="BD12" s="845"/>
      <c r="BE12" s="845"/>
      <c r="BF12" s="845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4">
        <f>AVERAGE('Milling and Leach Feed_OLD'!T16:T19)</f>
        <v>0.92891666666666661</v>
      </c>
      <c r="V13" s="134">
        <f>AVERAGE('Milling and Leach Feed_OLD'!U16:U19)</f>
        <v>0.73249999999999993</v>
      </c>
      <c r="W13" s="134">
        <f>AVERAGE('Milling and Leach Feed_OLD'!V16:V19)</f>
        <v>9.1508333333333347</v>
      </c>
      <c r="X13" s="134">
        <f>SUM('Milling and Leach Feed_OLD'!W16:W19)/'Au Cal Leaching Tank'!$L$12</f>
        <v>0.88874983310558886</v>
      </c>
      <c r="Y13" s="134">
        <f>SUM('Milling and Leach Feed_OLD'!X16:X19)/'Au Cal Leaching Tank'!$L$12</f>
        <v>0.7588265907500884</v>
      </c>
      <c r="Z13" s="134">
        <f>SUM('Milling and Leach Feed_OLD'!Y16:Y19)/'Au Cal Leaching Tank'!$L$12</f>
        <v>9.3504057987626368</v>
      </c>
      <c r="AA13" s="241">
        <f>U13-X13</f>
        <v>4.0166833561077753E-2</v>
      </c>
      <c r="AB13" s="39">
        <f>((U13-X13)/(U13+X13)/2)</f>
        <v>1.1049010796565392E-2</v>
      </c>
      <c r="AC13" s="134">
        <f>'LT Floculation'!G9</f>
        <v>0.10916666666666668</v>
      </c>
      <c r="AD13" s="134">
        <f>'LT Floculation'!H9</f>
        <v>0.24</v>
      </c>
      <c r="AE13" s="134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2">
        <v>3</v>
      </c>
      <c r="AU13" s="442">
        <v>1</v>
      </c>
      <c r="AV13" s="40">
        <f>(AZ11+AZ13)/AU13</f>
        <v>421.23068446249999</v>
      </c>
      <c r="AW13" s="40">
        <f>(AZ11+AZ13)/AU13</f>
        <v>421.23068446249999</v>
      </c>
      <c r="AX13" s="242">
        <f>(BA11+BA13)/AU13</f>
        <v>319.16787008333336</v>
      </c>
      <c r="AY13" s="242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03" customFormat="1" x14ac:dyDescent="0.3">
      <c r="B14" s="497">
        <v>5</v>
      </c>
      <c r="C14" s="481">
        <f>SUM('Milling and Leach Feed_OLD'!P25:P27)</f>
        <v>26.016666666666666</v>
      </c>
      <c r="D14" s="497">
        <v>2</v>
      </c>
      <c r="E14" s="648">
        <v>46276</v>
      </c>
      <c r="F14" s="835">
        <v>0.43263888888888891</v>
      </c>
      <c r="G14" s="648">
        <v>46277</v>
      </c>
      <c r="H14" s="835">
        <v>0.29166666666666669</v>
      </c>
      <c r="I14" s="497">
        <v>647</v>
      </c>
      <c r="J14" s="496">
        <v>0.4</v>
      </c>
      <c r="K14" s="481">
        <f t="shared" si="0"/>
        <v>328.67600000000004</v>
      </c>
      <c r="L14" s="481">
        <f>K14-R12</f>
        <v>266.98580000000004</v>
      </c>
      <c r="M14" s="497">
        <v>1.27</v>
      </c>
      <c r="N14" s="497">
        <v>2</v>
      </c>
      <c r="O14" s="496">
        <v>0.41</v>
      </c>
      <c r="P14" s="497">
        <v>1.28</v>
      </c>
      <c r="Q14" s="481">
        <f>$Q$10</f>
        <v>107.85</v>
      </c>
      <c r="R14" s="481">
        <f t="shared" si="1"/>
        <v>56.599679999999999</v>
      </c>
      <c r="S14" s="481">
        <f t="shared" si="2"/>
        <v>493.01400000000001</v>
      </c>
      <c r="T14" s="481">
        <f>T13+L14</f>
        <v>1503.3476802499999</v>
      </c>
      <c r="U14" s="836">
        <f>AVERAGE('Milling and Leach Feed_OLD'!T25:T27)</f>
        <v>0.58733333333333337</v>
      </c>
      <c r="V14" s="836">
        <f>AVERAGE('Milling and Leach Feed_OLD'!U25:U27)</f>
        <v>0.49666666666666665</v>
      </c>
      <c r="W14" s="836">
        <f>AVERAGE('Milling and Leach Feed_OLD'!V25:V27)</f>
        <v>9.0411111111111087</v>
      </c>
      <c r="X14" s="836">
        <f>SUM('Milling and Leach Feed_OLD'!W25:W27)/'Au Cal Leaching Tank'!$L$14</f>
        <v>0.61464225438206821</v>
      </c>
      <c r="Y14" s="836">
        <f>SUM('Milling and Leach Feed_OLD'!X25:X27)/'Au Cal Leaching Tank'!$L$14</f>
        <v>0.52218902278697976</v>
      </c>
      <c r="Z14" s="836">
        <f>SUM('Milling and Leach Feed_OLD'!Y25:Y27)/'Au Cal Leaching Tank'!$L$14</f>
        <v>8.950932119486005</v>
      </c>
      <c r="AA14" s="836">
        <f>X14-U14</f>
        <v>2.7308921048734836E-2</v>
      </c>
      <c r="AB14" s="838">
        <f>((X14-U14)/(X14+U14)/2)</f>
        <v>1.1360014848821088E-2</v>
      </c>
      <c r="AC14" s="836">
        <f>AVERAGE('LT Floculation'!R28:R33)</f>
        <v>0.12466666666666666</v>
      </c>
      <c r="AD14" s="836">
        <f>AVERAGE('LT Floculation'!S28:S33)</f>
        <v>0.37833333333333335</v>
      </c>
      <c r="AE14" s="836">
        <f>AVERAGE('LT Floculation'!T28:T33)</f>
        <v>7.5183333333333335</v>
      </c>
      <c r="AF14" s="497">
        <v>2.5999999999999999E-2</v>
      </c>
      <c r="AG14" s="497"/>
      <c r="AH14" s="497"/>
      <c r="AI14" s="481">
        <f t="shared" si="14"/>
        <v>156.80965986666669</v>
      </c>
      <c r="AJ14" s="481">
        <f t="shared" si="15"/>
        <v>132.60294733333336</v>
      </c>
      <c r="AK14" s="481">
        <f t="shared" si="16"/>
        <v>2413.8482828888887</v>
      </c>
      <c r="AL14" s="481">
        <f>AC14*$L14</f>
        <v>33.284229733333341</v>
      </c>
      <c r="AM14" s="481">
        <f t="shared" si="17"/>
        <v>101.00962766666669</v>
      </c>
      <c r="AN14" s="481">
        <f t="shared" si="17"/>
        <v>2007.2882396666671</v>
      </c>
      <c r="AO14" s="481">
        <f>AF14*S14</f>
        <v>12.818363999999999</v>
      </c>
      <c r="AP14" s="481">
        <v>5</v>
      </c>
      <c r="AQ14" s="838">
        <f t="shared" si="18"/>
        <v>0.70599646876006361</v>
      </c>
      <c r="AR14" s="838">
        <f t="shared" si="19"/>
        <v>0.23825503355704697</v>
      </c>
      <c r="AS14" s="838">
        <f t="shared" si="20"/>
        <v>0.16842816762934718</v>
      </c>
      <c r="AT14" s="839">
        <v>2</v>
      </c>
      <c r="AU14" s="846">
        <v>1.5</v>
      </c>
      <c r="AV14" s="481">
        <f>(AZ10+AZ12+AZ14)/AU14</f>
        <v>359.31582603013891</v>
      </c>
      <c r="AW14" s="481">
        <f>(BA10+BA12+BA14)/AU14</f>
        <v>191.08081227632888</v>
      </c>
      <c r="AX14" s="481">
        <f>(BB10+BB12+BB14)/AU14</f>
        <v>466.78300495627326</v>
      </c>
      <c r="AY14" s="481">
        <v>5</v>
      </c>
      <c r="AZ14" s="481">
        <f t="shared" si="8"/>
        <v>110.70706613333334</v>
      </c>
      <c r="BA14" s="481">
        <f t="shared" ref="BA14" si="21">(AJ14-AM14)</f>
        <v>31.593319666666673</v>
      </c>
      <c r="BB14" s="481">
        <f t="shared" ref="BB14" si="22">(AK14-AN14)</f>
        <v>406.56004322222157</v>
      </c>
      <c r="BD14" s="845"/>
      <c r="BE14" s="845"/>
      <c r="BF14" s="845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4">
        <f>AVERAGE('Milling and Leach Feed_OLD'!T28:T31)</f>
        <v>0.57608333333333328</v>
      </c>
      <c r="V15" s="134">
        <f>AVERAGE('Milling and Leach Feed_OLD'!U28:U31)</f>
        <v>0.66833333333333333</v>
      </c>
      <c r="W15" s="134">
        <f>AVERAGE('Milling and Leach Feed_OLD'!V28:V31)</f>
        <v>7.58</v>
      </c>
      <c r="X15" s="134">
        <f>SUM('Milling and Leach Feed_OLD'!W28:W31)/'Au Cal Leaching Tank'!$L$15</f>
        <v>0.54176542927289517</v>
      </c>
      <c r="Y15" s="134">
        <f>SUM('Milling and Leach Feed_OLD'!X28:X31)/'Au Cal Leaching Tank'!$L$15</f>
        <v>0.65241771617708166</v>
      </c>
      <c r="Z15" s="134">
        <f>SUM('Milling and Leach Feed_OLD'!Y28:Y31)/'Au Cal Leaching Tank'!$L$15</f>
        <v>7.4477693202706341</v>
      </c>
      <c r="AA15" s="134">
        <f>U15-X15</f>
        <v>3.4317904060438109E-2</v>
      </c>
      <c r="AB15" s="39">
        <f>((U15-X15)/(U15+X15)/2)</f>
        <v>1.5349976315412749E-2</v>
      </c>
      <c r="AC15" s="134">
        <f>'LT Floculation'!G11</f>
        <v>4.3500000000000004E-2</v>
      </c>
      <c r="AD15" s="134">
        <f>'LT Floculation'!H11</f>
        <v>0.23799999999999999</v>
      </c>
      <c r="AE15" s="134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2">
        <v>3</v>
      </c>
      <c r="AU15" s="650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0" customFormat="1" x14ac:dyDescent="0.3">
      <c r="B16" s="497">
        <v>7</v>
      </c>
      <c r="C16" s="481">
        <f>SUM('Milling and Leach Feed'!P35:P37)-4.5</f>
        <v>29.5</v>
      </c>
      <c r="D16" s="497">
        <v>2</v>
      </c>
      <c r="E16" s="648">
        <v>46281</v>
      </c>
      <c r="F16" s="835">
        <v>0.10416666666666667</v>
      </c>
      <c r="G16" s="648">
        <v>46282</v>
      </c>
      <c r="H16" s="835">
        <v>0.70833333333333337</v>
      </c>
      <c r="I16" s="481">
        <v>754.9</v>
      </c>
      <c r="J16" s="496">
        <v>0.33</v>
      </c>
      <c r="K16" s="481">
        <f t="shared" si="0"/>
        <v>302.67715500000003</v>
      </c>
      <c r="L16" s="481">
        <f>K16-R14</f>
        <v>246.07747500000002</v>
      </c>
      <c r="M16" s="497">
        <v>1.2150000000000001</v>
      </c>
      <c r="N16" s="497">
        <v>2</v>
      </c>
      <c r="O16" s="496">
        <v>0.33</v>
      </c>
      <c r="P16" s="497">
        <v>1.21</v>
      </c>
      <c r="Q16" s="481">
        <f>$Q$10</f>
        <v>107.85</v>
      </c>
      <c r="R16" s="481">
        <f>Q16*P16*O16</f>
        <v>43.064504999999997</v>
      </c>
      <c r="S16" s="481">
        <f t="shared" ref="S16:S63" si="30">IFERROR(K16*((1-J16)/J16),"")</f>
        <v>614.52634499999988</v>
      </c>
      <c r="T16" s="481">
        <f>T15+L16</f>
        <v>2026.46206775</v>
      </c>
      <c r="U16" s="836">
        <f>AVERAGE('LT Ball Mill'!F67:F75)</f>
        <v>0.53555555555555556</v>
      </c>
      <c r="V16" s="836">
        <f>AVERAGE('LT Ball Mill'!G67:G75)</f>
        <v>0.53555555555555556</v>
      </c>
      <c r="W16" s="836">
        <f>AVERAGE('LT Ball Mill'!H67:H75)</f>
        <v>9.8144444444444439</v>
      </c>
      <c r="X16" s="836">
        <f>SUM('Milling and Leach Feed'!W35:W37)/'Au Cal Leaching Tank'!$L$16</f>
        <v>0.53551430920996723</v>
      </c>
      <c r="Y16" s="836">
        <f>SUM('Milling and Leach Feed'!X35:X37)/'Au Cal Leaching Tank'!$L$16</f>
        <v>0.53535747175133896</v>
      </c>
      <c r="Z16" s="836">
        <f>SUM('Milling and Leach Feed'!Y35:Y37)/'Au Cal Leaching Tank'!$L$16</f>
        <v>9.8379070566382776</v>
      </c>
      <c r="AA16" s="836">
        <f>U16-X16</f>
        <v>4.1246345588330513E-5</v>
      </c>
      <c r="AB16" s="838">
        <f>((U16-X16)/(U16+X16)/2)</f>
        <v>1.9254740958172747E-5</v>
      </c>
      <c r="AC16" s="836">
        <f>'LT Floculation'!G12</f>
        <v>0.10016666666666667</v>
      </c>
      <c r="AD16" s="836">
        <f>AVERAGE('LT Floculation'!S43:S45)</f>
        <v>0.1466666666666667</v>
      </c>
      <c r="AE16" s="836">
        <f>'LT Floculation'!I12</f>
        <v>8.1666666666666661</v>
      </c>
      <c r="AF16" s="497">
        <v>2.1999999999999999E-2</v>
      </c>
      <c r="AG16" s="628"/>
      <c r="AH16" s="628"/>
      <c r="AI16" s="687">
        <f>$L16*U16</f>
        <v>131.78815883333334</v>
      </c>
      <c r="AJ16" s="687">
        <f t="shared" ref="AJ16:AJ18" si="31">$L16*V16</f>
        <v>131.78815883333334</v>
      </c>
      <c r="AK16" s="687">
        <f t="shared" ref="AK16:AK18" si="32">$L16*W16</f>
        <v>2415.1137074166668</v>
      </c>
      <c r="AL16" s="687">
        <f t="shared" ref="AL16:AL18" si="33">AC16*$L16</f>
        <v>24.648760412500003</v>
      </c>
      <c r="AM16" s="687">
        <f>AD16*$L16</f>
        <v>36.091363000000008</v>
      </c>
      <c r="AN16" s="687">
        <f t="shared" ref="AN16:AN18" si="34">AE16*$L16</f>
        <v>2009.6327125</v>
      </c>
      <c r="AO16" s="687">
        <f t="shared" si="11"/>
        <v>13.519579589999996</v>
      </c>
      <c r="AP16" s="481">
        <v>7</v>
      </c>
      <c r="AQ16" s="838">
        <f>IFERROR(((AI16-(AL16+AO16))/AI16),"")</f>
        <v>0.71038111207874288</v>
      </c>
      <c r="AR16" s="838">
        <f>IFERROR((AJ16-AM16)/AJ16,"")</f>
        <v>0.72614107883817425</v>
      </c>
      <c r="AS16" s="838">
        <f t="shared" si="20"/>
        <v>0.16789312804256767</v>
      </c>
      <c r="AT16" s="1010">
        <v>2</v>
      </c>
      <c r="AU16" s="628">
        <v>1.5</v>
      </c>
      <c r="AV16" s="687">
        <f>(AZ12+AZ14+AZ16+AZ10)/AU16</f>
        <v>421.72903858402782</v>
      </c>
      <c r="AW16" s="687">
        <f t="shared" ref="AW16:AW17" si="35">(BA12+BA14+BA16)/AU16</f>
        <v>177.62291254500005</v>
      </c>
      <c r="AX16" s="687">
        <f t="shared" ref="AX16:AX17" si="36">(BB12+BB14+BB16)/AU16</f>
        <v>564.36975051759293</v>
      </c>
      <c r="AY16" s="848">
        <v>7</v>
      </c>
      <c r="AZ16" s="687">
        <f t="shared" ref="AZ16" si="37">(AI16-AL16-AO16)</f>
        <v>93.619818830833353</v>
      </c>
      <c r="BA16" s="687">
        <f t="shared" ref="BA16:BA18" si="38">(AJ16-AM16)</f>
        <v>95.69679583333334</v>
      </c>
      <c r="BB16" s="687">
        <f t="shared" ref="BB16:BB18" si="39">(AK16-AN16)</f>
        <v>405.48099491666676</v>
      </c>
      <c r="BJ16" s="703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41">
        <v>0.35</v>
      </c>
      <c r="P17" s="14">
        <v>1.2250000000000001</v>
      </c>
      <c r="Q17" s="40">
        <f t="shared" ref="Q17:Q18" si="40">$Q$10</f>
        <v>107.85</v>
      </c>
      <c r="R17" s="40">
        <f>Q17*P17*O17</f>
        <v>46.2406875</v>
      </c>
      <c r="S17" s="40">
        <f t="shared" si="30"/>
        <v>781.04399999999976</v>
      </c>
      <c r="T17" s="40">
        <f>T16+L17</f>
        <v>2385.7535627500001</v>
      </c>
      <c r="U17" s="134">
        <f>AVERAGE('LT Ball Mill'!F76:F87)</f>
        <v>0.58483333333333321</v>
      </c>
      <c r="V17" s="134">
        <f>AVERAGE('LT Ball Mill'!G76:G87)</f>
        <v>0.58833333333333337</v>
      </c>
      <c r="W17" s="134">
        <f>AVERAGE('LT Ball Mill'!H76:H87)</f>
        <v>10.3775</v>
      </c>
      <c r="X17" s="134">
        <f>SUM('Milling and Leach Feed'!W38:W41)/'Au Cal Leaching Tank'!$L$17</f>
        <v>0.57616403396229021</v>
      </c>
      <c r="Y17" s="134">
        <f>SUM('Milling and Leach Feed'!X38:X41)/'Au Cal Leaching Tank'!$L$17</f>
        <v>0.593514374642656</v>
      </c>
      <c r="Z17" s="134">
        <f>SUM('Milling and Leach Feed'!Y38:Y41)/'Au Cal Leaching Tank'!$L$17</f>
        <v>10.648088424861964</v>
      </c>
      <c r="AA17" s="134">
        <f>U17-X17</f>
        <v>8.6692993710429933E-3</v>
      </c>
      <c r="AB17" s="39">
        <f>((U17-X17)/(U17+X17)/2)</f>
        <v>3.7335568603557136E-3</v>
      </c>
      <c r="AC17" s="427">
        <f>'LT Floculation'!G13</f>
        <v>4.2666666666666665E-2</v>
      </c>
      <c r="AD17" s="427">
        <f>'LT Floculation'!H13</f>
        <v>0.34666666666666668</v>
      </c>
      <c r="AE17" s="427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 t="shared" si="11"/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11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62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30" customFormat="1" x14ac:dyDescent="0.3">
      <c r="B18" s="497">
        <v>9</v>
      </c>
      <c r="C18" s="481">
        <f>SUM('Milling and Leach Feed'!P42:P45)</f>
        <v>39.083333333333336</v>
      </c>
      <c r="D18" s="497">
        <v>2</v>
      </c>
      <c r="E18" s="648">
        <v>46285</v>
      </c>
      <c r="F18" s="835">
        <v>0.1388888888888889</v>
      </c>
      <c r="G18" s="921">
        <v>46286</v>
      </c>
      <c r="H18" s="835">
        <v>0.33333333333333331</v>
      </c>
      <c r="I18" s="497">
        <v>1016</v>
      </c>
      <c r="J18" s="496">
        <v>0.4</v>
      </c>
      <c r="K18" s="481">
        <f t="shared" si="0"/>
        <v>516.12800000000004</v>
      </c>
      <c r="L18" s="481">
        <f>K18-R16</f>
        <v>473.06349500000005</v>
      </c>
      <c r="M18" s="497">
        <v>1.27</v>
      </c>
      <c r="N18" s="497">
        <v>2</v>
      </c>
      <c r="O18" s="497"/>
      <c r="P18" s="497"/>
      <c r="Q18" s="481">
        <f t="shared" si="40"/>
        <v>107.85</v>
      </c>
      <c r="R18" s="628"/>
      <c r="S18" s="687">
        <f t="shared" si="30"/>
        <v>774.19199999999989</v>
      </c>
      <c r="T18" s="481">
        <f>T17+L18</f>
        <v>2858.81705775</v>
      </c>
      <c r="U18" s="628"/>
      <c r="V18" s="628"/>
      <c r="W18" s="628"/>
      <c r="X18" s="628"/>
      <c r="Y18" s="628"/>
      <c r="Z18" s="628"/>
      <c r="AA18" s="628"/>
      <c r="AB18" s="628"/>
      <c r="AC18" s="628"/>
      <c r="AD18" s="628"/>
      <c r="AE18" s="628"/>
      <c r="AF18" s="628"/>
      <c r="AG18" s="628"/>
      <c r="AH18" s="628"/>
      <c r="AI18" s="687">
        <f t="shared" si="41"/>
        <v>0</v>
      </c>
      <c r="AJ18" s="687">
        <f t="shared" si="31"/>
        <v>0</v>
      </c>
      <c r="AK18" s="687">
        <f t="shared" si="32"/>
        <v>0</v>
      </c>
      <c r="AL18" s="687">
        <f t="shared" si="33"/>
        <v>0</v>
      </c>
      <c r="AM18" s="687">
        <f t="shared" si="42"/>
        <v>0</v>
      </c>
      <c r="AN18" s="687">
        <f t="shared" si="34"/>
        <v>0</v>
      </c>
      <c r="AO18" s="687">
        <f>IFERROR(AF18*S18,"")</f>
        <v>0</v>
      </c>
      <c r="AP18" s="481">
        <v>9</v>
      </c>
      <c r="AQ18" s="838" t="str">
        <f t="shared" si="18"/>
        <v/>
      </c>
      <c r="AR18" s="838" t="str">
        <f t="shared" si="19"/>
        <v/>
      </c>
      <c r="AS18" s="838" t="str">
        <f t="shared" si="20"/>
        <v/>
      </c>
      <c r="AT18" s="1010">
        <v>2</v>
      </c>
      <c r="AU18" s="628">
        <v>1.5</v>
      </c>
      <c r="AV18" s="628"/>
      <c r="AW18" s="628"/>
      <c r="AX18" s="847"/>
      <c r="AY18" s="1012">
        <v>9</v>
      </c>
      <c r="AZ18" s="687">
        <f>IFERROR((AI18-AL18-AO18),"")</f>
        <v>0</v>
      </c>
      <c r="BA18" s="687">
        <f t="shared" si="38"/>
        <v>0</v>
      </c>
      <c r="BB18" s="687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11">
        <v>3</v>
      </c>
      <c r="AU19" s="6"/>
      <c r="AV19" s="6"/>
      <c r="AW19" s="6"/>
      <c r="AX19" s="216"/>
      <c r="AY19" s="216"/>
      <c r="AZ19" s="6"/>
      <c r="BA19" s="6"/>
      <c r="BB19" s="6"/>
    </row>
    <row r="20" spans="2:62" s="978" customFormat="1" x14ac:dyDescent="0.3">
      <c r="B20" s="461">
        <v>11</v>
      </c>
      <c r="C20" s="462"/>
      <c r="D20" s="461">
        <v>2</v>
      </c>
      <c r="E20" s="461"/>
      <c r="F20" s="462"/>
      <c r="G20" s="462"/>
      <c r="H20" s="462"/>
      <c r="I20" s="461"/>
      <c r="J20" s="461"/>
      <c r="K20" s="462"/>
      <c r="L20" s="462"/>
      <c r="M20" s="461"/>
      <c r="N20" s="461">
        <v>2</v>
      </c>
      <c r="O20" s="461"/>
      <c r="P20" s="461"/>
      <c r="Q20" s="462"/>
      <c r="R20" s="462"/>
      <c r="S20" s="687" t="str">
        <f t="shared" si="30"/>
        <v/>
      </c>
      <c r="T20" s="462"/>
      <c r="U20" s="462"/>
      <c r="V20" s="462"/>
      <c r="W20" s="462"/>
      <c r="X20" s="462"/>
      <c r="Y20" s="462"/>
      <c r="Z20" s="462"/>
      <c r="AA20" s="462"/>
      <c r="AB20" s="462"/>
      <c r="AC20" s="462"/>
      <c r="AD20" s="462"/>
      <c r="AE20" s="462"/>
      <c r="AF20" s="462"/>
      <c r="AG20" s="462"/>
      <c r="AH20" s="462"/>
      <c r="AI20" s="462"/>
      <c r="AJ20" s="462"/>
      <c r="AK20" s="462"/>
      <c r="AL20" s="462"/>
      <c r="AM20" s="462"/>
      <c r="AN20" s="462"/>
      <c r="AO20" s="462"/>
      <c r="AP20" s="687">
        <v>11</v>
      </c>
      <c r="AQ20" s="1058" t="str">
        <f t="shared" si="18"/>
        <v/>
      </c>
      <c r="AR20" s="1058" t="str">
        <f t="shared" si="19"/>
        <v/>
      </c>
      <c r="AS20" s="1058" t="str">
        <f t="shared" si="20"/>
        <v/>
      </c>
      <c r="AT20" s="1059">
        <v>2</v>
      </c>
      <c r="AU20" s="462"/>
      <c r="AV20" s="462"/>
      <c r="AW20" s="462"/>
      <c r="AX20" s="1060"/>
      <c r="AY20" s="1060"/>
      <c r="AZ20" s="462"/>
      <c r="BA20" s="462"/>
      <c r="BB20" s="462"/>
      <c r="BE20" s="1061"/>
      <c r="BF20" s="1061"/>
      <c r="BG20" s="1061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11">
        <v>3</v>
      </c>
      <c r="AU21" s="6"/>
      <c r="AV21" s="6"/>
      <c r="AW21" s="6"/>
      <c r="AX21" s="216"/>
      <c r="AY21" s="216"/>
      <c r="AZ21" s="6"/>
      <c r="BA21" s="6"/>
      <c r="BB21" s="6"/>
    </row>
    <row r="22" spans="2:62" s="978" customFormat="1" x14ac:dyDescent="0.3">
      <c r="B22" s="461">
        <v>13</v>
      </c>
      <c r="C22" s="462"/>
      <c r="D22" s="462"/>
      <c r="E22" s="461"/>
      <c r="F22" s="462"/>
      <c r="G22" s="462"/>
      <c r="H22" s="462"/>
      <c r="I22" s="461"/>
      <c r="J22" s="461"/>
      <c r="K22" s="462"/>
      <c r="L22" s="462"/>
      <c r="M22" s="461"/>
      <c r="N22" s="461">
        <v>2</v>
      </c>
      <c r="O22" s="461"/>
      <c r="P22" s="461"/>
      <c r="Q22" s="462"/>
      <c r="R22" s="462"/>
      <c r="S22" s="687" t="str">
        <f t="shared" si="30"/>
        <v/>
      </c>
      <c r="T22" s="462"/>
      <c r="U22" s="462"/>
      <c r="V22" s="462"/>
      <c r="W22" s="462"/>
      <c r="X22" s="462"/>
      <c r="Y22" s="462"/>
      <c r="Z22" s="462"/>
      <c r="AA22" s="462"/>
      <c r="AB22" s="462"/>
      <c r="AC22" s="462"/>
      <c r="AD22" s="462"/>
      <c r="AE22" s="462"/>
      <c r="AF22" s="462"/>
      <c r="AG22" s="462"/>
      <c r="AH22" s="462"/>
      <c r="AI22" s="462"/>
      <c r="AJ22" s="462"/>
      <c r="AK22" s="462"/>
      <c r="AL22" s="462"/>
      <c r="AM22" s="462"/>
      <c r="AN22" s="462"/>
      <c r="AO22" s="462"/>
      <c r="AP22" s="687">
        <v>13</v>
      </c>
      <c r="AQ22" s="1058" t="str">
        <f t="shared" si="18"/>
        <v/>
      </c>
      <c r="AR22" s="1058" t="str">
        <f t="shared" si="19"/>
        <v/>
      </c>
      <c r="AS22" s="1058" t="str">
        <f t="shared" si="20"/>
        <v/>
      </c>
      <c r="AT22" s="1059">
        <v>2</v>
      </c>
      <c r="AU22" s="462"/>
      <c r="AV22" s="462"/>
      <c r="AW22" s="462"/>
      <c r="AX22" s="1060"/>
      <c r="AY22" s="1060"/>
      <c r="AZ22" s="462"/>
      <c r="BA22" s="462"/>
      <c r="BB22" s="462"/>
      <c r="BE22" s="1062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11">
        <v>3</v>
      </c>
      <c r="AU23" s="6"/>
      <c r="AV23" s="6"/>
      <c r="AW23" s="6"/>
      <c r="AX23" s="216"/>
      <c r="AY23" s="216"/>
      <c r="AZ23" s="6"/>
      <c r="BA23" s="6"/>
      <c r="BB23" s="6"/>
    </row>
    <row r="24" spans="2:62" s="978" customFormat="1" x14ac:dyDescent="0.3">
      <c r="B24" s="461">
        <v>15</v>
      </c>
      <c r="C24" s="462"/>
      <c r="D24" s="462"/>
      <c r="E24" s="461"/>
      <c r="F24" s="462"/>
      <c r="G24" s="462"/>
      <c r="H24" s="462"/>
      <c r="I24" s="461"/>
      <c r="J24" s="461"/>
      <c r="K24" s="462"/>
      <c r="L24" s="462"/>
      <c r="M24" s="461"/>
      <c r="N24" s="461">
        <v>2</v>
      </c>
      <c r="O24" s="461"/>
      <c r="P24" s="461"/>
      <c r="Q24" s="462"/>
      <c r="R24" s="462"/>
      <c r="S24" s="687" t="str">
        <f t="shared" si="30"/>
        <v/>
      </c>
      <c r="T24" s="462"/>
      <c r="U24" s="462"/>
      <c r="V24" s="462"/>
      <c r="W24" s="462"/>
      <c r="X24" s="462"/>
      <c r="Y24" s="462"/>
      <c r="Z24" s="462"/>
      <c r="AA24" s="462"/>
      <c r="AB24" s="462"/>
      <c r="AC24" s="462"/>
      <c r="AD24" s="462"/>
      <c r="AE24" s="462"/>
      <c r="AF24" s="462"/>
      <c r="AG24" s="462"/>
      <c r="AH24" s="462"/>
      <c r="AJ24" s="462"/>
      <c r="AK24" s="462"/>
      <c r="AL24" s="462"/>
      <c r="AM24" s="462"/>
      <c r="AN24" s="462"/>
      <c r="AO24" s="462"/>
      <c r="AP24" s="687">
        <v>15</v>
      </c>
      <c r="AQ24" s="1058" t="str">
        <f t="shared" si="18"/>
        <v/>
      </c>
      <c r="AR24" s="1058" t="str">
        <f t="shared" si="19"/>
        <v/>
      </c>
      <c r="AS24" s="1058" t="str">
        <f t="shared" si="20"/>
        <v/>
      </c>
      <c r="AT24" s="1063"/>
      <c r="AU24" s="462"/>
      <c r="AV24" s="462"/>
      <c r="AW24" s="462"/>
      <c r="AX24" s="1060"/>
      <c r="AY24" s="1060"/>
      <c r="AZ24" s="462"/>
      <c r="BA24" s="462"/>
      <c r="BB24" s="462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28"/>
      <c r="AU25" s="6"/>
      <c r="AV25" s="6"/>
      <c r="AW25" s="6"/>
      <c r="AX25" s="216"/>
      <c r="AY25" s="216"/>
      <c r="AZ25" s="6"/>
      <c r="BA25" s="6"/>
      <c r="BB25" s="6"/>
    </row>
    <row r="26" spans="2:62" s="978" customFormat="1" x14ac:dyDescent="0.3">
      <c r="B26" s="461">
        <v>17</v>
      </c>
      <c r="C26" s="462"/>
      <c r="D26" s="462"/>
      <c r="E26" s="461"/>
      <c r="F26" s="462"/>
      <c r="G26" s="462"/>
      <c r="H26" s="462"/>
      <c r="I26" s="461"/>
      <c r="J26" s="461"/>
      <c r="K26" s="462"/>
      <c r="L26" s="462"/>
      <c r="M26" s="461"/>
      <c r="N26" s="461">
        <v>2</v>
      </c>
      <c r="O26" s="461"/>
      <c r="P26" s="461"/>
      <c r="Q26" s="462"/>
      <c r="R26" s="462"/>
      <c r="S26" s="687" t="str">
        <f t="shared" si="30"/>
        <v/>
      </c>
      <c r="T26" s="462"/>
      <c r="U26" s="462"/>
      <c r="V26" s="462"/>
      <c r="W26" s="462"/>
      <c r="X26" s="462"/>
      <c r="Y26" s="462"/>
      <c r="Z26" s="462"/>
      <c r="AA26" s="462"/>
      <c r="AB26" s="462"/>
      <c r="AC26" s="462"/>
      <c r="AD26" s="462"/>
      <c r="AE26" s="462"/>
      <c r="AF26" s="462"/>
      <c r="AG26" s="462"/>
      <c r="AH26" s="462"/>
      <c r="AI26" s="462"/>
      <c r="AJ26" s="462"/>
      <c r="AK26" s="462"/>
      <c r="AL26" s="462"/>
      <c r="AM26" s="462"/>
      <c r="AN26" s="462"/>
      <c r="AO26" s="462"/>
      <c r="AP26" s="687">
        <v>17</v>
      </c>
      <c r="AQ26" s="1058" t="str">
        <f t="shared" si="18"/>
        <v/>
      </c>
      <c r="AR26" s="1058" t="str">
        <f t="shared" si="19"/>
        <v/>
      </c>
      <c r="AS26" s="1058" t="str">
        <f t="shared" si="20"/>
        <v/>
      </c>
      <c r="AT26" s="1063"/>
      <c r="AU26" s="462"/>
      <c r="AV26" s="462"/>
      <c r="AW26" s="462"/>
      <c r="AX26" s="1060"/>
      <c r="AY26" s="1060"/>
      <c r="AZ26" s="462"/>
      <c r="BA26" s="462"/>
      <c r="BB26" s="462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28"/>
      <c r="AU27" s="6"/>
      <c r="AV27" s="6"/>
      <c r="AW27" s="6"/>
      <c r="AX27" s="216"/>
      <c r="AY27" s="216"/>
      <c r="AZ27" s="6"/>
      <c r="BA27" s="6"/>
      <c r="BB27" s="6"/>
    </row>
    <row r="28" spans="2:62" s="978" customFormat="1" x14ac:dyDescent="0.3">
      <c r="B28" s="461">
        <v>19</v>
      </c>
      <c r="C28" s="462"/>
      <c r="D28" s="462"/>
      <c r="E28" s="461"/>
      <c r="F28" s="462"/>
      <c r="G28" s="462"/>
      <c r="H28" s="462"/>
      <c r="I28" s="461"/>
      <c r="J28" s="461"/>
      <c r="K28" s="462"/>
      <c r="L28" s="462"/>
      <c r="M28" s="461"/>
      <c r="N28" s="461">
        <v>2</v>
      </c>
      <c r="O28" s="461"/>
      <c r="P28" s="461"/>
      <c r="Q28" s="462"/>
      <c r="R28" s="462"/>
      <c r="S28" s="687" t="str">
        <f t="shared" si="30"/>
        <v/>
      </c>
      <c r="T28" s="462"/>
      <c r="U28" s="462"/>
      <c r="V28" s="462"/>
      <c r="W28" s="462"/>
      <c r="X28" s="462"/>
      <c r="Y28" s="462"/>
      <c r="Z28" s="462"/>
      <c r="AA28" s="462"/>
      <c r="AB28" s="462"/>
      <c r="AC28" s="462"/>
      <c r="AD28" s="462"/>
      <c r="AE28" s="462"/>
      <c r="AF28" s="462"/>
      <c r="AG28" s="462"/>
      <c r="AH28" s="462"/>
      <c r="AI28" s="462"/>
      <c r="AJ28" s="462"/>
      <c r="AK28" s="462"/>
      <c r="AL28" s="462"/>
      <c r="AM28" s="462"/>
      <c r="AN28" s="462"/>
      <c r="AO28" s="462"/>
      <c r="AP28" s="687">
        <v>19</v>
      </c>
      <c r="AQ28" s="1058" t="str">
        <f t="shared" si="18"/>
        <v/>
      </c>
      <c r="AR28" s="1058" t="str">
        <f t="shared" si="19"/>
        <v/>
      </c>
      <c r="AS28" s="1058" t="str">
        <f t="shared" si="20"/>
        <v/>
      </c>
      <c r="AT28" s="1063"/>
      <c r="AU28" s="462"/>
      <c r="AV28" s="462"/>
      <c r="AW28" s="462"/>
      <c r="AX28" s="1060"/>
      <c r="AY28" s="1060"/>
      <c r="AZ28" s="462"/>
      <c r="BA28" s="462"/>
      <c r="BB28" s="462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28"/>
      <c r="AU29" s="6"/>
      <c r="AV29" s="6"/>
      <c r="AW29" s="6"/>
      <c r="AX29" s="216"/>
      <c r="AY29" s="216"/>
      <c r="AZ29" s="6"/>
      <c r="BA29" s="6"/>
      <c r="BB29" s="6"/>
    </row>
    <row r="30" spans="2:62" s="978" customFormat="1" x14ac:dyDescent="0.3">
      <c r="B30" s="461">
        <v>21</v>
      </c>
      <c r="C30" s="462"/>
      <c r="D30" s="462"/>
      <c r="E30" s="461"/>
      <c r="F30" s="462"/>
      <c r="G30" s="462"/>
      <c r="H30" s="462"/>
      <c r="I30" s="461"/>
      <c r="J30" s="461"/>
      <c r="K30" s="462"/>
      <c r="L30" s="462"/>
      <c r="M30" s="461"/>
      <c r="N30" s="461">
        <v>2</v>
      </c>
      <c r="O30" s="461"/>
      <c r="P30" s="461"/>
      <c r="Q30" s="462"/>
      <c r="R30" s="462"/>
      <c r="S30" s="687" t="str">
        <f t="shared" si="30"/>
        <v/>
      </c>
      <c r="T30" s="462"/>
      <c r="U30" s="462"/>
      <c r="V30" s="462"/>
      <c r="W30" s="462"/>
      <c r="X30" s="462"/>
      <c r="Y30" s="462"/>
      <c r="Z30" s="462"/>
      <c r="AA30" s="462"/>
      <c r="AB30" s="462"/>
      <c r="AC30" s="462"/>
      <c r="AD30" s="462"/>
      <c r="AE30" s="462"/>
      <c r="AF30" s="462"/>
      <c r="AG30" s="462"/>
      <c r="AH30" s="462"/>
      <c r="AI30" s="462"/>
      <c r="AJ30" s="462"/>
      <c r="AK30" s="462"/>
      <c r="AL30" s="462"/>
      <c r="AM30" s="462"/>
      <c r="AN30" s="462"/>
      <c r="AO30" s="462"/>
      <c r="AP30" s="687">
        <v>21</v>
      </c>
      <c r="AQ30" s="1058" t="str">
        <f t="shared" si="18"/>
        <v/>
      </c>
      <c r="AR30" s="1058" t="str">
        <f t="shared" si="19"/>
        <v/>
      </c>
      <c r="AS30" s="1058" t="str">
        <f t="shared" si="20"/>
        <v/>
      </c>
      <c r="AT30" s="1063"/>
      <c r="AU30" s="462"/>
      <c r="AV30" s="462"/>
      <c r="AW30" s="462"/>
      <c r="AX30" s="1060"/>
      <c r="AY30" s="1060"/>
      <c r="AZ30" s="462"/>
      <c r="BA30" s="462"/>
      <c r="BB30" s="462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28"/>
      <c r="AU31" s="6"/>
      <c r="AV31" s="6"/>
      <c r="AW31" s="6"/>
      <c r="AX31" s="216"/>
      <c r="AY31" s="216"/>
      <c r="AZ31" s="6"/>
      <c r="BA31" s="6"/>
      <c r="BB31" s="6"/>
    </row>
    <row r="32" spans="2:62" x14ac:dyDescent="0.3">
      <c r="B32" s="461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61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6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28"/>
      <c r="AU32" s="6"/>
      <c r="AV32" s="6"/>
      <c r="AW32" s="6"/>
      <c r="AX32" s="216"/>
      <c r="AY32" s="216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28"/>
      <c r="AU33" s="6"/>
      <c r="AV33" s="6"/>
      <c r="AW33" s="6"/>
      <c r="AX33" s="216"/>
      <c r="AY33" s="216"/>
      <c r="AZ33" s="6"/>
      <c r="BA33" s="6"/>
      <c r="BB33" s="6"/>
    </row>
    <row r="34" spans="2:54" x14ac:dyDescent="0.3">
      <c r="B34" s="461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61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28"/>
      <c r="AU34" s="6"/>
      <c r="AV34" s="6"/>
      <c r="AW34" s="6"/>
      <c r="AX34" s="216"/>
      <c r="AY34" s="216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28"/>
      <c r="AU35" s="6"/>
      <c r="AV35" s="6"/>
      <c r="AW35" s="6"/>
      <c r="AX35" s="216"/>
      <c r="AY35" s="216"/>
      <c r="AZ35" s="6"/>
      <c r="BA35" s="6"/>
      <c r="BB35" s="6"/>
    </row>
    <row r="36" spans="2:54" x14ac:dyDescent="0.3">
      <c r="B36" s="461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61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28"/>
      <c r="AU36" s="6"/>
      <c r="AV36" s="6"/>
      <c r="AW36" s="6"/>
      <c r="AX36" s="216"/>
      <c r="AY36" s="216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28"/>
      <c r="AU37" s="6"/>
      <c r="AV37" s="6"/>
      <c r="AW37" s="6"/>
      <c r="AX37" s="216"/>
      <c r="AY37" s="216"/>
      <c r="AZ37" s="6"/>
      <c r="BA37" s="6"/>
      <c r="BB37" s="6"/>
    </row>
    <row r="38" spans="2:54" x14ac:dyDescent="0.3">
      <c r="B38" s="461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61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6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28"/>
      <c r="AU38" s="6"/>
      <c r="AV38" s="6"/>
      <c r="AW38" s="6"/>
      <c r="AX38" s="216"/>
      <c r="AY38" s="216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28"/>
      <c r="AU39" s="6"/>
      <c r="AV39" s="6"/>
      <c r="AW39" s="6"/>
      <c r="AX39" s="216"/>
      <c r="AY39" s="216"/>
      <c r="AZ39" s="6"/>
      <c r="BA39" s="6"/>
      <c r="BB39" s="6"/>
    </row>
    <row r="40" spans="2:54" x14ac:dyDescent="0.3">
      <c r="B40" s="461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61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28"/>
      <c r="AU40" s="6"/>
      <c r="AV40" s="6"/>
      <c r="AW40" s="6"/>
      <c r="AX40" s="216"/>
      <c r="AY40" s="216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28"/>
      <c r="AU41" s="6"/>
      <c r="AV41" s="6"/>
      <c r="AW41" s="6"/>
      <c r="AX41" s="216"/>
      <c r="AY41" s="216"/>
      <c r="AZ41" s="6"/>
      <c r="BA41" s="6"/>
      <c r="BB41" s="6"/>
    </row>
    <row r="42" spans="2:54" x14ac:dyDescent="0.3">
      <c r="B42" s="461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61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28"/>
      <c r="AU42" s="6"/>
      <c r="AV42" s="6"/>
      <c r="AW42" s="6"/>
      <c r="AX42" s="216"/>
      <c r="AY42" s="216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28"/>
      <c r="AU43" s="6"/>
      <c r="AV43" s="6"/>
      <c r="AW43" s="6"/>
      <c r="AX43" s="216"/>
      <c r="AY43" s="216"/>
      <c r="AZ43" s="6"/>
      <c r="BA43" s="6"/>
      <c r="BB43" s="6"/>
    </row>
    <row r="44" spans="2:54" x14ac:dyDescent="0.3">
      <c r="B44" s="461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61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6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28"/>
      <c r="AU44" s="6"/>
      <c r="AV44" s="6"/>
      <c r="AW44" s="6"/>
      <c r="AX44" s="216"/>
      <c r="AY44" s="216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28"/>
      <c r="AU45" s="6"/>
      <c r="AV45" s="6"/>
      <c r="AW45" s="6"/>
      <c r="AX45" s="216"/>
      <c r="AY45" s="216"/>
      <c r="AZ45" s="6"/>
      <c r="BA45" s="6"/>
      <c r="BB45" s="6"/>
    </row>
    <row r="46" spans="2:54" x14ac:dyDescent="0.3">
      <c r="B46" s="461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61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28"/>
      <c r="AU46" s="6"/>
      <c r="AV46" s="6"/>
      <c r="AW46" s="6"/>
      <c r="AX46" s="216"/>
      <c r="AY46" s="216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28"/>
      <c r="AU47" s="6"/>
      <c r="AV47" s="6"/>
      <c r="AW47" s="6"/>
      <c r="AX47" s="216"/>
      <c r="AY47" s="216"/>
      <c r="AZ47" s="6"/>
      <c r="BA47" s="6"/>
      <c r="BB47" s="6"/>
    </row>
    <row r="48" spans="2:54" x14ac:dyDescent="0.3">
      <c r="B48" s="461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61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28"/>
      <c r="AU48" s="6"/>
      <c r="AV48" s="6"/>
      <c r="AW48" s="6"/>
      <c r="AX48" s="216"/>
      <c r="AY48" s="216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28"/>
      <c r="AU49" s="6"/>
      <c r="AV49" s="6"/>
      <c r="AW49" s="6"/>
      <c r="AX49" s="216"/>
      <c r="AY49" s="216"/>
      <c r="AZ49" s="6"/>
      <c r="BA49" s="6"/>
      <c r="BB49" s="6"/>
    </row>
    <row r="50" spans="2:57" x14ac:dyDescent="0.3">
      <c r="B50" s="461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61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6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28"/>
      <c r="AU50" s="6"/>
      <c r="AV50" s="6"/>
      <c r="AW50" s="6"/>
      <c r="AX50" s="216"/>
      <c r="AY50" s="216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28"/>
      <c r="AU51" s="6"/>
      <c r="AV51" s="6"/>
      <c r="AW51" s="6"/>
      <c r="AX51" s="216"/>
      <c r="AY51" s="216"/>
      <c r="AZ51" s="6"/>
      <c r="BA51" s="6"/>
      <c r="BB51" s="6"/>
    </row>
    <row r="52" spans="2:57" x14ac:dyDescent="0.3">
      <c r="B52" s="461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61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28"/>
      <c r="AU52" s="6"/>
      <c r="AV52" s="6"/>
      <c r="AW52" s="6"/>
      <c r="AX52" s="216"/>
      <c r="AY52" s="216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28"/>
      <c r="AU53" s="6"/>
      <c r="AV53" s="6"/>
      <c r="AW53" s="6"/>
      <c r="AX53" s="216"/>
      <c r="AY53" s="216"/>
      <c r="AZ53" s="6"/>
      <c r="BA53" s="6"/>
      <c r="BB53" s="6"/>
    </row>
    <row r="54" spans="2:57" x14ac:dyDescent="0.3">
      <c r="B54" s="461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61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28"/>
      <c r="AU54" s="6"/>
      <c r="AV54" s="6"/>
      <c r="AW54" s="6"/>
      <c r="AX54" s="216"/>
      <c r="AY54" s="216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28"/>
      <c r="AU55" s="6"/>
      <c r="AV55" s="6"/>
      <c r="AW55" s="6"/>
      <c r="AX55" s="216"/>
      <c r="AY55" s="216"/>
      <c r="AZ55" s="6"/>
      <c r="BA55" s="6"/>
      <c r="BB55" s="6"/>
    </row>
    <row r="56" spans="2:57" x14ac:dyDescent="0.3">
      <c r="B56" s="461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61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6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28"/>
      <c r="AU56" s="6"/>
      <c r="AV56" s="6"/>
      <c r="AW56" s="6"/>
      <c r="AX56" s="216"/>
      <c r="AY56" s="216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28"/>
      <c r="AU57" s="6"/>
      <c r="AV57" s="6"/>
      <c r="AW57" s="6"/>
      <c r="AX57" s="216"/>
      <c r="AY57" s="216"/>
      <c r="AZ57" s="6"/>
      <c r="BA57" s="6"/>
      <c r="BB57" s="6"/>
    </row>
    <row r="58" spans="2:57" x14ac:dyDescent="0.3">
      <c r="B58" s="461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61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28"/>
      <c r="AU58" s="6"/>
      <c r="AV58" s="6"/>
      <c r="AW58" s="6"/>
      <c r="AX58" s="216"/>
      <c r="AY58" s="216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28"/>
      <c r="AU59" s="6"/>
      <c r="AV59" s="6"/>
      <c r="AW59" s="6"/>
      <c r="AX59" s="216"/>
      <c r="AY59" s="216"/>
      <c r="AZ59" s="6"/>
      <c r="BA59" s="6"/>
      <c r="BB59" s="6"/>
    </row>
    <row r="60" spans="2:57" x14ac:dyDescent="0.3">
      <c r="B60" s="461">
        <v>51</v>
      </c>
      <c r="C60" s="136">
        <f>AVERAGE(C10:C59)</f>
        <v>34.80555555555555</v>
      </c>
      <c r="D60" s="135"/>
      <c r="E60" s="135"/>
      <c r="F60" s="135"/>
      <c r="G60" s="135"/>
      <c r="H60" s="135"/>
      <c r="I60" s="135"/>
      <c r="J60" s="135"/>
      <c r="K60" s="136">
        <f>AVERAGE(K10:K59)</f>
        <v>358.73581166666668</v>
      </c>
      <c r="L60" s="136"/>
      <c r="M60" s="135"/>
      <c r="N60" s="135"/>
      <c r="O60" s="135"/>
      <c r="P60" s="135"/>
      <c r="Q60" s="135"/>
      <c r="R60" s="135"/>
      <c r="S60" s="136" t="str">
        <f t="shared" si="30"/>
        <v/>
      </c>
      <c r="T60" s="135"/>
      <c r="U60" s="208">
        <f>AVERAGE(U10:U59)</f>
        <v>0.69240972222222219</v>
      </c>
      <c r="V60" s="208">
        <f t="shared" ref="V60:W60" si="43">AVERAGE(V10:V59)</f>
        <v>0.62610763888888887</v>
      </c>
      <c r="W60" s="208">
        <f t="shared" si="43"/>
        <v>8.9132881944444442</v>
      </c>
      <c r="X60" s="208">
        <f>AVERAGE(X10:X59)</f>
        <v>0.67373826634327061</v>
      </c>
      <c r="Y60" s="208">
        <f t="shared" ref="Y60:Z60" si="44">AVERAGE(Y10:Y59)</f>
        <v>0.60148154705057499</v>
      </c>
      <c r="Z60" s="208">
        <f t="shared" si="44"/>
        <v>8.5579215061095191</v>
      </c>
      <c r="AA60" s="135"/>
      <c r="AB60" s="135"/>
      <c r="AC60" s="208">
        <f>AVERAGE(AC10:AC59)</f>
        <v>8.5885416666666659E-2</v>
      </c>
      <c r="AD60" s="208">
        <f t="shared" ref="AD60:AF60" si="45">AVERAGE(AD10:AD59)</f>
        <v>0.25037500000000001</v>
      </c>
      <c r="AE60" s="208">
        <f t="shared" si="45"/>
        <v>7.7892708333333331</v>
      </c>
      <c r="AF60" s="208">
        <f t="shared" si="45"/>
        <v>2.4749999999999998E-2</v>
      </c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233">
        <f>AVERAGE(AQ10:AQ59)</f>
        <v>0.80532429366356795</v>
      </c>
      <c r="AR60" s="233">
        <f t="shared" ref="AR60:AS60" si="46">AVERAGE(AR10:AR59)</f>
        <v>0.58587907289417429</v>
      </c>
      <c r="AS60" s="233">
        <f t="shared" si="46"/>
        <v>0.12687308957268534</v>
      </c>
      <c r="AT60" s="229"/>
      <c r="AU60" s="207"/>
      <c r="AV60" s="207"/>
      <c r="AW60" s="207"/>
      <c r="AX60" s="217"/>
      <c r="AY60" s="217"/>
      <c r="AZ60" s="220"/>
      <c r="BA60" s="220"/>
      <c r="BB60" s="220"/>
    </row>
    <row r="61" spans="2:57" x14ac:dyDescent="0.3">
      <c r="B61" s="14">
        <v>52</v>
      </c>
      <c r="C61" s="136">
        <f>SUM(C10:C59)</f>
        <v>313.24999999999994</v>
      </c>
      <c r="D61" s="135"/>
      <c r="E61" s="135"/>
      <c r="F61" s="135"/>
      <c r="G61" s="135"/>
      <c r="H61" s="135"/>
      <c r="I61" s="135"/>
      <c r="J61" s="135"/>
      <c r="K61" s="136">
        <f>SUM(K10:K11)+SUM(L12:L59)</f>
        <v>2858.8170577500005</v>
      </c>
      <c r="L61" s="136"/>
      <c r="M61" s="135"/>
      <c r="N61" s="135"/>
      <c r="O61" s="135"/>
      <c r="P61" s="135"/>
      <c r="Q61" s="135"/>
      <c r="R61" s="135"/>
      <c r="S61" s="136" t="str">
        <f t="shared" si="30"/>
        <v/>
      </c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207"/>
      <c r="AS61" s="207"/>
      <c r="AT61" s="229"/>
      <c r="AU61" s="207"/>
      <c r="AV61" s="207"/>
      <c r="AW61" s="207"/>
      <c r="AX61" s="217"/>
      <c r="AY61" s="217"/>
      <c r="AZ61" s="1013">
        <f>SUM(AZ10:AZ59)</f>
        <v>1362.89234786</v>
      </c>
      <c r="BA61" s="1013">
        <f t="shared" ref="BA61:BB61" si="47">SUM(BA10:BA59)</f>
        <v>907.53288030199349</v>
      </c>
      <c r="BB61" s="1013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5">
        <f>MEDIAN(U10:U59)</f>
        <v>0.63566666666666671</v>
      </c>
      <c r="V62" s="245">
        <f t="shared" ref="V62:W62" si="48">MEDIAN(V10:V59)</f>
        <v>0.62361111111111112</v>
      </c>
      <c r="W62" s="245">
        <f t="shared" si="48"/>
        <v>9.0600000000000023</v>
      </c>
      <c r="X62" s="245">
        <f>MEDIAN(X10:X59)</f>
        <v>0.63680830617586415</v>
      </c>
      <c r="Y62" s="245">
        <f t="shared" ref="Y62:Z62" si="49">MEDIAN(Y10:Y59)</f>
        <v>0.57997520630902932</v>
      </c>
      <c r="Z62" s="245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1594.1174739587382</v>
      </c>
    </row>
    <row r="64" spans="2:57" x14ac:dyDescent="0.3">
      <c r="K64" s="11"/>
      <c r="L64" s="11"/>
      <c r="V64" s="137"/>
    </row>
    <row r="65" spans="5:53" x14ac:dyDescent="0.3">
      <c r="AL65" s="1107" t="s">
        <v>312</v>
      </c>
      <c r="AM65" s="1107"/>
      <c r="AN65" s="1107"/>
      <c r="AO65" s="1107"/>
      <c r="AP65" s="251"/>
      <c r="AX65" s="1" t="s">
        <v>587</v>
      </c>
      <c r="AY65" s="137">
        <v>2400000</v>
      </c>
      <c r="AZ65" s="701"/>
      <c r="BA65" s="158"/>
    </row>
    <row r="66" spans="5:53" x14ac:dyDescent="0.3">
      <c r="E66" s="44"/>
      <c r="I66" s="224" t="s">
        <v>307</v>
      </c>
      <c r="J66" s="224" t="s">
        <v>308</v>
      </c>
      <c r="K66" s="224" t="s">
        <v>309</v>
      </c>
      <c r="L66" s="224"/>
      <c r="M66" s="224" t="s">
        <v>310</v>
      </c>
      <c r="N66" s="224"/>
      <c r="O66" s="224"/>
      <c r="P66" s="224"/>
      <c r="Q66" s="224"/>
      <c r="R66" s="224" t="s">
        <v>311</v>
      </c>
      <c r="AL66" s="224"/>
      <c r="AM66" s="224" t="s">
        <v>254</v>
      </c>
      <c r="AN66" s="224" t="s">
        <v>255</v>
      </c>
      <c r="AO66" s="224" t="s">
        <v>256</v>
      </c>
      <c r="AP66" s="251"/>
    </row>
    <row r="67" spans="5:53" x14ac:dyDescent="0.3">
      <c r="E67" s="44"/>
      <c r="I67" s="40">
        <f>SUM(C10:C15)</f>
        <v>197.73333333333329</v>
      </c>
      <c r="J67" s="40">
        <f>'Milling Down Time Hours'!P60</f>
        <v>172.11666666666667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15.410416666666665</v>
      </c>
      <c r="AL67" s="14" t="s">
        <v>333</v>
      </c>
      <c r="AM67" s="134">
        <f>AVERAGE(U10:U15)</f>
        <v>0.7364814814814814</v>
      </c>
      <c r="AN67" s="134">
        <f t="shared" ref="AN67:AO67" si="50">AVERAGE(V10:V15)</f>
        <v>0.64749537037037042</v>
      </c>
      <c r="AO67" s="134">
        <f t="shared" si="50"/>
        <v>8.5190601851851842</v>
      </c>
      <c r="AP67" s="245"/>
    </row>
    <row r="68" spans="5:53" x14ac:dyDescent="0.3">
      <c r="E68" s="44"/>
      <c r="I68" s="44">
        <f>I67/24</f>
        <v>8.2388888888888872</v>
      </c>
      <c r="AA68" s="1163" t="s">
        <v>261</v>
      </c>
      <c r="AB68" s="1163"/>
      <c r="AC68" s="1163"/>
      <c r="AD68" s="1163"/>
      <c r="AE68" s="1163"/>
      <c r="AL68" s="14" t="s">
        <v>202</v>
      </c>
      <c r="AM68" s="134">
        <f>MEDIAN(U10:U15)</f>
        <v>0.69599999999999995</v>
      </c>
      <c r="AN68" s="134">
        <f t="shared" ref="AN68:AO68" si="51">MEDIAN(V10:V15)</f>
        <v>0.66361111111111115</v>
      </c>
      <c r="AO68" s="134">
        <f t="shared" si="51"/>
        <v>9.0461111111111094</v>
      </c>
      <c r="AP68" s="245"/>
    </row>
    <row r="69" spans="5:53" x14ac:dyDescent="0.3">
      <c r="E69" s="44"/>
      <c r="AA69" s="1231" t="s">
        <v>260</v>
      </c>
      <c r="AB69" s="1231" t="s">
        <v>494</v>
      </c>
      <c r="AC69" s="1163" t="s">
        <v>262</v>
      </c>
      <c r="AD69" s="1163"/>
      <c r="AE69" s="1163"/>
      <c r="AL69" s="14" t="s">
        <v>204</v>
      </c>
      <c r="AM69" s="134">
        <f>MIN(U10:U15)</f>
        <v>0.57608333333333328</v>
      </c>
      <c r="AN69" s="134">
        <f t="shared" ref="AN69:AO69" si="52">MIN(V10:V15)</f>
        <v>0.49666666666666665</v>
      </c>
      <c r="AO69" s="134">
        <f t="shared" si="52"/>
        <v>7.2224166666666676</v>
      </c>
      <c r="AP69" s="245"/>
    </row>
    <row r="70" spans="5:53" x14ac:dyDescent="0.3">
      <c r="E70" s="44"/>
      <c r="I70" s="224" t="s">
        <v>307</v>
      </c>
      <c r="J70" s="40">
        <f>I67</f>
        <v>197.73333333333329</v>
      </c>
      <c r="L70" s="11"/>
      <c r="AA70" s="1231"/>
      <c r="AB70" s="1231"/>
      <c r="AC70" s="132" t="s">
        <v>254</v>
      </c>
      <c r="AD70" s="132" t="s">
        <v>255</v>
      </c>
      <c r="AE70" s="132" t="s">
        <v>256</v>
      </c>
      <c r="AL70" s="14" t="s">
        <v>203</v>
      </c>
      <c r="AM70" s="134">
        <f>MAX(U10:U15)</f>
        <v>0.93455555555555547</v>
      </c>
      <c r="AN70" s="134">
        <f t="shared" ref="AN70:AO70" si="53">MAX(V10:V15)</f>
        <v>0.79333333333333333</v>
      </c>
      <c r="AO70" s="134">
        <f t="shared" si="53"/>
        <v>9.1508333333333347</v>
      </c>
      <c r="AP70" s="245"/>
    </row>
    <row r="71" spans="5:53" x14ac:dyDescent="0.3">
      <c r="E71" s="44"/>
      <c r="I71" s="224" t="s">
        <v>308</v>
      </c>
      <c r="J71" s="40">
        <f>J67</f>
        <v>172.11666666666667</v>
      </c>
      <c r="AA71" s="14">
        <v>1</v>
      </c>
      <c r="AB71" s="14">
        <v>2</v>
      </c>
      <c r="AC71" s="427">
        <v>0.70799999999999996</v>
      </c>
      <c r="AD71" s="427">
        <v>0.53525</v>
      </c>
      <c r="AE71" s="427">
        <v>7.2224166666666676</v>
      </c>
    </row>
    <row r="72" spans="5:53" x14ac:dyDescent="0.3">
      <c r="E72" s="44"/>
      <c r="I72" s="224" t="s">
        <v>315</v>
      </c>
      <c r="J72" s="40">
        <f>SUM(J70:J71)</f>
        <v>369.84999999999997</v>
      </c>
      <c r="AA72" s="14">
        <v>2</v>
      </c>
      <c r="AB72" s="14">
        <v>3</v>
      </c>
      <c r="AC72" s="427">
        <v>0.68400000000000005</v>
      </c>
      <c r="AD72" s="427">
        <v>0.79333333333333333</v>
      </c>
      <c r="AE72" s="427">
        <v>9.051111111111112</v>
      </c>
    </row>
    <row r="73" spans="5:53" x14ac:dyDescent="0.3">
      <c r="E73" s="44"/>
      <c r="I73" s="224" t="s">
        <v>316</v>
      </c>
      <c r="J73" s="39">
        <f>J70/J72</f>
        <v>0.53463115677526918</v>
      </c>
      <c r="AA73" s="13"/>
    </row>
    <row r="74" spans="5:53" x14ac:dyDescent="0.3">
      <c r="E74" s="44"/>
      <c r="I74" s="224" t="s">
        <v>37</v>
      </c>
      <c r="J74" s="427">
        <f>K67</f>
        <v>14.457941964345926</v>
      </c>
      <c r="AA74" s="13"/>
    </row>
    <row r="75" spans="5:53" x14ac:dyDescent="0.3">
      <c r="I75" s="224" t="s">
        <v>82</v>
      </c>
      <c r="J75" s="40">
        <f>M67</f>
        <v>346.9906071443022</v>
      </c>
      <c r="AA75" s="13"/>
    </row>
    <row r="76" spans="5:53" x14ac:dyDescent="0.3">
      <c r="I76" s="224" t="s">
        <v>311</v>
      </c>
      <c r="J76" s="40">
        <f>R67</f>
        <v>15.410416666666665</v>
      </c>
      <c r="AA76" s="13"/>
    </row>
    <row r="77" spans="5:53" x14ac:dyDescent="0.3">
      <c r="I77" s="224" t="s">
        <v>332</v>
      </c>
      <c r="J77" s="39">
        <f>J67/(I67+J67)</f>
        <v>0.46536884322473082</v>
      </c>
    </row>
    <row r="92" spans="9:20" x14ac:dyDescent="0.3">
      <c r="I92" s="132" t="s">
        <v>260</v>
      </c>
      <c r="J92" s="132" t="s">
        <v>294</v>
      </c>
      <c r="K92" s="1240" t="s">
        <v>320</v>
      </c>
      <c r="L92" s="1163" t="s">
        <v>641</v>
      </c>
      <c r="M92" s="1163"/>
      <c r="N92" s="1163"/>
      <c r="O92" s="437"/>
      <c r="P92" s="437"/>
      <c r="Q92" s="437"/>
      <c r="R92" s="1242" t="s">
        <v>327</v>
      </c>
      <c r="S92" s="1243"/>
      <c r="T92" s="1244"/>
    </row>
    <row r="93" spans="9:20" x14ac:dyDescent="0.3">
      <c r="I93" s="132" t="s">
        <v>324</v>
      </c>
      <c r="J93" s="132" t="s">
        <v>642</v>
      </c>
      <c r="K93" s="1241"/>
      <c r="L93" s="132" t="s">
        <v>254</v>
      </c>
      <c r="M93" s="132" t="s">
        <v>255</v>
      </c>
      <c r="N93" s="132" t="s">
        <v>256</v>
      </c>
      <c r="O93" s="132"/>
      <c r="P93" s="132"/>
      <c r="Q93" s="132"/>
      <c r="R93" s="132" t="s">
        <v>254</v>
      </c>
      <c r="S93" s="132" t="s">
        <v>255</v>
      </c>
      <c r="T93" s="132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4">
        <f>U10</f>
        <v>0.70799999999999996</v>
      </c>
      <c r="M94" s="134">
        <f t="shared" ref="M94:N100" si="54">V10</f>
        <v>0.53525</v>
      </c>
      <c r="N94" s="134">
        <f t="shared" si="54"/>
        <v>7.2224166666666676</v>
      </c>
      <c r="O94" s="134"/>
      <c r="P94" s="134"/>
      <c r="Q94" s="134"/>
      <c r="R94" s="134">
        <f>AC10</f>
        <v>0.11299999999999999</v>
      </c>
      <c r="S94" s="134">
        <f t="shared" ref="S94:T98" si="55">AD10</f>
        <v>0.17</v>
      </c>
      <c r="T94" s="134">
        <f t="shared" si="55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4">
        <f t="shared" ref="L95:L98" si="56">U11</f>
        <v>0.68400000000000005</v>
      </c>
      <c r="M95" s="134">
        <f t="shared" si="54"/>
        <v>0.79333333333333333</v>
      </c>
      <c r="N95" s="134">
        <f t="shared" si="54"/>
        <v>9.051111111111112</v>
      </c>
      <c r="O95" s="134"/>
      <c r="P95" s="134"/>
      <c r="Q95" s="134"/>
      <c r="R95" s="134">
        <f t="shared" ref="R95:R98" si="57">AC11</f>
        <v>5.5749999999999994E-2</v>
      </c>
      <c r="S95" s="134">
        <f t="shared" si="55"/>
        <v>0.25</v>
      </c>
      <c r="T95" s="134">
        <f t="shared" si="55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4">
        <f t="shared" si="56"/>
        <v>0.93455555555555547</v>
      </c>
      <c r="M96" s="134">
        <f t="shared" si="54"/>
        <v>0.65888888888888886</v>
      </c>
      <c r="N96" s="134">
        <f t="shared" si="54"/>
        <v>9.0688888888888908</v>
      </c>
      <c r="O96" s="134"/>
      <c r="P96" s="134"/>
      <c r="Q96" s="134"/>
      <c r="R96" s="134">
        <f t="shared" si="57"/>
        <v>9.816666666666668E-2</v>
      </c>
      <c r="S96" s="134">
        <f t="shared" si="55"/>
        <v>0.23333333333333331</v>
      </c>
      <c r="T96" s="134">
        <f t="shared" si="55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8">L13</f>
        <v>316.93530000000004</v>
      </c>
      <c r="L97" s="134">
        <f t="shared" si="56"/>
        <v>0.92891666666666661</v>
      </c>
      <c r="M97" s="134">
        <f t="shared" si="54"/>
        <v>0.73249999999999993</v>
      </c>
      <c r="N97" s="134">
        <f t="shared" si="54"/>
        <v>9.1508333333333347</v>
      </c>
      <c r="O97" s="134"/>
      <c r="P97" s="134"/>
      <c r="Q97" s="134"/>
      <c r="R97" s="134">
        <f t="shared" si="57"/>
        <v>0.10916666666666668</v>
      </c>
      <c r="S97" s="134">
        <f t="shared" si="55"/>
        <v>0.24</v>
      </c>
      <c r="T97" s="134">
        <f t="shared" si="55"/>
        <v>5.1633333333333331</v>
      </c>
    </row>
    <row r="98" spans="9:20" x14ac:dyDescent="0.3">
      <c r="I98" s="14">
        <v>5</v>
      </c>
      <c r="J98" s="14">
        <v>5</v>
      </c>
      <c r="K98" s="40">
        <f t="shared" si="58"/>
        <v>266.98580000000004</v>
      </c>
      <c r="L98" s="134">
        <f t="shared" si="56"/>
        <v>0.58733333333333337</v>
      </c>
      <c r="M98" s="134">
        <f t="shared" si="54"/>
        <v>0.49666666666666665</v>
      </c>
      <c r="N98" s="134">
        <f t="shared" si="54"/>
        <v>9.0411111111111087</v>
      </c>
      <c r="O98" s="134"/>
      <c r="P98" s="134"/>
      <c r="Q98" s="134"/>
      <c r="R98" s="134">
        <f t="shared" si="57"/>
        <v>0.12466666666666666</v>
      </c>
      <c r="S98" s="134">
        <f t="shared" si="55"/>
        <v>0.37833333333333335</v>
      </c>
      <c r="T98" s="134">
        <f t="shared" si="55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4">
        <f>U15</f>
        <v>0.57608333333333328</v>
      </c>
      <c r="M99" s="134">
        <f t="shared" si="54"/>
        <v>0.66833333333333333</v>
      </c>
      <c r="N99" s="134">
        <f t="shared" si="54"/>
        <v>7.58</v>
      </c>
      <c r="O99" s="134"/>
      <c r="P99" s="134"/>
      <c r="Q99" s="134"/>
      <c r="R99" s="134"/>
      <c r="S99" s="134"/>
      <c r="T99" s="134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4">
        <f>U16</f>
        <v>0.53555555555555556</v>
      </c>
      <c r="M100" s="134">
        <f t="shared" si="54"/>
        <v>0.53555555555555556</v>
      </c>
      <c r="N100" s="134">
        <f t="shared" si="54"/>
        <v>9.8144444444444439</v>
      </c>
      <c r="O100" s="134"/>
      <c r="P100" s="134"/>
      <c r="Q100" s="134"/>
      <c r="R100" s="134"/>
      <c r="S100" s="134"/>
      <c r="T100" s="134"/>
    </row>
    <row r="101" spans="9:20" x14ac:dyDescent="0.3">
      <c r="I101" s="15" t="s">
        <v>325</v>
      </c>
      <c r="J101" s="15"/>
      <c r="K101" s="235">
        <f>AVERAGE(K94:K100)</f>
        <v>289.49458110714284</v>
      </c>
      <c r="L101" s="243">
        <f>AVERAGE(L94:L100)</f>
        <v>0.70777777777777773</v>
      </c>
      <c r="M101" s="243">
        <f t="shared" ref="M101:N101" si="59">AVERAGE(M94:M100)</f>
        <v>0.63150396825396826</v>
      </c>
      <c r="N101" s="243">
        <f t="shared" si="59"/>
        <v>8.7041150793650797</v>
      </c>
      <c r="O101" s="243"/>
      <c r="P101" s="243"/>
      <c r="Q101" s="243"/>
      <c r="R101" s="243">
        <f>AVERAGE(R94:R98)</f>
        <v>0.10015</v>
      </c>
      <c r="S101" s="243">
        <f t="shared" ref="S101:T101" si="60">AVERAGE(S94:S98)</f>
        <v>0.25433333333333336</v>
      </c>
      <c r="T101" s="243">
        <f t="shared" si="60"/>
        <v>7.3094999999999999</v>
      </c>
    </row>
    <row r="102" spans="9:20" x14ac:dyDescent="0.3">
      <c r="I102" s="15" t="s">
        <v>326</v>
      </c>
      <c r="J102" s="15"/>
      <c r="K102" s="235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92" zoomScaleNormal="85" workbookViewId="0">
      <pane ySplit="4" topLeftCell="A37" activePane="bottomLeft" state="frozen"/>
      <selection pane="bottomLeft" activeCell="P46" sqref="P46"/>
    </sheetView>
  </sheetViews>
  <sheetFormatPr defaultColWidth="8.77734375" defaultRowHeight="14.4" x14ac:dyDescent="0.3"/>
  <cols>
    <col min="1" max="1" width="8.77734375" style="594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4" customWidth="1"/>
    <col min="7" max="7" width="8.77734375" style="440"/>
    <col min="8" max="8" width="20.5546875" style="13" customWidth="1"/>
    <col min="9" max="9" width="18.88671875" style="335" customWidth="1"/>
    <col min="10" max="10" width="18.88671875" style="440" customWidth="1"/>
    <col min="11" max="11" width="9.77734375" style="440" customWidth="1"/>
    <col min="12" max="12" width="20.88671875" style="440" bestFit="1" customWidth="1"/>
    <col min="13" max="13" width="27.88671875" style="335" customWidth="1"/>
    <col min="14" max="14" width="16.6640625" style="440" customWidth="1"/>
    <col min="15" max="15" width="8.77734375" style="335"/>
    <col min="16" max="16" width="18.88671875" style="440" bestFit="1" customWidth="1"/>
    <col min="17" max="17" width="18.88671875" style="335" customWidth="1"/>
    <col min="18" max="18" width="14.21875" style="440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4" customWidth="1"/>
    <col min="27" max="27" width="14.33203125" style="1" customWidth="1"/>
    <col min="28" max="28" width="21.88671875" style="948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168</v>
      </c>
      <c r="C2" s="129" t="s">
        <v>169</v>
      </c>
      <c r="D2" s="518"/>
      <c r="E2" s="518"/>
      <c r="H2" s="1154" t="s">
        <v>33</v>
      </c>
      <c r="I2" s="1154"/>
      <c r="J2" s="1154"/>
      <c r="K2" s="1154"/>
    </row>
    <row r="3" spans="1:92" ht="15" thickBot="1" x14ac:dyDescent="0.35"/>
    <row r="4" spans="1:92" ht="29.4" thickBot="1" x14ac:dyDescent="0.35">
      <c r="A4" s="595" t="s">
        <v>551</v>
      </c>
      <c r="B4" s="1317" t="s">
        <v>1</v>
      </c>
      <c r="C4" s="1318"/>
      <c r="D4" s="822" t="s">
        <v>2</v>
      </c>
      <c r="E4" s="822" t="s">
        <v>177</v>
      </c>
      <c r="F4" s="823" t="s">
        <v>27</v>
      </c>
      <c r="G4" s="823" t="s">
        <v>34</v>
      </c>
      <c r="H4" s="824" t="s">
        <v>279</v>
      </c>
      <c r="I4" s="824" t="s">
        <v>445</v>
      </c>
      <c r="J4" s="824" t="s">
        <v>450</v>
      </c>
      <c r="K4" s="823" t="s">
        <v>35</v>
      </c>
      <c r="L4" s="824" t="s">
        <v>36</v>
      </c>
      <c r="M4" s="823" t="s">
        <v>444</v>
      </c>
      <c r="N4" s="823" t="s">
        <v>208</v>
      </c>
      <c r="O4" s="823" t="s">
        <v>37</v>
      </c>
      <c r="P4" s="823" t="s">
        <v>38</v>
      </c>
      <c r="Q4" s="823" t="s">
        <v>518</v>
      </c>
      <c r="R4" s="823" t="s">
        <v>128</v>
      </c>
      <c r="S4" s="823" t="s">
        <v>301</v>
      </c>
      <c r="T4" s="823" t="s">
        <v>154</v>
      </c>
      <c r="U4" s="823" t="s">
        <v>155</v>
      </c>
      <c r="V4" s="821" t="s">
        <v>156</v>
      </c>
      <c r="W4" s="823" t="s">
        <v>220</v>
      </c>
      <c r="X4" s="823" t="s">
        <v>221</v>
      </c>
      <c r="Y4" s="821" t="s">
        <v>222</v>
      </c>
      <c r="Z4" s="942" t="s">
        <v>590</v>
      </c>
      <c r="AB4" s="949" t="s">
        <v>519</v>
      </c>
      <c r="AC4" s="737" t="s">
        <v>587</v>
      </c>
    </row>
    <row r="5" spans="1:92" ht="30.6" customHeight="1" thickBot="1" x14ac:dyDescent="0.35">
      <c r="A5" s="1310">
        <v>1</v>
      </c>
      <c r="B5" s="1195">
        <v>46265</v>
      </c>
      <c r="C5" s="1195"/>
      <c r="D5" s="757" t="s">
        <v>447</v>
      </c>
      <c r="E5" s="757" t="s">
        <v>446</v>
      </c>
      <c r="F5" s="886" t="s">
        <v>13</v>
      </c>
      <c r="G5" s="830">
        <v>0.2271</v>
      </c>
      <c r="H5" s="563">
        <v>116.84</v>
      </c>
      <c r="I5" s="563">
        <f t="shared" ref="I5:I11" si="0">H5/((720-R5)/60)</f>
        <v>11.198722044728434</v>
      </c>
      <c r="J5" s="563">
        <f>H5</f>
        <v>116.84</v>
      </c>
      <c r="K5" s="899">
        <v>1.135</v>
      </c>
      <c r="L5" s="900">
        <v>0.68</v>
      </c>
      <c r="M5" s="563">
        <f>H5*K5*G5</f>
        <v>30.116503140000003</v>
      </c>
      <c r="N5" s="1308">
        <f>SUM(M5:M6)</f>
        <v>74.069659139999999</v>
      </c>
      <c r="O5" s="563">
        <f t="shared" ref="O5:O11" si="1">M5/((720-R5)/60)</f>
        <v>2.8865657961661344</v>
      </c>
      <c r="P5" s="1308">
        <f>'Milling Down Time Hours'!Q5</f>
        <v>22.433333333333334</v>
      </c>
      <c r="Q5" s="563">
        <f t="shared" ref="Q5:Q15" si="2">720-R5</f>
        <v>626</v>
      </c>
      <c r="R5" s="563">
        <f>'Milling Down Time Hours'!G5</f>
        <v>94</v>
      </c>
      <c r="S5" s="1290">
        <f>SUM(M5:M8)</f>
        <v>292.31360000000001</v>
      </c>
      <c r="T5" s="565">
        <f>AVERAGE('LT Ball Mill'!F4:F6)</f>
        <v>0.96699999999999997</v>
      </c>
      <c r="U5" s="565">
        <f>AVERAGE('LT Ball Mill'!G4:G6)</f>
        <v>0.41</v>
      </c>
      <c r="V5" s="565">
        <f>AVERAGE('LT Ball Mill'!H4:H6)</f>
        <v>6.1096666666666666</v>
      </c>
      <c r="W5" s="479">
        <f t="shared" ref="W5:W46" si="3">T5*M5</f>
        <v>29.122658536380001</v>
      </c>
      <c r="X5" s="563">
        <f t="shared" ref="X5:X46" si="4">M5*U5</f>
        <v>12.347766287400001</v>
      </c>
      <c r="Y5" s="563">
        <f t="shared" ref="Y5:Y46" si="5">M5*V5</f>
        <v>184.00179535102001</v>
      </c>
      <c r="Z5" s="886"/>
      <c r="AB5" s="950">
        <f t="shared" ref="AB5:AB40" si="6">W5*$AC$5</f>
        <v>72806646.340949997</v>
      </c>
      <c r="AC5" s="738">
        <v>2500000</v>
      </c>
      <c r="AE5" s="735"/>
      <c r="AG5" s="1265" t="s">
        <v>39</v>
      </c>
      <c r="AH5" s="1266"/>
      <c r="AI5" s="1266"/>
      <c r="AJ5" s="1267"/>
      <c r="AL5" s="725" t="s">
        <v>215</v>
      </c>
      <c r="AM5" s="726">
        <v>10.7</v>
      </c>
      <c r="AN5" s="727" t="s">
        <v>217</v>
      </c>
    </row>
    <row r="6" spans="1:92" ht="16.2" thickBot="1" x14ac:dyDescent="0.35">
      <c r="A6" s="1310"/>
      <c r="B6" s="1195"/>
      <c r="C6" s="1195"/>
      <c r="D6" s="757" t="s">
        <v>448</v>
      </c>
      <c r="E6" s="757" t="s">
        <v>446</v>
      </c>
      <c r="F6" s="886" t="s">
        <v>14</v>
      </c>
      <c r="G6" s="830">
        <v>0.36</v>
      </c>
      <c r="H6" s="773">
        <f>J6-H5</f>
        <v>98.859999999999985</v>
      </c>
      <c r="I6" s="563">
        <f t="shared" si="0"/>
        <v>8.2383333333333315</v>
      </c>
      <c r="J6" s="563">
        <v>215.7</v>
      </c>
      <c r="K6" s="899">
        <v>1.2350000000000001</v>
      </c>
      <c r="L6" s="900">
        <v>0.68</v>
      </c>
      <c r="M6" s="563">
        <f>H6*K6*G6</f>
        <v>43.953155999999993</v>
      </c>
      <c r="N6" s="1308"/>
      <c r="O6" s="563">
        <f t="shared" si="1"/>
        <v>3.6627629999999995</v>
      </c>
      <c r="P6" s="1308"/>
      <c r="Q6" s="563">
        <f t="shared" si="2"/>
        <v>720</v>
      </c>
      <c r="R6" s="563">
        <f>'Milling Down Time Hours'!G6</f>
        <v>0</v>
      </c>
      <c r="S6" s="1290"/>
      <c r="T6" s="565">
        <f>AVERAGE('LT Ball Mill'!F7:F9)</f>
        <v>0.60899999999999999</v>
      </c>
      <c r="U6" s="565">
        <f>AVERAGE('LT Ball Mill'!G7:G9)</f>
        <v>0.52833333333333343</v>
      </c>
      <c r="V6" s="565">
        <f>AVERAGE('LT Ball Mill'!H7:H9)</f>
        <v>7.623333333333334</v>
      </c>
      <c r="W6" s="479">
        <f t="shared" si="3"/>
        <v>26.767472003999995</v>
      </c>
      <c r="X6" s="563">
        <f t="shared" si="4"/>
        <v>23.22191742</v>
      </c>
      <c r="Y6" s="563">
        <f t="shared" si="5"/>
        <v>335.06955923999999</v>
      </c>
      <c r="Z6" s="886"/>
      <c r="AB6" s="951">
        <f t="shared" si="6"/>
        <v>66918680.00999999</v>
      </c>
      <c r="AD6" s="735"/>
      <c r="AE6" s="735"/>
      <c r="AG6" s="715"/>
      <c r="AH6" s="722" t="s">
        <v>40</v>
      </c>
      <c r="AI6" s="736">
        <v>1225</v>
      </c>
      <c r="AJ6" s="716" t="s">
        <v>41</v>
      </c>
      <c r="AK6" s="721"/>
      <c r="AL6" s="728" t="s">
        <v>216</v>
      </c>
      <c r="AM6" s="734">
        <v>10.8</v>
      </c>
      <c r="AN6" s="730" t="s">
        <v>217</v>
      </c>
    </row>
    <row r="7" spans="1:92" s="434" customFormat="1" ht="15.6" x14ac:dyDescent="0.3">
      <c r="A7" s="1310"/>
      <c r="B7" s="1195">
        <v>46266</v>
      </c>
      <c r="C7" s="1195"/>
      <c r="D7" s="757" t="s">
        <v>447</v>
      </c>
      <c r="E7" s="757" t="s">
        <v>446</v>
      </c>
      <c r="F7" s="886" t="s">
        <v>13</v>
      </c>
      <c r="G7" s="900">
        <v>0.38790000000000002</v>
      </c>
      <c r="H7" s="774">
        <f>J7-SUM(H5:H6)</f>
        <v>143.30000000000001</v>
      </c>
      <c r="I7" s="563">
        <f t="shared" si="0"/>
        <v>11.941666666666668</v>
      </c>
      <c r="J7" s="563">
        <v>359</v>
      </c>
      <c r="K7" s="589">
        <v>1.2549999999999999</v>
      </c>
      <c r="L7" s="900">
        <v>0.7</v>
      </c>
      <c r="M7" s="563">
        <f>(K7*J7*G7)-(SUM(M5:M6))</f>
        <v>100.69674635999999</v>
      </c>
      <c r="N7" s="1308">
        <f>SUM(M7:M8)</f>
        <v>218.24394086000001</v>
      </c>
      <c r="O7" s="563">
        <f t="shared" si="1"/>
        <v>8.3913955299999987</v>
      </c>
      <c r="P7" s="1308">
        <f>'Milling Down Time Hours'!Q6</f>
        <v>22.9</v>
      </c>
      <c r="Q7" s="563">
        <f t="shared" si="2"/>
        <v>720</v>
      </c>
      <c r="R7" s="563">
        <f>'Milling Down Time Hours'!G7</f>
        <v>0</v>
      </c>
      <c r="S7" s="1290"/>
      <c r="T7" s="565">
        <f>AVERAGE('LT Ball Mill'!F10:F12)</f>
        <v>0.64699999999999991</v>
      </c>
      <c r="U7" s="565">
        <f>AVERAGE('LT Ball Mill'!G10:G12)</f>
        <v>0.67433333333333334</v>
      </c>
      <c r="V7" s="565">
        <f>AVERAGE('LT Ball Mill'!H10:H12)</f>
        <v>7.5333333333333341</v>
      </c>
      <c r="W7" s="479">
        <f t="shared" si="3"/>
        <v>65.150794894919983</v>
      </c>
      <c r="X7" s="563">
        <f t="shared" si="4"/>
        <v>67.903172628759989</v>
      </c>
      <c r="Y7" s="563">
        <f t="shared" si="5"/>
        <v>758.58215591199996</v>
      </c>
      <c r="Z7" s="886"/>
      <c r="AA7" s="1"/>
      <c r="AB7" s="951">
        <f t="shared" si="6"/>
        <v>162876987.23729995</v>
      </c>
      <c r="AC7" s="1"/>
      <c r="AD7" s="1"/>
      <c r="AE7" s="1"/>
      <c r="AF7" s="1"/>
      <c r="AG7" s="715"/>
      <c r="AH7" s="31" t="s">
        <v>42</v>
      </c>
      <c r="AI7" s="723">
        <v>1000</v>
      </c>
      <c r="AJ7" s="716" t="s">
        <v>43</v>
      </c>
      <c r="AK7" s="1"/>
      <c r="AL7" s="728" t="s">
        <v>218</v>
      </c>
      <c r="AM7" s="729">
        <f>AM5*0.5</f>
        <v>5.35</v>
      </c>
      <c r="AN7" s="73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4" customFormat="1" ht="16.2" thickBot="1" x14ac:dyDescent="0.35">
      <c r="A8" s="1310"/>
      <c r="B8" s="1195"/>
      <c r="C8" s="1195"/>
      <c r="D8" s="758" t="s">
        <v>448</v>
      </c>
      <c r="E8" s="758" t="s">
        <v>449</v>
      </c>
      <c r="F8" s="886" t="s">
        <v>14</v>
      </c>
      <c r="G8" s="900">
        <v>0.41</v>
      </c>
      <c r="H8" s="563">
        <f>J8-SUM(H5:H7)</f>
        <v>198</v>
      </c>
      <c r="I8" s="563">
        <f t="shared" si="0"/>
        <v>18.165137614678898</v>
      </c>
      <c r="J8" s="563">
        <v>557</v>
      </c>
      <c r="K8" s="589">
        <v>1.28</v>
      </c>
      <c r="L8" s="900">
        <v>0.7</v>
      </c>
      <c r="M8" s="563">
        <f>(K8*J8*G8)-(SUM(M5:M7))</f>
        <v>117.54719450000002</v>
      </c>
      <c r="N8" s="1308"/>
      <c r="O8" s="563">
        <f t="shared" si="1"/>
        <v>10.78414628440367</v>
      </c>
      <c r="P8" s="1308"/>
      <c r="Q8" s="563">
        <f t="shared" si="2"/>
        <v>654</v>
      </c>
      <c r="R8" s="563">
        <f>'Milling Down Time Hours'!G8</f>
        <v>66</v>
      </c>
      <c r="S8" s="1290"/>
      <c r="T8" s="565">
        <f>AVERAGE('LT Ball Mill'!F13:F15)</f>
        <v>0.60899999999999999</v>
      </c>
      <c r="U8" s="565">
        <f>AVERAGE('LT Ball Mill'!G13:G15)</f>
        <v>0.52833333333333343</v>
      </c>
      <c r="V8" s="565">
        <f>AVERAGE('LT Ball Mill'!H13:H15)</f>
        <v>7.623333333333334</v>
      </c>
      <c r="W8" s="479">
        <f t="shared" si="3"/>
        <v>71.586241450500012</v>
      </c>
      <c r="X8" s="563">
        <f t="shared" si="4"/>
        <v>62.104101094166687</v>
      </c>
      <c r="Y8" s="563">
        <f t="shared" si="5"/>
        <v>896.10144607166683</v>
      </c>
      <c r="Z8" s="886"/>
      <c r="AA8" s="1"/>
      <c r="AB8" s="951">
        <f t="shared" si="6"/>
        <v>178965603.62625003</v>
      </c>
      <c r="AC8" s="1"/>
      <c r="AD8" s="1"/>
      <c r="AE8" s="1"/>
      <c r="AF8" s="1"/>
      <c r="AG8" s="715"/>
      <c r="AH8" s="31" t="s">
        <v>44</v>
      </c>
      <c r="AI8" s="717">
        <f>+AI6/AI7</f>
        <v>1.2250000000000001</v>
      </c>
      <c r="AJ8" s="716" t="s">
        <v>45</v>
      </c>
      <c r="AK8" s="1"/>
      <c r="AL8" s="731" t="s">
        <v>219</v>
      </c>
      <c r="AM8" s="732">
        <f>3.14*AM7*AM7*AM6</f>
        <v>970.64621999999997</v>
      </c>
      <c r="AN8" s="73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13">
        <v>2</v>
      </c>
      <c r="B9" s="1197">
        <v>46267</v>
      </c>
      <c r="C9" s="1197"/>
      <c r="D9" s="759" t="s">
        <v>447</v>
      </c>
      <c r="E9" s="759" t="s">
        <v>452</v>
      </c>
      <c r="F9" s="799" t="s">
        <v>13</v>
      </c>
      <c r="G9" s="901">
        <v>0.39</v>
      </c>
      <c r="H9" s="627">
        <f>J9</f>
        <v>215</v>
      </c>
      <c r="I9" s="495">
        <f t="shared" si="0"/>
        <v>21.5</v>
      </c>
      <c r="J9" s="627">
        <v>215</v>
      </c>
      <c r="K9" s="627">
        <v>1.26</v>
      </c>
      <c r="L9" s="901">
        <v>0.72</v>
      </c>
      <c r="M9" s="495">
        <f>H9*K9*G9</f>
        <v>105.651</v>
      </c>
      <c r="N9" s="1315">
        <f>SUM(M9:M10)</f>
        <v>209.804</v>
      </c>
      <c r="O9" s="495">
        <f t="shared" si="1"/>
        <v>10.565099999999999</v>
      </c>
      <c r="P9" s="1315">
        <f>'Milling Down Time Hours'!Q7</f>
        <v>22</v>
      </c>
      <c r="Q9" s="495">
        <f t="shared" si="2"/>
        <v>600</v>
      </c>
      <c r="R9" s="958">
        <f>'Milling Down Time Hours'!G9</f>
        <v>120.00000000000001</v>
      </c>
      <c r="S9" s="1314">
        <f>SUM(M9:M11)</f>
        <v>300.14215000000002</v>
      </c>
      <c r="T9" s="593">
        <f>AVERAGE('LT Ball Mill'!F16:F18)</f>
        <v>0.7446666666666667</v>
      </c>
      <c r="U9" s="593">
        <f>AVERAGE('LT Ball Mill'!G16:G18)</f>
        <v>0.59</v>
      </c>
      <c r="V9" s="593">
        <f>AVERAGE('LT Ball Mill'!H16:H18)</f>
        <v>9.8400000000000016</v>
      </c>
      <c r="W9" s="482">
        <f t="shared" si="3"/>
        <v>78.674778000000003</v>
      </c>
      <c r="X9" s="495">
        <f t="shared" si="4"/>
        <v>62.334089999999996</v>
      </c>
      <c r="Y9" s="495">
        <f t="shared" si="5"/>
        <v>1039.6058400000002</v>
      </c>
      <c r="Z9" s="799"/>
      <c r="AB9" s="952">
        <f t="shared" si="6"/>
        <v>196686945</v>
      </c>
      <c r="AG9" s="739"/>
      <c r="AH9" s="740" t="s">
        <v>46</v>
      </c>
      <c r="AI9" s="741">
        <f>2.1</f>
        <v>2.1</v>
      </c>
      <c r="AJ9" s="742" t="s">
        <v>45</v>
      </c>
    </row>
    <row r="10" spans="1:92" ht="16.2" thickBot="1" x14ac:dyDescent="0.35">
      <c r="A10" s="1313"/>
      <c r="B10" s="1197"/>
      <c r="C10" s="1197"/>
      <c r="D10" s="759" t="s">
        <v>451</v>
      </c>
      <c r="E10" s="507"/>
      <c r="F10" s="799" t="s">
        <v>14</v>
      </c>
      <c r="G10" s="901">
        <v>0.4</v>
      </c>
      <c r="H10" s="627">
        <f>J10-H9</f>
        <v>198</v>
      </c>
      <c r="I10" s="495">
        <f t="shared" si="0"/>
        <v>16.5</v>
      </c>
      <c r="J10" s="627">
        <v>413</v>
      </c>
      <c r="K10" s="627">
        <v>1.27</v>
      </c>
      <c r="L10" s="901">
        <v>0.72</v>
      </c>
      <c r="M10" s="495">
        <f>K10*J10*G10-SUM(M9)</f>
        <v>104.15300000000001</v>
      </c>
      <c r="N10" s="1315"/>
      <c r="O10" s="495">
        <f t="shared" si="1"/>
        <v>8.6794166666666666</v>
      </c>
      <c r="P10" s="1315"/>
      <c r="Q10" s="495">
        <f t="shared" si="2"/>
        <v>720</v>
      </c>
      <c r="R10" s="958">
        <f>'Milling Down Time Hours'!G10</f>
        <v>0</v>
      </c>
      <c r="S10" s="1314"/>
      <c r="T10" s="593">
        <f>AVERAGE('LT Ball Mill'!F19:F21)</f>
        <v>0.64600000000000002</v>
      </c>
      <c r="U10" s="593">
        <f>AVERAGE('LT Ball Mill'!G19:G21)</f>
        <v>1.0666666666666667</v>
      </c>
      <c r="V10" s="593">
        <f>AVERAGE('LT Ball Mill'!H19:H21)</f>
        <v>9.2566666666666659</v>
      </c>
      <c r="W10" s="482">
        <f t="shared" si="3"/>
        <v>67.282838000000012</v>
      </c>
      <c r="X10" s="495">
        <f t="shared" si="4"/>
        <v>111.09653333333334</v>
      </c>
      <c r="Y10" s="495">
        <f t="shared" si="5"/>
        <v>964.10960333333333</v>
      </c>
      <c r="Z10" s="799"/>
      <c r="AB10" s="952">
        <f t="shared" si="6"/>
        <v>168207095.00000003</v>
      </c>
      <c r="AG10" s="739"/>
      <c r="AH10" s="740" t="s">
        <v>47</v>
      </c>
      <c r="AI10" s="741">
        <v>1</v>
      </c>
      <c r="AJ10" s="742" t="s">
        <v>45</v>
      </c>
    </row>
    <row r="11" spans="1:92" s="434" customFormat="1" ht="16.2" thickBot="1" x14ac:dyDescent="0.35">
      <c r="A11" s="1313"/>
      <c r="B11" s="1197">
        <v>46268</v>
      </c>
      <c r="C11" s="1197"/>
      <c r="D11" s="759" t="s">
        <v>447</v>
      </c>
      <c r="E11" s="760" t="s">
        <v>478</v>
      </c>
      <c r="F11" s="799" t="s">
        <v>13</v>
      </c>
      <c r="G11" s="901">
        <v>0.43</v>
      </c>
      <c r="H11" s="627">
        <f>J11-H10-H9</f>
        <v>126</v>
      </c>
      <c r="I11" s="495">
        <f t="shared" si="0"/>
        <v>10.5</v>
      </c>
      <c r="J11" s="627">
        <v>539</v>
      </c>
      <c r="K11" s="627">
        <v>1.2949999999999999</v>
      </c>
      <c r="L11" s="901">
        <v>0.71</v>
      </c>
      <c r="M11" s="495">
        <f>J11*K11*G11-SUM(M9:M10)</f>
        <v>90.338150000000013</v>
      </c>
      <c r="N11" s="1315">
        <f>SUM(M11:M12)</f>
        <v>90.338150000000013</v>
      </c>
      <c r="O11" s="495">
        <f t="shared" si="1"/>
        <v>7.5281791666666678</v>
      </c>
      <c r="P11" s="1315">
        <f>'Milling Down Time Hours'!Q8</f>
        <v>23</v>
      </c>
      <c r="Q11" s="495">
        <f t="shared" si="2"/>
        <v>720</v>
      </c>
      <c r="R11" s="958">
        <f>'Milling Down Time Hours'!G11</f>
        <v>0</v>
      </c>
      <c r="S11" s="1314"/>
      <c r="T11" s="593">
        <f>AVERAGE('LT Ball Mill'!F22:F24)</f>
        <v>0.66133333333333333</v>
      </c>
      <c r="U11" s="593">
        <f>AVERAGE('LT Ball Mill'!G22:G24)</f>
        <v>0.72333333333333327</v>
      </c>
      <c r="V11" s="593">
        <f>AVERAGE('LT Ball Mill'!H22:H24)</f>
        <v>8.0566666666666666</v>
      </c>
      <c r="W11" s="482">
        <f t="shared" si="3"/>
        <v>59.743629866666673</v>
      </c>
      <c r="X11" s="495">
        <f t="shared" si="4"/>
        <v>65.344595166666664</v>
      </c>
      <c r="Y11" s="495">
        <f t="shared" si="5"/>
        <v>727.82436183333346</v>
      </c>
      <c r="Z11" s="799"/>
      <c r="AA11" s="1"/>
      <c r="AB11" s="952">
        <f t="shared" si="6"/>
        <v>149359074.66666669</v>
      </c>
      <c r="AC11" s="1"/>
      <c r="AD11" s="1"/>
      <c r="AE11" s="1"/>
      <c r="AF11" s="1"/>
      <c r="AG11" s="715"/>
      <c r="AH11" s="722" t="s">
        <v>48</v>
      </c>
      <c r="AI11" s="724">
        <f>+(AI8-1)/(AI8-AI8/AI9)</f>
        <v>0.35064935064935077</v>
      </c>
      <c r="AJ11" s="71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4" customFormat="1" ht="16.2" thickBot="1" x14ac:dyDescent="0.35">
      <c r="A12" s="1313"/>
      <c r="B12" s="1210"/>
      <c r="C12" s="1210"/>
      <c r="D12" s="805" t="s">
        <v>451</v>
      </c>
      <c r="E12" s="806" t="s">
        <v>474</v>
      </c>
      <c r="F12" s="935" t="s">
        <v>14</v>
      </c>
      <c r="G12" s="916"/>
      <c r="H12" s="892"/>
      <c r="I12" s="564"/>
      <c r="J12" s="892"/>
      <c r="K12" s="892"/>
      <c r="L12" s="902"/>
      <c r="M12" s="564">
        <f t="shared" ref="M12:M75" si="7">H12*K12*G12</f>
        <v>0</v>
      </c>
      <c r="N12" s="1299"/>
      <c r="O12" s="564"/>
      <c r="P12" s="1299"/>
      <c r="Q12" s="564">
        <f t="shared" si="2"/>
        <v>660</v>
      </c>
      <c r="R12" s="985">
        <f>'Milling Down Time Hours'!G12</f>
        <v>60.000000000000007</v>
      </c>
      <c r="S12" s="1301"/>
      <c r="T12" s="807"/>
      <c r="U12" s="807"/>
      <c r="V12" s="807"/>
      <c r="W12" s="553">
        <f t="shared" si="3"/>
        <v>0</v>
      </c>
      <c r="X12" s="564">
        <f t="shared" si="4"/>
        <v>0</v>
      </c>
      <c r="Y12" s="564">
        <f t="shared" si="5"/>
        <v>0</v>
      </c>
      <c r="Z12" s="935"/>
      <c r="AA12" s="1"/>
      <c r="AB12" s="953">
        <f t="shared" si="6"/>
        <v>0</v>
      </c>
      <c r="AC12" s="1"/>
      <c r="AD12" s="1"/>
      <c r="AE12" s="1"/>
      <c r="AF12" s="1"/>
      <c r="AG12" s="739"/>
      <c r="AH12" s="740" t="s">
        <v>49</v>
      </c>
      <c r="AI12" s="743">
        <f>+AI11*AI6</f>
        <v>429.54545454545467</v>
      </c>
      <c r="AJ12" s="74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29"/>
      <c r="B13" s="1319">
        <v>46269</v>
      </c>
      <c r="C13" s="1212"/>
      <c r="D13" s="1321" t="s">
        <v>491</v>
      </c>
      <c r="E13" s="746"/>
      <c r="F13" s="936" t="s">
        <v>13</v>
      </c>
      <c r="G13" s="917"/>
      <c r="H13" s="893"/>
      <c r="I13" s="813"/>
      <c r="J13" s="893"/>
      <c r="K13" s="893"/>
      <c r="L13" s="893"/>
      <c r="M13" s="813">
        <f t="shared" si="7"/>
        <v>0</v>
      </c>
      <c r="N13" s="813"/>
      <c r="O13" s="893">
        <v>0</v>
      </c>
      <c r="P13" s="813">
        <f>'Milling Down Time Hours'!Q9</f>
        <v>0</v>
      </c>
      <c r="Q13" s="813"/>
      <c r="R13" s="1330">
        <f>'Milling Down Time Hours'!P9</f>
        <v>1440</v>
      </c>
      <c r="S13" s="825"/>
      <c r="T13" s="814"/>
      <c r="U13" s="814"/>
      <c r="V13" s="814"/>
      <c r="W13" s="815">
        <f t="shared" si="3"/>
        <v>0</v>
      </c>
      <c r="X13" s="813">
        <f t="shared" si="4"/>
        <v>0</v>
      </c>
      <c r="Y13" s="813">
        <f t="shared" si="5"/>
        <v>0</v>
      </c>
      <c r="Z13" s="943"/>
      <c r="AB13" s="953">
        <f t="shared" si="6"/>
        <v>0</v>
      </c>
      <c r="AG13" s="739"/>
      <c r="AH13" s="740" t="s">
        <v>50</v>
      </c>
      <c r="AI13" s="743">
        <f>(AI6-AI12)</f>
        <v>795.45454545454527</v>
      </c>
      <c r="AJ13" s="742" t="s">
        <v>41</v>
      </c>
      <c r="AK13" s="8"/>
    </row>
    <row r="14" spans="1:92" ht="16.2" thickBot="1" x14ac:dyDescent="0.35">
      <c r="A14" s="1329"/>
      <c r="B14" s="1320"/>
      <c r="C14" s="1218"/>
      <c r="D14" s="1322"/>
      <c r="E14" s="816"/>
      <c r="F14" s="937" t="s">
        <v>14</v>
      </c>
      <c r="G14" s="903"/>
      <c r="H14" s="894"/>
      <c r="I14" s="818"/>
      <c r="J14" s="894"/>
      <c r="K14" s="894"/>
      <c r="L14" s="903"/>
      <c r="M14" s="818">
        <f t="shared" si="7"/>
        <v>0</v>
      </c>
      <c r="N14" s="818"/>
      <c r="O14" s="818">
        <f>(N14/SUM(P5:P14))</f>
        <v>0</v>
      </c>
      <c r="P14" s="818">
        <v>0</v>
      </c>
      <c r="Q14" s="818">
        <v>0</v>
      </c>
      <c r="R14" s="1331"/>
      <c r="S14" s="817"/>
      <c r="T14" s="819"/>
      <c r="U14" s="819"/>
      <c r="V14" s="819"/>
      <c r="W14" s="820">
        <f t="shared" si="3"/>
        <v>0</v>
      </c>
      <c r="X14" s="818">
        <f t="shared" si="4"/>
        <v>0</v>
      </c>
      <c r="Y14" s="818">
        <f t="shared" si="5"/>
        <v>0</v>
      </c>
      <c r="Z14" s="944"/>
      <c r="AB14" s="953">
        <f t="shared" si="6"/>
        <v>0</v>
      </c>
      <c r="AG14" s="718"/>
      <c r="AH14" s="719"/>
      <c r="AI14" s="719"/>
      <c r="AJ14" s="720"/>
      <c r="AK14" s="8"/>
    </row>
    <row r="15" spans="1:92" x14ac:dyDescent="0.3">
      <c r="A15" s="761"/>
      <c r="B15" s="1309">
        <v>46270</v>
      </c>
      <c r="C15" s="1309"/>
      <c r="D15" s="808"/>
      <c r="E15" s="808" t="s">
        <v>492</v>
      </c>
      <c r="F15" s="933" t="s">
        <v>13</v>
      </c>
      <c r="G15" s="888"/>
      <c r="H15" s="888"/>
      <c r="I15" s="810"/>
      <c r="J15" s="888"/>
      <c r="K15" s="888"/>
      <c r="L15" s="904"/>
      <c r="M15" s="810">
        <f t="shared" si="7"/>
        <v>0</v>
      </c>
      <c r="N15" s="888"/>
      <c r="O15" s="888"/>
      <c r="P15" s="810">
        <v>0</v>
      </c>
      <c r="Q15" s="810">
        <f t="shared" si="2"/>
        <v>0</v>
      </c>
      <c r="R15" s="810">
        <f>'Milling Down Time Hours'!G15</f>
        <v>720</v>
      </c>
      <c r="S15" s="809"/>
      <c r="T15" s="811"/>
      <c r="U15" s="811"/>
      <c r="V15" s="811"/>
      <c r="W15" s="812">
        <f t="shared" si="3"/>
        <v>0</v>
      </c>
      <c r="X15" s="810">
        <f t="shared" si="4"/>
        <v>0</v>
      </c>
      <c r="Y15" s="810">
        <f t="shared" si="5"/>
        <v>0</v>
      </c>
      <c r="Z15" s="933"/>
      <c r="AB15" s="953">
        <f t="shared" si="6"/>
        <v>0</v>
      </c>
    </row>
    <row r="16" spans="1:92" x14ac:dyDescent="0.3">
      <c r="A16" s="1310">
        <v>3</v>
      </c>
      <c r="B16" s="1195">
        <v>46270</v>
      </c>
      <c r="C16" s="1195"/>
      <c r="D16" s="554" t="s">
        <v>448</v>
      </c>
      <c r="E16" s="580" t="s">
        <v>493</v>
      </c>
      <c r="F16" s="886" t="s">
        <v>14</v>
      </c>
      <c r="G16" s="900">
        <v>0.38</v>
      </c>
      <c r="H16" s="563">
        <f>J16-'Au Cal Leaching Tank'!$Q$10</f>
        <v>62.150000000000006</v>
      </c>
      <c r="I16" s="563">
        <v>5.57</v>
      </c>
      <c r="J16" s="589">
        <v>170</v>
      </c>
      <c r="K16" s="589">
        <v>1.25</v>
      </c>
      <c r="L16" s="900"/>
      <c r="M16" s="563">
        <f>(J16*K16*G16)-'Au Cal Leaching Tank'!$R$10</f>
        <v>26.314330250000005</v>
      </c>
      <c r="N16" s="563">
        <f>SUM(M15:M16)</f>
        <v>26.314330250000005</v>
      </c>
      <c r="O16" s="563">
        <f t="shared" ref="O16:O23" si="8">M16/P16</f>
        <v>2.325272187039765</v>
      </c>
      <c r="P16" s="563">
        <f>Q16/60</f>
        <v>11.316666666666666</v>
      </c>
      <c r="Q16" s="563">
        <f>720-R16</f>
        <v>679</v>
      </c>
      <c r="R16" s="563">
        <v>41</v>
      </c>
      <c r="S16" s="1290">
        <f>SUM(M16:M19)</f>
        <v>326.97083025000006</v>
      </c>
      <c r="T16" s="565">
        <f>AVERAGE('LT Ball Mill'!F25:F27)</f>
        <v>1.087</v>
      </c>
      <c r="U16" s="565">
        <f>AVERAGE('LT Ball Mill'!G25:G27)</f>
        <v>0.77333333333333332</v>
      </c>
      <c r="V16" s="565">
        <f>AVERAGE('LT Ball Mill'!H25:H27)</f>
        <v>8.1166666666666671</v>
      </c>
      <c r="W16" s="479">
        <f t="shared" si="3"/>
        <v>28.603676981750006</v>
      </c>
      <c r="X16" s="563">
        <f t="shared" si="4"/>
        <v>20.349748726666668</v>
      </c>
      <c r="Y16" s="563">
        <f t="shared" si="5"/>
        <v>213.58464719583338</v>
      </c>
      <c r="Z16" s="886"/>
      <c r="AB16" s="951">
        <f t="shared" si="6"/>
        <v>71509192.454375014</v>
      </c>
    </row>
    <row r="17" spans="1:32" x14ac:dyDescent="0.3">
      <c r="A17" s="1310"/>
      <c r="B17" s="1195">
        <v>46271</v>
      </c>
      <c r="C17" s="1195"/>
      <c r="D17" s="609" t="s">
        <v>448</v>
      </c>
      <c r="E17" s="609" t="s">
        <v>513</v>
      </c>
      <c r="F17" s="886" t="s">
        <v>13</v>
      </c>
      <c r="G17" s="900">
        <v>0.47</v>
      </c>
      <c r="H17" s="563">
        <f>J17-SUM(H16)-'Au Cal Leaching Tank'!$Q$10</f>
        <v>45</v>
      </c>
      <c r="I17" s="563">
        <f t="shared" ref="I17:I22" si="9">H17/((720-R17)/60)</f>
        <v>4.5762711864406773</v>
      </c>
      <c r="J17" s="589">
        <v>215</v>
      </c>
      <c r="K17" s="589">
        <v>1.33</v>
      </c>
      <c r="L17" s="900">
        <v>0.65</v>
      </c>
      <c r="M17" s="563">
        <f>J17*K17*G17-SUM(M16)-'Au Cal Leaching Tank'!$R$10</f>
        <v>53.646499999999968</v>
      </c>
      <c r="N17" s="1308">
        <f>SUM(M17:M18)</f>
        <v>173.32450000000003</v>
      </c>
      <c r="O17" s="563">
        <f t="shared" si="8"/>
        <v>5.4555762711864366</v>
      </c>
      <c r="P17" s="563">
        <f>(720-R17)/60</f>
        <v>9.8333333333333339</v>
      </c>
      <c r="Q17" s="563">
        <f t="shared" ref="Q17" si="10">720-R17</f>
        <v>590</v>
      </c>
      <c r="R17" s="563">
        <f>'Milling Down Time Hours'!P11</f>
        <v>130</v>
      </c>
      <c r="S17" s="1310"/>
      <c r="T17" s="565">
        <f>AVERAGE('LT Ball Mill'!F28:F30)</f>
        <v>0.90233333333333332</v>
      </c>
      <c r="U17" s="565">
        <f>AVERAGE('LT Ball Mill'!G28:G30)</f>
        <v>0.56999999999999995</v>
      </c>
      <c r="V17" s="565">
        <f>AVERAGE('LT Ball Mill'!H28:H30)</f>
        <v>9.6533333333333342</v>
      </c>
      <c r="W17" s="479">
        <f t="shared" si="3"/>
        <v>48.407025166666635</v>
      </c>
      <c r="X17" s="563">
        <f t="shared" si="4"/>
        <v>30.578504999999979</v>
      </c>
      <c r="Y17" s="563">
        <f t="shared" si="5"/>
        <v>517.86754666666639</v>
      </c>
      <c r="Z17" s="886"/>
      <c r="AB17" s="951">
        <f t="shared" si="6"/>
        <v>121017562.91666658</v>
      </c>
      <c r="AE17" s="44"/>
      <c r="AF17" s="8"/>
    </row>
    <row r="18" spans="1:32" x14ac:dyDescent="0.3">
      <c r="A18" s="1310"/>
      <c r="B18" s="1195"/>
      <c r="C18" s="1195"/>
      <c r="D18" s="609" t="s">
        <v>447</v>
      </c>
      <c r="E18" s="610"/>
      <c r="F18" s="886" t="s">
        <v>14</v>
      </c>
      <c r="G18" s="830">
        <v>0.45</v>
      </c>
      <c r="H18" s="563">
        <f>J18-SUM(H16:H17)-'Au Cal Leaching Tank'!$Q$10</f>
        <v>216.00000000000003</v>
      </c>
      <c r="I18" s="563">
        <f t="shared" si="9"/>
        <v>18.000000000000004</v>
      </c>
      <c r="J18" s="589">
        <v>431</v>
      </c>
      <c r="K18" s="589">
        <v>1.31</v>
      </c>
      <c r="L18" s="900">
        <v>0.65</v>
      </c>
      <c r="M18" s="563">
        <f>J18*K18*G18-SUM(M16:M17)-'Au Cal Leaching Tank'!$R$10</f>
        <v>119.67800000000005</v>
      </c>
      <c r="N18" s="1308"/>
      <c r="O18" s="563">
        <f t="shared" si="8"/>
        <v>9.9731666666666712</v>
      </c>
      <c r="P18" s="563">
        <f>(720-R18)/60</f>
        <v>12</v>
      </c>
      <c r="Q18" s="563">
        <f>720-R18</f>
        <v>720</v>
      </c>
      <c r="R18" s="563">
        <v>0</v>
      </c>
      <c r="S18" s="1310"/>
      <c r="T18" s="565">
        <f>AVERAGE('LT Ball Mill'!F31:F33)</f>
        <v>0.81433333333333335</v>
      </c>
      <c r="U18" s="565">
        <f>AVERAGE('LT Ball Mill'!G31:G33)</f>
        <v>0.6333333333333333</v>
      </c>
      <c r="V18" s="565">
        <f>AVERAGE('LT Ball Mill'!H31:H33)</f>
        <v>9.4366666666666674</v>
      </c>
      <c r="W18" s="479">
        <f t="shared" si="3"/>
        <v>97.457784666666711</v>
      </c>
      <c r="X18" s="563">
        <f t="shared" si="4"/>
        <v>75.796066666666704</v>
      </c>
      <c r="Y18" s="563">
        <f t="shared" si="5"/>
        <v>1129.361393333334</v>
      </c>
      <c r="Z18" s="886"/>
      <c r="AB18" s="951">
        <f t="shared" si="6"/>
        <v>243644461.66666678</v>
      </c>
      <c r="AC18" s="118"/>
    </row>
    <row r="19" spans="1:32" x14ac:dyDescent="0.3">
      <c r="A19" s="1310"/>
      <c r="B19" s="1195">
        <v>46272</v>
      </c>
      <c r="C19" s="1195"/>
      <c r="D19" s="609" t="s">
        <v>170</v>
      </c>
      <c r="E19" s="762" t="s">
        <v>525</v>
      </c>
      <c r="F19" s="886" t="s">
        <v>13</v>
      </c>
      <c r="G19" s="900">
        <v>0.45</v>
      </c>
      <c r="H19" s="563">
        <f>J19-SUM(H16:H18)-'Au Cal Leaching Tank'!$Q$10</f>
        <v>215.99999999999997</v>
      </c>
      <c r="I19" s="563">
        <f t="shared" si="9"/>
        <v>19.31445603576751</v>
      </c>
      <c r="J19" s="589">
        <v>647</v>
      </c>
      <c r="K19" s="589">
        <v>1.31</v>
      </c>
      <c r="L19" s="900">
        <v>0.73</v>
      </c>
      <c r="M19" s="563">
        <f>J19*K19*G19-SUM(M16:M18)-'Au Cal Leaching Tank'!$R$10</f>
        <v>127.33200000000005</v>
      </c>
      <c r="N19" s="1311">
        <f>SUM(M19:M20)</f>
        <v>185.59190000000007</v>
      </c>
      <c r="O19" s="563">
        <f t="shared" si="8"/>
        <v>8.9775793184488872</v>
      </c>
      <c r="P19" s="563">
        <f>(900-R19)/60</f>
        <v>14.183333333333334</v>
      </c>
      <c r="Q19" s="563">
        <f>900-R19</f>
        <v>851</v>
      </c>
      <c r="R19" s="563">
        <f>'Milling Down Time Hours'!G19+30</f>
        <v>49</v>
      </c>
      <c r="S19" s="1310"/>
      <c r="T19" s="565">
        <f>AVERAGE('LT Ball Mill'!F34:F36)</f>
        <v>0.91199999999999992</v>
      </c>
      <c r="U19" s="565">
        <f>AVERAGE('LT Ball Mill'!G34:G36)</f>
        <v>0.95333333333333325</v>
      </c>
      <c r="V19" s="565">
        <f>AVERAGE('LT Ball Mill'!H34:H36)</f>
        <v>9.3966666666666665</v>
      </c>
      <c r="W19" s="479">
        <f t="shared" si="3"/>
        <v>116.12678400000003</v>
      </c>
      <c r="X19" s="563">
        <f t="shared" si="4"/>
        <v>121.38984000000004</v>
      </c>
      <c r="Y19" s="563">
        <f t="shared" si="5"/>
        <v>1196.4963600000005</v>
      </c>
      <c r="Z19" s="886"/>
      <c r="AB19" s="951">
        <f t="shared" si="6"/>
        <v>290316960.00000006</v>
      </c>
    </row>
    <row r="20" spans="1:32" x14ac:dyDescent="0.3">
      <c r="A20" s="1313">
        <v>4</v>
      </c>
      <c r="B20" s="1197">
        <v>46272</v>
      </c>
      <c r="C20" s="1197"/>
      <c r="D20" s="558" t="s">
        <v>516</v>
      </c>
      <c r="E20" s="633" t="s">
        <v>556</v>
      </c>
      <c r="F20" s="799" t="s">
        <v>14</v>
      </c>
      <c r="G20" s="901">
        <v>0.41</v>
      </c>
      <c r="H20" s="495">
        <f>J20-'Au Cal Leaching Tank'!$Q$11</f>
        <v>107.15</v>
      </c>
      <c r="I20" s="495">
        <f>H20/((720-R20)/60)</f>
        <v>9.5103550295857993</v>
      </c>
      <c r="J20" s="627">
        <v>215</v>
      </c>
      <c r="K20" s="627">
        <v>1.28</v>
      </c>
      <c r="L20" s="901">
        <v>0.73</v>
      </c>
      <c r="M20" s="495">
        <f>J20*K20*G20-'Au Cal Leaching Tank'!$R$11</f>
        <v>58.259900000000002</v>
      </c>
      <c r="N20" s="1312"/>
      <c r="O20" s="495">
        <f t="shared" si="8"/>
        <v>6.2870395683453237</v>
      </c>
      <c r="P20" s="495">
        <f>(600-R20)/60</f>
        <v>9.2666666666666675</v>
      </c>
      <c r="Q20" s="495">
        <f>600-R20</f>
        <v>556</v>
      </c>
      <c r="R20" s="495">
        <f>'Milling Down Time Hours'!G20-30</f>
        <v>44</v>
      </c>
      <c r="S20" s="1314">
        <f>SUM(M20:M23)</f>
        <v>316.93529999999998</v>
      </c>
      <c r="T20" s="593">
        <f>AVERAGE('LT Ball Mill'!F37:F39)</f>
        <v>0.53033333333333343</v>
      </c>
      <c r="U20" s="593">
        <f>AVERAGE('LT Ball Mill'!G37:G39)</f>
        <v>1.07</v>
      </c>
      <c r="V20" s="593">
        <f>AVERAGE('LT Ball Mill'!H37:H39)</f>
        <v>8.9266666666666676</v>
      </c>
      <c r="W20" s="482">
        <f t="shared" si="3"/>
        <v>30.897166966666674</v>
      </c>
      <c r="X20" s="495">
        <f t="shared" si="4"/>
        <v>62.338093000000008</v>
      </c>
      <c r="Y20" s="495">
        <f t="shared" si="5"/>
        <v>520.0667073333334</v>
      </c>
      <c r="Z20" s="799"/>
      <c r="AB20" s="952">
        <f t="shared" si="6"/>
        <v>77242917.416666687</v>
      </c>
    </row>
    <row r="21" spans="1:32" x14ac:dyDescent="0.3">
      <c r="A21" s="1313"/>
      <c r="B21" s="1197">
        <v>46273</v>
      </c>
      <c r="C21" s="1197"/>
      <c r="D21" s="559" t="s">
        <v>170</v>
      </c>
      <c r="E21" s="559" t="s">
        <v>526</v>
      </c>
      <c r="F21" s="799" t="s">
        <v>13</v>
      </c>
      <c r="G21" s="901">
        <v>0.42</v>
      </c>
      <c r="H21" s="495">
        <f>J21-'Au Cal Leaching Tank'!$Q$11-SUM(H20)</f>
        <v>188.99999999999997</v>
      </c>
      <c r="I21" s="495">
        <f t="shared" si="9"/>
        <v>18.290322580645157</v>
      </c>
      <c r="J21" s="627">
        <v>404</v>
      </c>
      <c r="K21" s="627">
        <v>1.29</v>
      </c>
      <c r="L21" s="901">
        <v>0.75</v>
      </c>
      <c r="M21" s="495">
        <f>J21*K21*G21-'Au Cal Leaching Tank'!$R$11-SUM(M20)</f>
        <v>106.05519999999997</v>
      </c>
      <c r="N21" s="1315">
        <f>SUM(M21:M22)</f>
        <v>193.82679999999999</v>
      </c>
      <c r="O21" s="495">
        <f t="shared" si="8"/>
        <v>10.2634064516129</v>
      </c>
      <c r="P21" s="495">
        <f>(720-R21)/60</f>
        <v>10.333333333333334</v>
      </c>
      <c r="Q21" s="495">
        <f>720-R21</f>
        <v>620</v>
      </c>
      <c r="R21" s="495">
        <f>'Milling Down Time Hours'!G21</f>
        <v>100</v>
      </c>
      <c r="S21" s="1314"/>
      <c r="T21" s="593">
        <f>AVERAGE('LT Ball Mill'!F40:F42)</f>
        <v>0.64666666666666672</v>
      </c>
      <c r="U21" s="593">
        <f>AVERAGE('LT Ball Mill'!G40:G42)</f>
        <v>0.96333333333333326</v>
      </c>
      <c r="V21" s="593">
        <f>AVERAGE('LT Ball Mill'!H40:H42)</f>
        <v>9.1033333333333335</v>
      </c>
      <c r="W21" s="482">
        <f t="shared" si="3"/>
        <v>68.582362666666654</v>
      </c>
      <c r="X21" s="495">
        <f t="shared" si="4"/>
        <v>102.16650933333329</v>
      </c>
      <c r="Y21" s="495">
        <f t="shared" si="5"/>
        <v>965.45583733333308</v>
      </c>
      <c r="Z21" s="799"/>
      <c r="AB21" s="952">
        <f t="shared" si="6"/>
        <v>171455906.66666663</v>
      </c>
    </row>
    <row r="22" spans="1:32" x14ac:dyDescent="0.3">
      <c r="A22" s="1313"/>
      <c r="B22" s="1197"/>
      <c r="C22" s="1197"/>
      <c r="D22" s="763" t="s">
        <v>530</v>
      </c>
      <c r="E22" s="764" t="s">
        <v>536</v>
      </c>
      <c r="F22" s="799" t="s">
        <v>14</v>
      </c>
      <c r="G22" s="901">
        <v>0.42</v>
      </c>
      <c r="H22" s="495">
        <f>J22-'Au Cal Leaching Tank'!$Q$11-SUM(H20:H21)</f>
        <v>162</v>
      </c>
      <c r="I22" s="495">
        <f t="shared" si="9"/>
        <v>17.142857142857146</v>
      </c>
      <c r="J22" s="627">
        <v>566</v>
      </c>
      <c r="K22" s="627">
        <v>1.29</v>
      </c>
      <c r="L22" s="901">
        <v>0.75</v>
      </c>
      <c r="M22" s="495">
        <f>J22*K22*G22-'Au Cal Leaching Tank'!$R$11-SUM(M20:M21)</f>
        <v>87.771600000000035</v>
      </c>
      <c r="N22" s="1316"/>
      <c r="O22" s="495">
        <f t="shared" si="8"/>
        <v>9.2880000000000038</v>
      </c>
      <c r="P22" s="495">
        <f>(720-R22)/60</f>
        <v>9.4499999999999993</v>
      </c>
      <c r="Q22" s="495">
        <f>720-R22</f>
        <v>567</v>
      </c>
      <c r="R22" s="495">
        <f>'Milling Down Time Hours'!G22</f>
        <v>153</v>
      </c>
      <c r="S22" s="1314"/>
      <c r="T22" s="593">
        <f>AVERAGE('LT Ball Mill'!F43:F45)</f>
        <v>0.6349999999999999</v>
      </c>
      <c r="U22" s="593">
        <f>AVERAGE('LT Ball Mill'!G43:G45)</f>
        <v>1.0333333333333334</v>
      </c>
      <c r="V22" s="593">
        <f>AVERAGE('LT Ball Mill'!H43:H45)</f>
        <v>7.81</v>
      </c>
      <c r="W22" s="482">
        <f t="shared" si="3"/>
        <v>55.734966000000014</v>
      </c>
      <c r="X22" s="495">
        <f t="shared" si="4"/>
        <v>90.697320000000047</v>
      </c>
      <c r="Y22" s="495">
        <f t="shared" si="5"/>
        <v>685.49619600000028</v>
      </c>
      <c r="Z22" s="799"/>
      <c r="AB22" s="952">
        <f t="shared" si="6"/>
        <v>139337415.00000003</v>
      </c>
    </row>
    <row r="23" spans="1:32" ht="28.8" x14ac:dyDescent="0.3">
      <c r="A23" s="1313"/>
      <c r="B23" s="1197">
        <v>46274</v>
      </c>
      <c r="C23" s="1197"/>
      <c r="D23" s="764" t="s">
        <v>170</v>
      </c>
      <c r="E23" s="765" t="s">
        <v>528</v>
      </c>
      <c r="F23" s="799" t="s">
        <v>13</v>
      </c>
      <c r="G23" s="901">
        <v>0.44</v>
      </c>
      <c r="H23" s="495">
        <f>J23-'Au Cal Leaching Tank'!$Q$11-SUM(H20:H22)</f>
        <v>81</v>
      </c>
      <c r="I23" s="495">
        <f>H23/((720-R23)/60)</f>
        <v>27</v>
      </c>
      <c r="J23" s="627">
        <v>647</v>
      </c>
      <c r="K23" s="627">
        <v>1.3049999999999999</v>
      </c>
      <c r="L23" s="901">
        <v>0.75</v>
      </c>
      <c r="M23" s="495">
        <f>J23*K23*G23-'Au Cal Leaching Tank'!$R$11-SUM(M20:M22)</f>
        <v>64.848599999999976</v>
      </c>
      <c r="N23" s="495">
        <f>SUM(M23:M24)</f>
        <v>64.848599999999976</v>
      </c>
      <c r="O23" s="495">
        <f t="shared" si="8"/>
        <v>21.616199999999992</v>
      </c>
      <c r="P23" s="495">
        <f>(720-R23)/60</f>
        <v>3</v>
      </c>
      <c r="Q23" s="495">
        <f>720-R23</f>
        <v>180</v>
      </c>
      <c r="R23" s="495">
        <f>'Milling Down Time Hours'!G23</f>
        <v>540</v>
      </c>
      <c r="S23" s="1314"/>
      <c r="T23" s="593">
        <f>AVERAGE('LT Ball Mill'!F46:F48)</f>
        <v>0.59233333333333327</v>
      </c>
      <c r="U23" s="593">
        <f>AVERAGE('LT Ball Mill'!G46:G48)</f>
        <v>0.66666666666666663</v>
      </c>
      <c r="V23" s="593">
        <f>AVERAGE('LT Ball Mill'!H46:H48)</f>
        <v>7.2399999999999993</v>
      </c>
      <c r="W23" s="482">
        <f t="shared" si="3"/>
        <v>38.41198739999998</v>
      </c>
      <c r="X23" s="495">
        <f t="shared" si="4"/>
        <v>43.232399999999984</v>
      </c>
      <c r="Y23" s="495">
        <f t="shared" si="5"/>
        <v>469.50386399999979</v>
      </c>
      <c r="Z23" s="799"/>
      <c r="AB23" s="952">
        <f t="shared" si="6"/>
        <v>96029968.499999955</v>
      </c>
    </row>
    <row r="24" spans="1:32" x14ac:dyDescent="0.3">
      <c r="A24" s="761"/>
      <c r="B24" s="1204">
        <v>46274</v>
      </c>
      <c r="C24" s="1204"/>
      <c r="D24" s="766" t="s">
        <v>530</v>
      </c>
      <c r="E24" s="767" t="s">
        <v>555</v>
      </c>
      <c r="F24" s="761" t="s">
        <v>14</v>
      </c>
      <c r="G24" s="905"/>
      <c r="H24" s="234"/>
      <c r="I24" s="155"/>
      <c r="J24" s="234"/>
      <c r="K24" s="234"/>
      <c r="L24" s="90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26"/>
      <c r="T24" s="455"/>
      <c r="U24" s="455"/>
      <c r="V24" s="455"/>
      <c r="W24" s="160">
        <f t="shared" si="3"/>
        <v>0</v>
      </c>
      <c r="X24" s="155">
        <f t="shared" si="4"/>
        <v>0</v>
      </c>
      <c r="Y24" s="155">
        <f t="shared" si="5"/>
        <v>0</v>
      </c>
      <c r="Z24" s="761"/>
      <c r="AB24" s="953">
        <f t="shared" si="6"/>
        <v>0</v>
      </c>
    </row>
    <row r="25" spans="1:32" x14ac:dyDescent="0.3">
      <c r="A25" s="1310">
        <v>5</v>
      </c>
      <c r="B25" s="1195">
        <v>46275</v>
      </c>
      <c r="C25" s="1195"/>
      <c r="D25" s="585" t="s">
        <v>170</v>
      </c>
      <c r="E25" s="586" t="s">
        <v>529</v>
      </c>
      <c r="F25" s="886" t="s">
        <v>13</v>
      </c>
      <c r="G25" s="900">
        <v>0.44</v>
      </c>
      <c r="H25" s="563">
        <f>J25-'Au Cal Leaching Tank'!$Q$14</f>
        <v>215.15</v>
      </c>
      <c r="I25" s="563">
        <f t="shared" ref="I25:I29" si="11">H25/((720-R25)/60)</f>
        <v>20.361198738170348</v>
      </c>
      <c r="J25" s="589">
        <v>323</v>
      </c>
      <c r="K25" s="589">
        <v>1.3</v>
      </c>
      <c r="L25" s="900">
        <v>0.75</v>
      </c>
      <c r="M25" s="563">
        <f>J25*K25*G25-'Au Cal Leaching Tank'!$R$12</f>
        <v>123.06580000000004</v>
      </c>
      <c r="N25" s="1308">
        <f>SUM(M25:M26)</f>
        <v>262.08779999999996</v>
      </c>
      <c r="O25" s="563">
        <f t="shared" ref="O25:O26" si="12">M25/P25</f>
        <v>11.646605678233442</v>
      </c>
      <c r="P25" s="563">
        <f t="shared" ref="P25:P26" si="13">(720-R25)/60</f>
        <v>10.566666666666666</v>
      </c>
      <c r="Q25" s="563">
        <f t="shared" ref="Q25:Q26" si="14">720-R25</f>
        <v>634</v>
      </c>
      <c r="R25" s="563">
        <f>'Milling Down Time Hours'!G25</f>
        <v>86</v>
      </c>
      <c r="S25" s="1290">
        <f>SUM(N25:N27)</f>
        <v>327.09421250000003</v>
      </c>
      <c r="T25" s="565">
        <f>AVERAGE('LT Ball Mill'!F54)</f>
        <v>0.73</v>
      </c>
      <c r="U25" s="565">
        <f>AVERAGE('LT Ball Mill'!G54)</f>
        <v>0.63</v>
      </c>
      <c r="V25" s="565">
        <f>AVERAGE('LT Ball Mill'!H54)</f>
        <v>8.57</v>
      </c>
      <c r="W25" s="479">
        <f t="shared" si="3"/>
        <v>89.838034000000022</v>
      </c>
      <c r="X25" s="563">
        <f t="shared" si="4"/>
        <v>77.531454000000025</v>
      </c>
      <c r="Y25" s="563">
        <f t="shared" si="5"/>
        <v>1054.6739060000004</v>
      </c>
      <c r="Z25" s="886"/>
      <c r="AB25" s="951">
        <f t="shared" si="6"/>
        <v>224595085.00000006</v>
      </c>
    </row>
    <row r="26" spans="1:32" x14ac:dyDescent="0.3">
      <c r="A26" s="1310"/>
      <c r="B26" s="1195"/>
      <c r="C26" s="1195"/>
      <c r="D26" s="587" t="s">
        <v>548</v>
      </c>
      <c r="E26" s="588"/>
      <c r="F26" s="886" t="s">
        <v>14</v>
      </c>
      <c r="G26" s="900">
        <v>0.42</v>
      </c>
      <c r="H26" s="563">
        <f>J26-'Au Cal Leaching Tank'!$Q$14-SUM(H25)</f>
        <v>270</v>
      </c>
      <c r="I26" s="563">
        <f t="shared" si="11"/>
        <v>25.796178343949045</v>
      </c>
      <c r="J26" s="589">
        <v>593</v>
      </c>
      <c r="K26" s="589">
        <v>1.3</v>
      </c>
      <c r="L26" s="900">
        <v>0.75</v>
      </c>
      <c r="M26" s="563">
        <f>(J26*K26*G26-'Au Cal Leaching Tank'!$R$12)-M25</f>
        <v>139.02199999999993</v>
      </c>
      <c r="N26" s="1312"/>
      <c r="O26" s="563">
        <f t="shared" si="12"/>
        <v>13.282356687898083</v>
      </c>
      <c r="P26" s="563">
        <f t="shared" si="13"/>
        <v>10.466666666666667</v>
      </c>
      <c r="Q26" s="563">
        <f t="shared" si="14"/>
        <v>628</v>
      </c>
      <c r="R26" s="563">
        <f>'Milling Down Time Hours'!G26</f>
        <v>92.000000000000014</v>
      </c>
      <c r="S26" s="1290"/>
      <c r="T26" s="565">
        <f>AVERAGE('LT Ball Mill'!F55:F57)</f>
        <v>0.51600000000000001</v>
      </c>
      <c r="U26" s="565">
        <f>AVERAGE('LT Ball Mill'!G55:G57)</f>
        <v>0.43</v>
      </c>
      <c r="V26" s="565">
        <f>AVERAGE('LT Ball Mill'!H55:H57)</f>
        <v>9.2766666666666655</v>
      </c>
      <c r="W26" s="479">
        <f t="shared" si="3"/>
        <v>71.735351999999963</v>
      </c>
      <c r="X26" s="563">
        <f t="shared" si="4"/>
        <v>59.779459999999972</v>
      </c>
      <c r="Y26" s="563">
        <f t="shared" si="5"/>
        <v>1289.6607533333327</v>
      </c>
      <c r="Z26" s="886"/>
      <c r="AB26" s="951">
        <f t="shared" si="6"/>
        <v>179338379.99999991</v>
      </c>
    </row>
    <row r="27" spans="1:32" ht="28.8" x14ac:dyDescent="0.3">
      <c r="A27" s="1310"/>
      <c r="B27" s="1195">
        <v>46276</v>
      </c>
      <c r="C27" s="1195"/>
      <c r="D27" s="587" t="s">
        <v>547</v>
      </c>
      <c r="E27" s="861" t="s">
        <v>561</v>
      </c>
      <c r="F27" s="886" t="s">
        <v>13</v>
      </c>
      <c r="G27" s="900">
        <v>0.4</v>
      </c>
      <c r="H27" s="563">
        <f>J27-'Au Cal Leaching Tank'!$Q$14-SUM(H25:H26)</f>
        <v>54</v>
      </c>
      <c r="I27" s="563">
        <f t="shared" si="11"/>
        <v>4.9165402124430964</v>
      </c>
      <c r="J27" s="563">
        <v>647</v>
      </c>
      <c r="K27" s="589">
        <v>1.27</v>
      </c>
      <c r="L27" s="900">
        <v>0.75</v>
      </c>
      <c r="M27" s="563">
        <f>(J27*K27*G27-'Au Cal Leaching Tank'!$R$12)-SUM(M25:M26)</f>
        <v>4.8980000000000814</v>
      </c>
      <c r="N27" s="1308">
        <f>SUM(M27:M28)</f>
        <v>65.006412500000096</v>
      </c>
      <c r="O27" s="493">
        <f>M27/P27</f>
        <v>0.9828762541806183</v>
      </c>
      <c r="P27" s="563">
        <f>(360-R27)/60</f>
        <v>4.9833333333333334</v>
      </c>
      <c r="Q27" s="563">
        <f>360-R27</f>
        <v>299</v>
      </c>
      <c r="R27" s="563">
        <f>'Milling Down Time Hours'!G27</f>
        <v>61</v>
      </c>
      <c r="S27" s="1290"/>
      <c r="T27" s="565">
        <f>AVERAGE('LT Ball Mill'!F55:F57)</f>
        <v>0.51600000000000001</v>
      </c>
      <c r="U27" s="565">
        <f>AVERAGE('LT Ball Mill'!G55:G57)</f>
        <v>0.43</v>
      </c>
      <c r="V27" s="565">
        <f>AVERAGE('LT Ball Mill'!H55:H57)</f>
        <v>9.2766666666666655</v>
      </c>
      <c r="W27" s="479">
        <f>T27*M27</f>
        <v>2.5273680000000422</v>
      </c>
      <c r="X27" s="563">
        <f>M27*U27</f>
        <v>2.106140000000035</v>
      </c>
      <c r="Y27" s="563">
        <f>M27*V27</f>
        <v>45.437113333334082</v>
      </c>
      <c r="Z27" s="886"/>
      <c r="AB27" s="951">
        <f t="shared" si="6"/>
        <v>6318420.0000001052</v>
      </c>
      <c r="AD27" s="454"/>
    </row>
    <row r="28" spans="1:32" x14ac:dyDescent="0.3">
      <c r="A28" s="799"/>
      <c r="B28" s="1197">
        <v>46276</v>
      </c>
      <c r="C28" s="1197"/>
      <c r="D28" s="804" t="s">
        <v>547</v>
      </c>
      <c r="E28" s="1000" t="s">
        <v>589</v>
      </c>
      <c r="F28" s="799" t="s">
        <v>13</v>
      </c>
      <c r="G28" s="901">
        <v>0.42</v>
      </c>
      <c r="H28" s="495">
        <f>J28-'Au Cal Leaching Tank'!$Q$15</f>
        <v>107.15</v>
      </c>
      <c r="I28" s="495">
        <f>H28/((360-R28)/60)</f>
        <v>17.858333333333334</v>
      </c>
      <c r="J28" s="495">
        <v>215</v>
      </c>
      <c r="K28" s="627">
        <v>1.29</v>
      </c>
      <c r="L28" s="901">
        <v>0.75</v>
      </c>
      <c r="M28" s="495">
        <f>(J28*K28*G28)-'Au Cal Leaching Tank'!$R$13</f>
        <v>60.108412500000014</v>
      </c>
      <c r="N28" s="1308"/>
      <c r="O28" s="911">
        <f>M28/P28</f>
        <v>10.018068750000003</v>
      </c>
      <c r="P28" s="495">
        <f>(360-R28)/60</f>
        <v>6</v>
      </c>
      <c r="Q28" s="495">
        <v>360</v>
      </c>
      <c r="R28" s="495">
        <v>0</v>
      </c>
      <c r="S28" s="1314">
        <f>SUM(M28:M31)</f>
        <v>277.03691250000003</v>
      </c>
      <c r="T28" s="593">
        <f>AVERAGE('LT Ball Mill'!F58:F60)</f>
        <v>1.4286666666666665</v>
      </c>
      <c r="U28" s="593">
        <f>AVERAGE('LT Ball Mill'!G58:G60)</f>
        <v>0.99333333333333329</v>
      </c>
      <c r="V28" s="593">
        <f>AVERAGE('LT Ball Mill'!H58:H60)</f>
        <v>9.1333333333333329</v>
      </c>
      <c r="W28" s="482">
        <f>T28*M28</f>
        <v>85.874885325000008</v>
      </c>
      <c r="X28" s="495">
        <f>M28*U28</f>
        <v>59.707689750000014</v>
      </c>
      <c r="Y28" s="495">
        <f>M28*V28</f>
        <v>548.9901675000001</v>
      </c>
      <c r="Z28" s="799"/>
      <c r="AB28" s="952">
        <f t="shared" si="6"/>
        <v>214687213.31250003</v>
      </c>
      <c r="AD28" s="454"/>
    </row>
    <row r="29" spans="1:32" ht="43.2" x14ac:dyDescent="0.3">
      <c r="A29" s="1313">
        <v>6</v>
      </c>
      <c r="B29" s="1197">
        <v>46276</v>
      </c>
      <c r="C29" s="1197"/>
      <c r="D29" s="497" t="s">
        <v>557</v>
      </c>
      <c r="E29" s="860" t="s">
        <v>554</v>
      </c>
      <c r="F29" s="799" t="s">
        <v>14</v>
      </c>
      <c r="G29" s="901">
        <v>0.45</v>
      </c>
      <c r="H29" s="495">
        <f>J29-'Au Cal Leaching Tank'!$Q$15-SUM(H28)</f>
        <v>72</v>
      </c>
      <c r="I29" s="495">
        <f t="shared" si="11"/>
        <v>36</v>
      </c>
      <c r="J29" s="627">
        <v>287</v>
      </c>
      <c r="K29" s="627">
        <v>1.29</v>
      </c>
      <c r="L29" s="901">
        <v>0.75</v>
      </c>
      <c r="M29" s="495">
        <f>(J29*K29*G29)-'Au Cal Leaching Tank'!$R$13-SUM(M28)</f>
        <v>50.116500000000016</v>
      </c>
      <c r="N29" s="495">
        <f>M29</f>
        <v>50.116500000000016</v>
      </c>
      <c r="O29" s="495">
        <f>M29/P29</f>
        <v>25.058250000000008</v>
      </c>
      <c r="P29" s="495">
        <f>(720-R29)/60</f>
        <v>2</v>
      </c>
      <c r="Q29" s="495">
        <f>720-R29</f>
        <v>120</v>
      </c>
      <c r="R29" s="495">
        <f>'Milling Down Time Hours'!G28</f>
        <v>600</v>
      </c>
      <c r="S29" s="1314"/>
      <c r="T29" s="593">
        <f>AVERAGE('LT Ball Mill'!F61:F63)</f>
        <v>0.26499999999999996</v>
      </c>
      <c r="U29" s="593">
        <f>AVERAGE('LT Ball Mill'!G61:G63)</f>
        <v>0.57333333333333336</v>
      </c>
      <c r="V29" s="593">
        <f>AVERAGE('LT Ball Mill'!H61:H63)</f>
        <v>7.5933333333333337</v>
      </c>
      <c r="W29" s="482">
        <f>T29*M29</f>
        <v>13.280872500000003</v>
      </c>
      <c r="X29" s="495">
        <f>M29*U29</f>
        <v>28.733460000000012</v>
      </c>
      <c r="Y29" s="495">
        <f>M29*V29</f>
        <v>380.55129000000017</v>
      </c>
      <c r="Z29" s="799"/>
      <c r="AB29" s="952">
        <f t="shared" si="6"/>
        <v>33202181.250000007</v>
      </c>
    </row>
    <row r="30" spans="1:32" ht="28.8" x14ac:dyDescent="0.3">
      <c r="A30" s="1313"/>
      <c r="B30" s="1197">
        <v>46277</v>
      </c>
      <c r="C30" s="1197"/>
      <c r="D30" s="633" t="s">
        <v>558</v>
      </c>
      <c r="E30" s="768" t="s">
        <v>559</v>
      </c>
      <c r="F30" s="799" t="s">
        <v>13</v>
      </c>
      <c r="G30" s="901">
        <v>0.33</v>
      </c>
      <c r="H30" s="495">
        <f>J30-'Au Cal Leaching Tank'!$Q$15-SUM(H28:H29)</f>
        <v>432</v>
      </c>
      <c r="I30" s="495"/>
      <c r="J30" s="627">
        <v>719</v>
      </c>
      <c r="K30" s="627">
        <v>1.21</v>
      </c>
      <c r="L30" s="901">
        <v>0.75</v>
      </c>
      <c r="M30" s="495">
        <f>(J30*K30*G30)-'Au Cal Leaching Tank'!$R$13-SUM(M28:M29)</f>
        <v>120.49319999999999</v>
      </c>
      <c r="N30" s="1315">
        <f>SUM(M30:M31)</f>
        <v>166.81200000000001</v>
      </c>
      <c r="O30" s="495" t="str">
        <f>IFERROR(M30/P30,"")</f>
        <v/>
      </c>
      <c r="P30" s="495">
        <f>(720-R30)/60</f>
        <v>0</v>
      </c>
      <c r="Q30" s="495">
        <f>720-R30</f>
        <v>0</v>
      </c>
      <c r="R30" s="495">
        <f>'Milling Down Time Hours'!G29</f>
        <v>720</v>
      </c>
      <c r="S30" s="1314"/>
      <c r="T30" s="593">
        <f>AVERAGE('LT Ball Mill'!F64:F66)</f>
        <v>0.30533333333333329</v>
      </c>
      <c r="U30" s="593">
        <f>AVERAGE('LT Ball Mill'!G64:G66)</f>
        <v>0.55333333333333334</v>
      </c>
      <c r="V30" s="593">
        <f>AVERAGE('LT Ball Mill'!H64:H66)</f>
        <v>6.7966666666666669</v>
      </c>
      <c r="W30" s="482">
        <f t="shared" si="3"/>
        <v>36.790590399999992</v>
      </c>
      <c r="X30" s="495">
        <f t="shared" si="4"/>
        <v>66.672903999999988</v>
      </c>
      <c r="Y30" s="495">
        <f t="shared" si="5"/>
        <v>818.95211599999993</v>
      </c>
      <c r="Z30" s="799"/>
      <c r="AB30" s="952">
        <f t="shared" si="6"/>
        <v>91976475.999999985</v>
      </c>
    </row>
    <row r="31" spans="1:32" x14ac:dyDescent="0.3">
      <c r="A31" s="1313"/>
      <c r="B31" s="1197"/>
      <c r="C31" s="1197"/>
      <c r="D31" s="769" t="s">
        <v>577</v>
      </c>
      <c r="E31" s="769" t="s">
        <v>578</v>
      </c>
      <c r="F31" s="799" t="s">
        <v>14</v>
      </c>
      <c r="G31" s="901">
        <v>0.33</v>
      </c>
      <c r="H31" s="495">
        <f>J31-'Au Cal Leaching Tank'!$Q$15-SUM(H28:H30)</f>
        <v>116</v>
      </c>
      <c r="I31" s="495"/>
      <c r="J31" s="627">
        <v>835</v>
      </c>
      <c r="K31" s="627">
        <v>1.21</v>
      </c>
      <c r="L31" s="901">
        <v>0.75</v>
      </c>
      <c r="M31" s="495">
        <f>(J31*K31*G31)-'Au Cal Leaching Tank'!$R$13-SUM(M28:M30)</f>
        <v>46.31880000000001</v>
      </c>
      <c r="N31" s="1315"/>
      <c r="O31" s="495" t="str">
        <f t="shared" ref="O31:O42" si="15">IFERROR(M31/P31,"")</f>
        <v/>
      </c>
      <c r="P31" s="495">
        <f t="shared" ref="P31:P32" si="16">(720-R31)/60</f>
        <v>0</v>
      </c>
      <c r="Q31" s="495">
        <f>720-R31</f>
        <v>0</v>
      </c>
      <c r="R31" s="495">
        <f>'Milling Down Time Hours'!G30</f>
        <v>720</v>
      </c>
      <c r="S31" s="1314"/>
      <c r="T31" s="593">
        <f>AVERAGE('LT Ball Mill'!F64:F66)</f>
        <v>0.30533333333333329</v>
      </c>
      <c r="U31" s="593">
        <f>AVERAGE('LT Ball Mill'!G64:G66)</f>
        <v>0.55333333333333334</v>
      </c>
      <c r="V31" s="593">
        <f>AVERAGE('LT Ball Mill'!H64:H66)</f>
        <v>6.7966666666666669</v>
      </c>
      <c r="W31" s="482">
        <f t="shared" si="3"/>
        <v>14.142673600000002</v>
      </c>
      <c r="X31" s="495">
        <f t="shared" si="4"/>
        <v>25.629736000000005</v>
      </c>
      <c r="Y31" s="495">
        <f t="shared" si="5"/>
        <v>314.81344400000006</v>
      </c>
      <c r="Z31" s="799"/>
      <c r="AB31" s="952">
        <f t="shared" si="6"/>
        <v>35356684.000000007</v>
      </c>
      <c r="AC31" s="137"/>
    </row>
    <row r="32" spans="1:32" x14ac:dyDescent="0.3">
      <c r="A32" s="1263"/>
      <c r="B32" s="1204">
        <v>46278</v>
      </c>
      <c r="C32" s="1204"/>
      <c r="D32" s="770" t="s">
        <v>579</v>
      </c>
      <c r="E32" s="770" t="s">
        <v>578</v>
      </c>
      <c r="F32" s="761" t="s">
        <v>13</v>
      </c>
      <c r="G32" s="918"/>
      <c r="H32" s="234"/>
      <c r="I32" s="155"/>
      <c r="J32" s="234"/>
      <c r="K32" s="234"/>
      <c r="L32" s="90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5"/>
      <c r="U32" s="455"/>
      <c r="V32" s="455"/>
      <c r="W32" s="160">
        <f t="shared" si="3"/>
        <v>0</v>
      </c>
      <c r="X32" s="155">
        <f t="shared" si="4"/>
        <v>0</v>
      </c>
      <c r="Y32" s="155">
        <f t="shared" si="5"/>
        <v>0</v>
      </c>
      <c r="Z32" s="761"/>
      <c r="AB32" s="953">
        <f t="shared" si="6"/>
        <v>0</v>
      </c>
    </row>
    <row r="33" spans="1:32" x14ac:dyDescent="0.3">
      <c r="A33" s="1264"/>
      <c r="B33" s="1204">
        <v>46278</v>
      </c>
      <c r="C33" s="1204"/>
      <c r="D33" s="770" t="s">
        <v>579</v>
      </c>
      <c r="E33" s="770" t="s">
        <v>578</v>
      </c>
      <c r="F33" s="761" t="s">
        <v>14</v>
      </c>
      <c r="G33" s="234"/>
      <c r="H33" s="234"/>
      <c r="I33" s="895"/>
      <c r="J33" s="234"/>
      <c r="K33" s="234"/>
      <c r="L33" s="234"/>
      <c r="M33" s="895"/>
      <c r="N33" s="234"/>
      <c r="O33" s="895"/>
      <c r="P33" s="234"/>
      <c r="Q33" s="895"/>
      <c r="R33" s="234"/>
      <c r="S33" s="14"/>
      <c r="T33" s="6"/>
      <c r="U33" s="6"/>
      <c r="V33" s="6"/>
      <c r="W33" s="6"/>
      <c r="X33" s="14"/>
      <c r="Y33" s="14"/>
      <c r="Z33" s="761"/>
      <c r="AB33" s="953">
        <f t="shared" si="6"/>
        <v>0</v>
      </c>
    </row>
    <row r="34" spans="1:32" x14ac:dyDescent="0.3">
      <c r="B34" s="1295">
        <v>46279</v>
      </c>
      <c r="C34" s="1296"/>
      <c r="D34" s="770" t="s">
        <v>579</v>
      </c>
      <c r="E34" s="770" t="s">
        <v>578</v>
      </c>
      <c r="F34" s="761" t="s">
        <v>13</v>
      </c>
      <c r="G34" s="918"/>
      <c r="H34" s="234"/>
      <c r="I34" s="234"/>
      <c r="J34" s="234"/>
      <c r="K34" s="234"/>
      <c r="L34" s="90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5"/>
      <c r="U34" s="455"/>
      <c r="V34" s="455"/>
      <c r="W34" s="160">
        <f t="shared" si="3"/>
        <v>0</v>
      </c>
      <c r="X34" s="155">
        <f t="shared" si="4"/>
        <v>0</v>
      </c>
      <c r="Y34" s="155">
        <f t="shared" si="5"/>
        <v>0</v>
      </c>
      <c r="Z34" s="761"/>
      <c r="AB34" s="953">
        <f t="shared" si="6"/>
        <v>0</v>
      </c>
    </row>
    <row r="35" spans="1:32" ht="15" thickBot="1" x14ac:dyDescent="0.35">
      <c r="A35" s="1325">
        <v>7</v>
      </c>
      <c r="B35" s="1297">
        <v>46279</v>
      </c>
      <c r="C35" s="1298"/>
      <c r="D35" s="771" t="s">
        <v>170</v>
      </c>
      <c r="E35" s="772" t="s">
        <v>588</v>
      </c>
      <c r="F35" s="886" t="s">
        <v>14</v>
      </c>
      <c r="G35" s="900">
        <v>0.38</v>
      </c>
      <c r="H35" s="563">
        <f>J35-'Au Cal Leaching Tank'!$Q$14</f>
        <v>179.74888000000001</v>
      </c>
      <c r="I35" s="563">
        <f t="shared" ref="I35:I40" si="17">H35/((720-R35)/60)</f>
        <v>17.974888</v>
      </c>
      <c r="J35" s="563">
        <f t="shared" ref="J35:J42" si="18">3.14*Z35*((10.7/2)^2)</f>
        <v>287.59888000000001</v>
      </c>
      <c r="K35" s="589">
        <v>1.25</v>
      </c>
      <c r="L35" s="900">
        <v>0.75</v>
      </c>
      <c r="M35" s="563">
        <f>(J35*K35*G35)-'Au Cal Leaching Tank'!$R$14</f>
        <v>80.009787999999986</v>
      </c>
      <c r="N35" s="563">
        <f>SUM(M33:M35)</f>
        <v>80.009787999999986</v>
      </c>
      <c r="O35" s="563">
        <f>IFERROR(M35/P35,"")</f>
        <v>8.0009787999999986</v>
      </c>
      <c r="P35" s="563">
        <f t="shared" ref="P35:P42" si="19">(720-R35)/60</f>
        <v>10</v>
      </c>
      <c r="Q35" s="563">
        <f t="shared" ref="Q35:Q45" si="20">720-R35</f>
        <v>600</v>
      </c>
      <c r="R35" s="563">
        <f>'Milling Down Time Hours'!G34</f>
        <v>120.00000000000001</v>
      </c>
      <c r="S35" s="1326">
        <f>SUM(M35:M37)</f>
        <v>246.09634370699999</v>
      </c>
      <c r="T35" s="565">
        <f>AVERAGE('LT Ball Mill'!F67:F69)</f>
        <v>0.63200000000000001</v>
      </c>
      <c r="U35" s="565">
        <f>AVERAGE('LT Ball Mill'!G67:G69)</f>
        <v>0.58666666666666678</v>
      </c>
      <c r="V35" s="565">
        <f>AVERAGE('LT Ball Mill'!H67:H69)</f>
        <v>8.5966666666666658</v>
      </c>
      <c r="W35" s="479">
        <f>T35*M35</f>
        <v>50.566186015999989</v>
      </c>
      <c r="X35" s="563">
        <f>M35*U35</f>
        <v>46.939075626666664</v>
      </c>
      <c r="Y35" s="563">
        <f>M35*V35</f>
        <v>687.81747750666648</v>
      </c>
      <c r="Z35" s="886">
        <v>3.2</v>
      </c>
      <c r="AB35" s="952">
        <f t="shared" si="6"/>
        <v>126415465.03999998</v>
      </c>
      <c r="AC35" s="11"/>
    </row>
    <row r="36" spans="1:32" x14ac:dyDescent="0.3">
      <c r="A36" s="1325"/>
      <c r="B36" s="1291">
        <v>46280</v>
      </c>
      <c r="C36" s="1292"/>
      <c r="D36" s="834" t="s">
        <v>530</v>
      </c>
      <c r="E36" s="834" t="s">
        <v>597</v>
      </c>
      <c r="F36" s="938" t="s">
        <v>13</v>
      </c>
      <c r="G36" s="900">
        <v>0.37</v>
      </c>
      <c r="H36" s="563">
        <f>J36-'Au Cal Leaching Tank'!$Q$14-H35</f>
        <v>188.73676499999985</v>
      </c>
      <c r="I36" s="563">
        <f t="shared" si="17"/>
        <v>15.728063749999988</v>
      </c>
      <c r="J36" s="563">
        <f t="shared" si="18"/>
        <v>476.33564499999989</v>
      </c>
      <c r="K36" s="589">
        <v>1.24</v>
      </c>
      <c r="L36" s="900">
        <v>0.75</v>
      </c>
      <c r="M36" s="563">
        <f>(J36*K36*G36)-'Au Cal Leaching Tank'!$R$14-SUM(M35)</f>
        <v>81.933325925999952</v>
      </c>
      <c r="N36" s="1308">
        <f>SUM(M36:M37)</f>
        <v>166.086555707</v>
      </c>
      <c r="O36" s="534">
        <f t="shared" si="15"/>
        <v>6.8277771604999957</v>
      </c>
      <c r="P36" s="563">
        <f t="shared" si="19"/>
        <v>12</v>
      </c>
      <c r="Q36" s="563">
        <f t="shared" si="20"/>
        <v>720</v>
      </c>
      <c r="R36" s="563">
        <f>'Milling Down Time Hours'!G35</f>
        <v>0</v>
      </c>
      <c r="S36" s="1327"/>
      <c r="T36" s="565">
        <f>AVERAGE('LT Ball Mill'!F70:F72)</f>
        <v>0.36466666666666664</v>
      </c>
      <c r="U36" s="565">
        <f>AVERAGE('LT Ball Mill'!G70:G72)</f>
        <v>0.46666666666666662</v>
      </c>
      <c r="V36" s="565">
        <f>AVERAGE('LT Ball Mill'!H70:H72)</f>
        <v>9.57</v>
      </c>
      <c r="W36" s="479">
        <f t="shared" si="3"/>
        <v>29.87835285434798</v>
      </c>
      <c r="X36" s="563">
        <f t="shared" si="4"/>
        <v>38.235552098799971</v>
      </c>
      <c r="Y36" s="563">
        <f t="shared" si="5"/>
        <v>784.10192911181957</v>
      </c>
      <c r="Z36" s="886">
        <v>5.3</v>
      </c>
      <c r="AB36" s="952">
        <f t="shared" si="6"/>
        <v>74695882.13586995</v>
      </c>
      <c r="AC36" s="11"/>
    </row>
    <row r="37" spans="1:32" ht="42" customHeight="1" thickBot="1" x14ac:dyDescent="0.35">
      <c r="A37" s="1325"/>
      <c r="B37" s="1293"/>
      <c r="C37" s="1294"/>
      <c r="D37" s="787" t="s">
        <v>523</v>
      </c>
      <c r="E37" s="859" t="s">
        <v>638</v>
      </c>
      <c r="F37" s="939" t="s">
        <v>14</v>
      </c>
      <c r="G37" s="919">
        <v>0.33</v>
      </c>
      <c r="H37" s="563">
        <f>J37-'Au Cal Leaching Tank'!$Q$14-SUM(H35:H36)</f>
        <v>278.61141499999997</v>
      </c>
      <c r="I37" s="563">
        <f t="shared" si="17"/>
        <v>23.217617916666665</v>
      </c>
      <c r="J37" s="563">
        <f t="shared" si="18"/>
        <v>754.94705999999985</v>
      </c>
      <c r="K37" s="886">
        <v>1.2150000000000001</v>
      </c>
      <c r="L37" s="900">
        <v>0.75</v>
      </c>
      <c r="M37" s="563">
        <f>(J37*K37*G37)-'Au Cal Leaching Tank'!$R$14-SUM(M35:M36)</f>
        <v>84.15322978100005</v>
      </c>
      <c r="N37" s="1308"/>
      <c r="O37" s="534">
        <f t="shared" si="15"/>
        <v>7.0127691484166705</v>
      </c>
      <c r="P37" s="563">
        <f t="shared" si="19"/>
        <v>12</v>
      </c>
      <c r="Q37" s="563">
        <f t="shared" si="20"/>
        <v>720</v>
      </c>
      <c r="R37" s="563">
        <f>'Milling Down Time Hours'!G36</f>
        <v>0</v>
      </c>
      <c r="S37" s="1328"/>
      <c r="T37" s="565">
        <f>AVERAGE('LT Ball Mill'!F73:F75)</f>
        <v>0.61</v>
      </c>
      <c r="U37" s="565">
        <f>AVERAGE('LT Ball Mill'!G73:G75)</f>
        <v>0.55333333333333334</v>
      </c>
      <c r="V37" s="565">
        <f>AVERAGE('LT Ball Mill'!H73:H75)</f>
        <v>11.276666666666666</v>
      </c>
      <c r="W37" s="479">
        <f t="shared" si="3"/>
        <v>51.333470166410031</v>
      </c>
      <c r="X37" s="563">
        <f t="shared" si="4"/>
        <v>46.564787145486697</v>
      </c>
      <c r="Y37" s="563">
        <f t="shared" si="5"/>
        <v>948.96792116374377</v>
      </c>
      <c r="Z37" s="886">
        <v>8.4</v>
      </c>
      <c r="AB37" s="952">
        <f t="shared" si="6"/>
        <v>128333675.41602507</v>
      </c>
    </row>
    <row r="38" spans="1:32" ht="15" thickBot="1" x14ac:dyDescent="0.35">
      <c r="A38" s="1324">
        <v>8</v>
      </c>
      <c r="B38" s="1286">
        <v>46281</v>
      </c>
      <c r="C38" s="1287"/>
      <c r="D38" s="497" t="s">
        <v>634</v>
      </c>
      <c r="E38" s="849" t="s">
        <v>599</v>
      </c>
      <c r="F38" s="940" t="s">
        <v>13</v>
      </c>
      <c r="G38" s="920">
        <v>0.3</v>
      </c>
      <c r="H38" s="495">
        <f>J38-'Au Cal Leaching Tank'!$Q$15</f>
        <v>323.54831999999988</v>
      </c>
      <c r="I38" s="495">
        <f t="shared" si="17"/>
        <v>26.96235999999999</v>
      </c>
      <c r="J38" s="495">
        <f t="shared" si="18"/>
        <v>431.3983199999999</v>
      </c>
      <c r="K38" s="799">
        <v>1.19</v>
      </c>
      <c r="L38" s="901">
        <v>0.75</v>
      </c>
      <c r="M38" s="907">
        <f>(J38*K38*G38)-'Au Cal Leaching Tank'!$R$16</f>
        <v>110.94469523999996</v>
      </c>
      <c r="N38" s="1301">
        <f>SUM(M38:M39)</f>
        <v>165.48962032499998</v>
      </c>
      <c r="O38" s="542">
        <f t="shared" si="15"/>
        <v>9.2453912699999972</v>
      </c>
      <c r="P38" s="958">
        <f t="shared" si="19"/>
        <v>12</v>
      </c>
      <c r="Q38" s="495">
        <f t="shared" si="20"/>
        <v>720</v>
      </c>
      <c r="R38" s="495">
        <f>'Milling Down Time Hours'!G37</f>
        <v>0</v>
      </c>
      <c r="S38" s="1301">
        <f>SUM(M38:M41)</f>
        <v>359.55954705599999</v>
      </c>
      <c r="T38" s="850">
        <f>AVERAGE('LT Ball Mill'!F76:F78)</f>
        <v>0.45166666666666666</v>
      </c>
      <c r="U38" s="850">
        <f>AVERAGE('LT Ball Mill'!G76:G78)</f>
        <v>0.6333333333333333</v>
      </c>
      <c r="V38" s="850">
        <f>AVERAGE('LT Ball Mill'!H76:H78)</f>
        <v>11.63</v>
      </c>
      <c r="W38" s="482">
        <f t="shared" si="3"/>
        <v>50.110020683399981</v>
      </c>
      <c r="X38" s="495">
        <f t="shared" si="4"/>
        <v>70.264973651999966</v>
      </c>
      <c r="Y38" s="495">
        <f t="shared" si="5"/>
        <v>1290.2868056411996</v>
      </c>
      <c r="Z38" s="799">
        <f>1.2*4</f>
        <v>4.8</v>
      </c>
      <c r="AB38" s="952">
        <f>W38*$AC$5</f>
        <v>125275051.70849995</v>
      </c>
    </row>
    <row r="39" spans="1:32" ht="15" thickBot="1" x14ac:dyDescent="0.35">
      <c r="A39" s="1324"/>
      <c r="B39" s="1288"/>
      <c r="C39" s="1289"/>
      <c r="D39" s="849" t="s">
        <v>605</v>
      </c>
      <c r="E39" s="849" t="s">
        <v>606</v>
      </c>
      <c r="F39" s="935" t="s">
        <v>14</v>
      </c>
      <c r="G39" s="920">
        <v>0.3</v>
      </c>
      <c r="H39" s="495">
        <f>J39-'Au Cal Leaching Tank'!$Q$15-H38</f>
        <v>152.78690500000005</v>
      </c>
      <c r="I39" s="495">
        <f t="shared" si="17"/>
        <v>13.97441204268293</v>
      </c>
      <c r="J39" s="495">
        <f t="shared" si="18"/>
        <v>584.18522499999995</v>
      </c>
      <c r="K39" s="627">
        <v>1.19</v>
      </c>
      <c r="L39" s="901">
        <v>0.75</v>
      </c>
      <c r="M39" s="907">
        <f>(J39*K39*G39)-'Au Cal Leaching Tank'!$R$16-SUM(M38)</f>
        <v>54.544925085000017</v>
      </c>
      <c r="N39" s="1303"/>
      <c r="O39" s="542">
        <f>IFERROR(M39/P39,"")</f>
        <v>4.9888650992378061</v>
      </c>
      <c r="P39" s="958">
        <f t="shared" si="19"/>
        <v>10.933333333333334</v>
      </c>
      <c r="Q39" s="495">
        <f t="shared" si="20"/>
        <v>656</v>
      </c>
      <c r="R39" s="495">
        <f>'Milling Down Time Hours'!G38</f>
        <v>64</v>
      </c>
      <c r="S39" s="1302"/>
      <c r="T39" s="537">
        <f>AVERAGE('LT Ball Mill'!F79:F81)</f>
        <v>0.58799999999999997</v>
      </c>
      <c r="U39" s="537">
        <f>AVERAGE('LT Ball Mill'!G79:G81)</f>
        <v>0.57999999999999996</v>
      </c>
      <c r="V39" s="537">
        <f>AVERAGE('LT Ball Mill'!H79:H81)</f>
        <v>9.1866666666666674</v>
      </c>
      <c r="W39" s="482">
        <f t="shared" si="3"/>
        <v>32.072415949980005</v>
      </c>
      <c r="X39" s="495">
        <f t="shared" si="4"/>
        <v>31.636056549300008</v>
      </c>
      <c r="Y39" s="495">
        <f t="shared" si="5"/>
        <v>501.0860451142002</v>
      </c>
      <c r="Z39" s="799">
        <f>6.5</f>
        <v>6.5</v>
      </c>
      <c r="AB39" s="952">
        <f t="shared" si="6"/>
        <v>80181039.874950007</v>
      </c>
    </row>
    <row r="40" spans="1:32" ht="37.200000000000003" customHeight="1" thickBot="1" x14ac:dyDescent="0.35">
      <c r="A40" s="1324"/>
      <c r="B40" s="1286">
        <v>46282</v>
      </c>
      <c r="C40" s="1287"/>
      <c r="D40" s="497" t="s">
        <v>634</v>
      </c>
      <c r="E40" s="945" t="s">
        <v>635</v>
      </c>
      <c r="F40" s="940" t="s">
        <v>13</v>
      </c>
      <c r="G40" s="901">
        <v>0.35</v>
      </c>
      <c r="H40" s="495">
        <f>J40-'Au Cal Leaching Tank'!$Q$15-SUM(H38:H39)</f>
        <v>170.76183499999991</v>
      </c>
      <c r="I40" s="495">
        <f t="shared" si="17"/>
        <v>14.230152916666659</v>
      </c>
      <c r="J40" s="495">
        <f t="shared" si="18"/>
        <v>754.94705999999985</v>
      </c>
      <c r="K40" s="627">
        <v>1.2250000000000001</v>
      </c>
      <c r="L40" s="901">
        <v>0.75</v>
      </c>
      <c r="M40" s="907">
        <f>(J40*K40*G40)-'Au Cal Leaching Tank'!$R$16-SUM(M38:M39)</f>
        <v>115.12942664999997</v>
      </c>
      <c r="N40" s="1299">
        <f>SUM(M40:M41)</f>
        <v>194.06992673100001</v>
      </c>
      <c r="O40" s="542">
        <f>IFERROR(M40/P40,"")</f>
        <v>9.594118887499997</v>
      </c>
      <c r="P40" s="958">
        <f t="shared" si="19"/>
        <v>12</v>
      </c>
      <c r="Q40" s="564">
        <f t="shared" si="20"/>
        <v>720</v>
      </c>
      <c r="R40" s="564">
        <f>'Milling Down Time Hours'!G39</f>
        <v>0</v>
      </c>
      <c r="S40" s="1302"/>
      <c r="T40" s="484">
        <f>AVERAGE('LT Ball Mill'!F82:F84)</f>
        <v>0.61433333333333329</v>
      </c>
      <c r="U40" s="484">
        <f>AVERAGE('LT Ball Mill'!G82:G84)</f>
        <v>0.59</v>
      </c>
      <c r="V40" s="484">
        <f>AVERAGE('LT Ball Mill'!H82:H84)</f>
        <v>11.076666666666668</v>
      </c>
      <c r="W40" s="482">
        <f t="shared" si="3"/>
        <v>70.727844438649981</v>
      </c>
      <c r="X40" s="495">
        <f t="shared" si="4"/>
        <v>67.92636172349998</v>
      </c>
      <c r="Y40" s="495">
        <f t="shared" si="5"/>
        <v>1275.2502825264999</v>
      </c>
      <c r="Z40" s="799">
        <f>1.2*7</f>
        <v>8.4</v>
      </c>
      <c r="AB40" s="952">
        <f t="shared" si="6"/>
        <v>176819611.09662494</v>
      </c>
      <c r="AC40" s="137"/>
      <c r="AF40" s="1">
        <f>53-6-17</f>
        <v>30</v>
      </c>
    </row>
    <row r="41" spans="1:32" ht="43.8" thickBot="1" x14ac:dyDescent="0.35">
      <c r="A41" s="1324"/>
      <c r="B41" s="1288"/>
      <c r="C41" s="1289"/>
      <c r="D41" s="970" t="s">
        <v>605</v>
      </c>
      <c r="E41" s="984" t="s">
        <v>649</v>
      </c>
      <c r="F41" s="971" t="s">
        <v>14</v>
      </c>
      <c r="G41" s="961">
        <v>0.34</v>
      </c>
      <c r="H41" s="958">
        <f>J41-'Au Cal Leaching Tank'!$Q$15-SUM(H38:H40)</f>
        <v>215.69916000000012</v>
      </c>
      <c r="I41" s="958">
        <f t="shared" ref="I41:I43" si="21">H41/((720-R41)/60)</f>
        <v>17.974930000000011</v>
      </c>
      <c r="J41" s="958">
        <f t="shared" si="18"/>
        <v>970.64621999999997</v>
      </c>
      <c r="K41" s="460">
        <v>1.22</v>
      </c>
      <c r="L41" s="961">
        <v>0.75</v>
      </c>
      <c r="M41" s="907">
        <f>(J41*K41*G41)-'Au Cal Leaching Tank'!$R$16-SUM(M38:M40)</f>
        <v>78.940500081000039</v>
      </c>
      <c r="N41" s="1300"/>
      <c r="O41" s="542">
        <f>IFERROR(M41/P41,"")</f>
        <v>6.5783750067500035</v>
      </c>
      <c r="P41" s="958">
        <f t="shared" si="19"/>
        <v>12</v>
      </c>
      <c r="Q41" s="564">
        <f t="shared" si="20"/>
        <v>720</v>
      </c>
      <c r="R41" s="564">
        <f>'Milling Down Time Hours'!G40</f>
        <v>0</v>
      </c>
      <c r="S41" s="1303"/>
      <c r="T41" s="1006">
        <f>AVERAGE('LT Ball Mill'!F85:F87)</f>
        <v>0.68533333333333335</v>
      </c>
      <c r="U41" s="1006">
        <f>AVERAGE('LT Ball Mill'!G85:G87)</f>
        <v>0.55000000000000004</v>
      </c>
      <c r="V41" s="1006">
        <f>AVERAGE('LT Ball Mill'!H85:H87)</f>
        <v>9.6166666666666671</v>
      </c>
      <c r="W41" s="1007">
        <f t="shared" si="3"/>
        <v>54.10055605551203</v>
      </c>
      <c r="X41" s="958">
        <f t="shared" si="4"/>
        <v>43.417275044550024</v>
      </c>
      <c r="Y41" s="958">
        <f t="shared" si="5"/>
        <v>759.14447577895044</v>
      </c>
      <c r="Z41" s="1008">
        <v>10.8</v>
      </c>
      <c r="AC41" s="137"/>
      <c r="AD41" s="137"/>
      <c r="AE41" s="137"/>
    </row>
    <row r="42" spans="1:32" ht="15" thickBot="1" x14ac:dyDescent="0.35">
      <c r="A42" s="1323">
        <v>9</v>
      </c>
      <c r="B42" s="1278">
        <v>46283</v>
      </c>
      <c r="C42" s="1279"/>
      <c r="D42" s="678" t="s">
        <v>654</v>
      </c>
      <c r="E42" s="678" t="s">
        <v>653</v>
      </c>
      <c r="F42" s="986" t="s">
        <v>13</v>
      </c>
      <c r="G42" s="987">
        <v>0.34</v>
      </c>
      <c r="H42" s="990">
        <f>J42-'Au Cal Leaching Tank'!$Q$18</f>
        <v>323.54831999999988</v>
      </c>
      <c r="I42" s="990">
        <f t="shared" si="21"/>
        <v>35.619998532110074</v>
      </c>
      <c r="J42" s="990">
        <f t="shared" si="18"/>
        <v>431.3983199999999</v>
      </c>
      <c r="K42" s="988">
        <v>1.22</v>
      </c>
      <c r="L42" s="987">
        <v>0.75</v>
      </c>
      <c r="M42" s="989">
        <f>(J42*K42*G42)-'Au Cal Leaching Tank'!$R$16</f>
        <v>135.87951813599997</v>
      </c>
      <c r="N42" s="1304">
        <f>SUM(M42:M43)</f>
        <v>229.75179256799998</v>
      </c>
      <c r="O42" s="991">
        <f t="shared" si="15"/>
        <v>14.959213005798162</v>
      </c>
      <c r="P42" s="990">
        <f t="shared" si="19"/>
        <v>9.0833333333333339</v>
      </c>
      <c r="Q42" s="1005">
        <f t="shared" si="20"/>
        <v>545</v>
      </c>
      <c r="R42" s="990">
        <f>'Milling Down Time Hours'!G41</f>
        <v>175</v>
      </c>
      <c r="S42" s="1304">
        <f>SUM(M42:M45)</f>
        <v>472.85193585999997</v>
      </c>
      <c r="T42" s="1032">
        <f>AVERAGE('LT Ball Mill'!F88:F90)</f>
        <v>0.7679999999999999</v>
      </c>
      <c r="U42" s="1032">
        <f>AVERAGE('LT Ball Mill'!G88:G90)</f>
        <v>0.53666666666666674</v>
      </c>
      <c r="V42" s="1032">
        <f>AVERAGE('LT Ball Mill'!H88:H90)</f>
        <v>12.049999999999999</v>
      </c>
      <c r="W42" s="994">
        <f t="shared" si="3"/>
        <v>104.35546992844796</v>
      </c>
      <c r="X42" s="990">
        <f t="shared" si="4"/>
        <v>72.922008066319989</v>
      </c>
      <c r="Y42" s="990">
        <f t="shared" si="5"/>
        <v>1637.3481935387995</v>
      </c>
      <c r="Z42" s="995">
        <v>4.8</v>
      </c>
    </row>
    <row r="43" spans="1:32" ht="15" thickBot="1" x14ac:dyDescent="0.35">
      <c r="A43" s="1323"/>
      <c r="B43" s="1280"/>
      <c r="C43" s="1281"/>
      <c r="D43" s="1015" t="s">
        <v>605</v>
      </c>
      <c r="E43" s="1004" t="s">
        <v>652</v>
      </c>
      <c r="F43" s="997" t="s">
        <v>14</v>
      </c>
      <c r="G43" s="987">
        <v>0.36</v>
      </c>
      <c r="H43" s="990">
        <f>J43-'Au Cal Leaching Tank'!$Q$18-SUM(H42)</f>
        <v>179.74930000000006</v>
      </c>
      <c r="I43" s="990">
        <f t="shared" si="21"/>
        <v>14.979108333333338</v>
      </c>
      <c r="J43" s="990">
        <f>3.14*Z43*((10.7/2)^2)</f>
        <v>611.14761999999996</v>
      </c>
      <c r="K43" s="988">
        <v>1.24</v>
      </c>
      <c r="L43" s="987">
        <v>0.75</v>
      </c>
      <c r="M43" s="989">
        <f>(J43*K43*G43)-'Au Cal Leaching Tank'!$R$16-SUM(M42)</f>
        <v>93.872274432000012</v>
      </c>
      <c r="N43" s="1305"/>
      <c r="O43" s="991">
        <f t="shared" ref="O43:O46" si="22">IFERROR(M43/P43,"")</f>
        <v>7.8226895360000013</v>
      </c>
      <c r="P43" s="990">
        <f t="shared" ref="P43:P45" si="23">(720-R43)/60</f>
        <v>12</v>
      </c>
      <c r="Q43" s="990">
        <f t="shared" si="20"/>
        <v>720</v>
      </c>
      <c r="R43" s="990">
        <f>'Milling Down Time Hours'!G42</f>
        <v>0</v>
      </c>
      <c r="S43" s="1306"/>
      <c r="T43" s="998"/>
      <c r="U43" s="998"/>
      <c r="V43" s="999"/>
      <c r="W43" s="994">
        <f t="shared" si="3"/>
        <v>0</v>
      </c>
      <c r="X43" s="990">
        <f t="shared" si="4"/>
        <v>0</v>
      </c>
      <c r="Y43" s="990">
        <f t="shared" si="5"/>
        <v>0</v>
      </c>
      <c r="Z43" s="995">
        <v>6.8</v>
      </c>
    </row>
    <row r="44" spans="1:32" ht="15" thickBot="1" x14ac:dyDescent="0.35">
      <c r="A44" s="1323"/>
      <c r="B44" s="1278">
        <v>46284</v>
      </c>
      <c r="C44" s="1279"/>
      <c r="D44" s="678" t="s">
        <v>654</v>
      </c>
      <c r="E44" s="678" t="s">
        <v>652</v>
      </c>
      <c r="F44" s="986" t="s">
        <v>13</v>
      </c>
      <c r="G44" s="987">
        <v>0.35</v>
      </c>
      <c r="H44" s="990">
        <f>J44-'Au Cal Leaching Tank'!$Q$18-SUM(H43)</f>
        <v>575.19733999999971</v>
      </c>
      <c r="I44" s="990">
        <f>H44/((720-R44)/60)</f>
        <v>47.93311166666664</v>
      </c>
      <c r="J44" s="990">
        <f>3.14*Z44*((10.7/2)^2)</f>
        <v>862.7966399999998</v>
      </c>
      <c r="K44" s="988">
        <v>1.23</v>
      </c>
      <c r="L44" s="987">
        <v>0.75</v>
      </c>
      <c r="M44" s="989">
        <f>(J44*K44*G44)-'Au Cal Leaching Tank'!$R$16-SUM(M42:M43)</f>
        <v>98.617655951999893</v>
      </c>
      <c r="N44" s="1304">
        <f>SUM(M44:M45)</f>
        <v>243.10014329199998</v>
      </c>
      <c r="O44" s="991">
        <f t="shared" si="22"/>
        <v>8.2181379959999905</v>
      </c>
      <c r="P44" s="990">
        <f t="shared" si="23"/>
        <v>12</v>
      </c>
      <c r="Q44" s="990">
        <f t="shared" si="20"/>
        <v>720</v>
      </c>
      <c r="R44" s="990">
        <f>'Milling Down Time Hours'!G43</f>
        <v>0</v>
      </c>
      <c r="S44" s="1306"/>
      <c r="T44" s="1009"/>
      <c r="U44" s="992"/>
      <c r="V44" s="993"/>
      <c r="W44" s="994">
        <f t="shared" si="3"/>
        <v>0</v>
      </c>
      <c r="X44" s="990">
        <f t="shared" si="4"/>
        <v>0</v>
      </c>
      <c r="Y44" s="990">
        <f t="shared" si="5"/>
        <v>0</v>
      </c>
      <c r="Z44" s="995">
        <v>9.6</v>
      </c>
    </row>
    <row r="45" spans="1:32" ht="29.4" thickBot="1" x14ac:dyDescent="0.35">
      <c r="A45" s="1323"/>
      <c r="B45" s="1280"/>
      <c r="C45" s="1281"/>
      <c r="D45" s="1015" t="s">
        <v>655</v>
      </c>
      <c r="E45" s="1079" t="s">
        <v>664</v>
      </c>
      <c r="F45" s="997" t="s">
        <v>14</v>
      </c>
      <c r="G45" s="987">
        <v>0.4</v>
      </c>
      <c r="H45" s="990">
        <f>J45-'Au Cal Leaching Tank'!$Q$18-SUM(H44)</f>
        <v>332.53620500000022</v>
      </c>
      <c r="I45" s="990">
        <f>H45/((720-R45)/60)</f>
        <v>55.422700833333373</v>
      </c>
      <c r="J45" s="990">
        <f>3.14*Z45*((10.7/2)^2)</f>
        <v>1015.583545</v>
      </c>
      <c r="K45" s="988">
        <v>1.27</v>
      </c>
      <c r="L45" s="987">
        <v>0.75</v>
      </c>
      <c r="M45" s="989">
        <f>(J45*K45*G45)-'Au Cal Leaching Tank'!$R$16-SUM(M42:M44)</f>
        <v>144.48248734000009</v>
      </c>
      <c r="N45" s="1305"/>
      <c r="O45" s="991">
        <f t="shared" si="22"/>
        <v>24.080414556666682</v>
      </c>
      <c r="P45" s="990">
        <f t="shared" si="23"/>
        <v>6</v>
      </c>
      <c r="Q45" s="990">
        <f t="shared" si="20"/>
        <v>360</v>
      </c>
      <c r="R45" s="990">
        <f>'Milling Down Time Hours'!G44</f>
        <v>360</v>
      </c>
      <c r="S45" s="1307"/>
      <c r="T45" s="998"/>
      <c r="U45" s="998"/>
      <c r="V45" s="999"/>
      <c r="W45" s="994">
        <f t="shared" si="3"/>
        <v>0</v>
      </c>
      <c r="X45" s="990">
        <f t="shared" si="4"/>
        <v>0</v>
      </c>
      <c r="Y45" s="990">
        <f t="shared" si="5"/>
        <v>0</v>
      </c>
      <c r="Z45" s="995">
        <v>11.3</v>
      </c>
    </row>
    <row r="46" spans="1:32" ht="15" thickBot="1" x14ac:dyDescent="0.35">
      <c r="A46" s="690"/>
      <c r="B46" s="1282">
        <v>46285</v>
      </c>
      <c r="C46" s="1283"/>
      <c r="D46" s="461" t="s">
        <v>515</v>
      </c>
      <c r="E46" s="461" t="s">
        <v>663</v>
      </c>
      <c r="F46" s="1069" t="s">
        <v>13</v>
      </c>
      <c r="G46" s="460"/>
      <c r="H46" s="958">
        <f>J46-'Au Cal Leaching Tank'!Q18</f>
        <v>-107.85</v>
      </c>
      <c r="I46" s="958" t="e">
        <f>H46/((720-R46)/60)</f>
        <v>#DIV/0!</v>
      </c>
      <c r="J46" s="460"/>
      <c r="K46" s="460"/>
      <c r="L46" s="961">
        <v>0.75</v>
      </c>
      <c r="M46" s="1071">
        <f>(J46*K46*G46)-'Au Cal Leaching Tank'!$R$17</f>
        <v>-46.2406875</v>
      </c>
      <c r="N46" s="958"/>
      <c r="O46" s="1072" t="str">
        <f t="shared" si="22"/>
        <v/>
      </c>
      <c r="P46" s="958">
        <f t="shared" ref="P46" si="24">(720-R46)/60</f>
        <v>0</v>
      </c>
      <c r="Q46" s="958">
        <f t="shared" ref="Q46" si="25">720-R46</f>
        <v>0</v>
      </c>
      <c r="R46" s="958">
        <f>'Milling Down Time Hours'!G45</f>
        <v>720</v>
      </c>
      <c r="S46" s="461"/>
      <c r="T46" s="1073"/>
      <c r="U46" s="1073"/>
      <c r="V46" s="1074"/>
      <c r="W46" s="1007">
        <f t="shared" si="3"/>
        <v>0</v>
      </c>
      <c r="X46" s="958">
        <f t="shared" si="4"/>
        <v>0</v>
      </c>
      <c r="Y46" s="958">
        <f t="shared" si="5"/>
        <v>0</v>
      </c>
      <c r="Z46" s="1008"/>
    </row>
    <row r="47" spans="1:32" ht="15" thickBot="1" x14ac:dyDescent="0.35">
      <c r="A47" s="690"/>
      <c r="B47" s="1284"/>
      <c r="C47" s="1285"/>
      <c r="D47" s="1445" t="s">
        <v>516</v>
      </c>
      <c r="E47" s="1445" t="s">
        <v>663</v>
      </c>
      <c r="F47" s="971" t="s">
        <v>14</v>
      </c>
      <c r="G47" s="961"/>
      <c r="H47" s="460"/>
      <c r="I47" s="460"/>
      <c r="J47" s="460"/>
      <c r="K47" s="460"/>
      <c r="L47" s="961"/>
      <c r="M47" s="1071">
        <f>(J47*K47*G47)-'Au Cal Leaching Tank'!$R$17-SUM(M46)</f>
        <v>0</v>
      </c>
      <c r="N47" s="958"/>
      <c r="O47" s="1070"/>
      <c r="P47" s="1075"/>
      <c r="Q47" s="1076"/>
      <c r="R47" s="1075">
        <f>'Milling Down Time Hours'!P27</f>
        <v>0</v>
      </c>
      <c r="S47" s="461"/>
      <c r="T47" s="1077"/>
      <c r="U47" s="1077"/>
      <c r="V47" s="1078"/>
      <c r="W47" s="1007"/>
      <c r="X47" s="958"/>
      <c r="Y47" s="958"/>
      <c r="Z47" s="1008"/>
    </row>
    <row r="48" spans="1:32" ht="15" thickBot="1" x14ac:dyDescent="0.35">
      <c r="B48" s="1268">
        <v>46286</v>
      </c>
      <c r="C48" s="1269"/>
      <c r="D48" s="14"/>
      <c r="E48" s="14"/>
      <c r="F48" s="941" t="s">
        <v>13</v>
      </c>
      <c r="G48" s="234"/>
      <c r="H48" s="234"/>
      <c r="I48" s="895"/>
      <c r="J48" s="234"/>
      <c r="K48" s="234"/>
      <c r="L48" s="234"/>
      <c r="M48" s="908">
        <f t="shared" si="7"/>
        <v>0</v>
      </c>
      <c r="N48" s="234"/>
      <c r="O48" s="895"/>
      <c r="P48" s="912"/>
      <c r="Q48" s="890"/>
      <c r="R48" s="912"/>
      <c r="S48" s="14"/>
      <c r="T48" s="238"/>
      <c r="U48" s="238"/>
      <c r="V48" s="239"/>
      <c r="W48" s="160"/>
      <c r="X48" s="155"/>
      <c r="Y48" s="155"/>
      <c r="Z48" s="761"/>
    </row>
    <row r="49" spans="2:26" ht="15" thickBot="1" x14ac:dyDescent="0.35">
      <c r="B49" s="1270"/>
      <c r="C49" s="1271"/>
      <c r="D49" s="37"/>
      <c r="E49" s="247"/>
      <c r="F49" s="932" t="s">
        <v>14</v>
      </c>
      <c r="G49" s="234"/>
      <c r="H49" s="234"/>
      <c r="I49" s="895"/>
      <c r="J49" s="234"/>
      <c r="K49" s="234"/>
      <c r="L49" s="234"/>
      <c r="M49" s="908">
        <f t="shared" si="7"/>
        <v>0</v>
      </c>
      <c r="N49" s="234"/>
      <c r="O49" s="895"/>
      <c r="P49" s="954"/>
      <c r="Q49" s="889"/>
      <c r="R49" s="954">
        <f>'Milling Down Time Hours'!P55</f>
        <v>0</v>
      </c>
      <c r="S49" s="14"/>
      <c r="T49" s="1016"/>
      <c r="U49" s="1016"/>
      <c r="V49" s="1019"/>
      <c r="W49" s="160"/>
      <c r="X49" s="155"/>
      <c r="Y49" s="155"/>
      <c r="Z49" s="761"/>
    </row>
    <row r="50" spans="2:26" ht="15" thickBot="1" x14ac:dyDescent="0.35">
      <c r="B50" s="1268">
        <v>46287</v>
      </c>
      <c r="C50" s="1269"/>
      <c r="D50" s="14"/>
      <c r="E50" s="14"/>
      <c r="F50" s="941" t="s">
        <v>13</v>
      </c>
      <c r="G50" s="234"/>
      <c r="H50" s="234"/>
      <c r="I50" s="895"/>
      <c r="J50" s="234"/>
      <c r="K50" s="234"/>
      <c r="L50" s="234"/>
      <c r="M50" s="908">
        <f t="shared" si="7"/>
        <v>0</v>
      </c>
      <c r="N50" s="234"/>
      <c r="O50" s="895"/>
      <c r="P50" s="912"/>
      <c r="Q50" s="890"/>
      <c r="R50" s="912"/>
      <c r="S50" s="14"/>
      <c r="T50" s="238"/>
      <c r="U50" s="238"/>
      <c r="V50" s="239"/>
      <c r="W50" s="160"/>
      <c r="X50" s="155"/>
      <c r="Y50" s="155"/>
      <c r="Z50" s="761"/>
    </row>
    <row r="51" spans="2:26" ht="15" thickBot="1" x14ac:dyDescent="0.35">
      <c r="B51" s="1270"/>
      <c r="C51" s="1271"/>
      <c r="D51" s="37"/>
      <c r="E51" s="247"/>
      <c r="F51" s="932" t="s">
        <v>14</v>
      </c>
      <c r="G51" s="234"/>
      <c r="H51" s="234"/>
      <c r="I51" s="895"/>
      <c r="J51" s="234"/>
      <c r="K51" s="234"/>
      <c r="L51" s="234"/>
      <c r="M51" s="908">
        <f t="shared" si="7"/>
        <v>0</v>
      </c>
      <c r="N51" s="234"/>
      <c r="O51" s="895"/>
      <c r="P51" s="954">
        <f>'Milling Down Time Hours'!Q57</f>
        <v>0</v>
      </c>
      <c r="Q51" s="889"/>
      <c r="R51" s="954">
        <f>'Milling Down Time Hours'!P57</f>
        <v>0</v>
      </c>
      <c r="S51" s="14"/>
      <c r="T51" s="1016"/>
      <c r="U51" s="1016"/>
      <c r="V51" s="1019"/>
      <c r="W51" s="160"/>
      <c r="X51" s="155"/>
      <c r="Y51" s="155"/>
      <c r="Z51" s="761"/>
    </row>
    <row r="52" spans="2:26" ht="15" thickBot="1" x14ac:dyDescent="0.35">
      <c r="B52" s="1268">
        <v>46288</v>
      </c>
      <c r="C52" s="1269"/>
      <c r="D52" s="14"/>
      <c r="E52" s="14"/>
      <c r="F52" s="941" t="s">
        <v>13</v>
      </c>
      <c r="G52" s="234"/>
      <c r="H52" s="234"/>
      <c r="I52" s="895"/>
      <c r="J52" s="234"/>
      <c r="K52" s="234"/>
      <c r="L52" s="234"/>
      <c r="M52" s="908">
        <f t="shared" si="7"/>
        <v>0</v>
      </c>
      <c r="N52" s="234"/>
      <c r="O52" s="895"/>
      <c r="P52" s="912"/>
      <c r="Q52" s="890"/>
      <c r="R52" s="912"/>
      <c r="S52" s="14"/>
      <c r="T52" s="238"/>
      <c r="U52" s="238"/>
      <c r="V52" s="239"/>
      <c r="W52" s="160"/>
      <c r="X52" s="155"/>
      <c r="Y52" s="155"/>
      <c r="Z52" s="761"/>
    </row>
    <row r="53" spans="2:26" ht="15" thickBot="1" x14ac:dyDescent="0.35">
      <c r="B53" s="1270"/>
      <c r="C53" s="1271"/>
      <c r="D53" s="37"/>
      <c r="E53" s="37"/>
      <c r="F53" s="932" t="s">
        <v>14</v>
      </c>
      <c r="G53" s="234"/>
      <c r="H53" s="234"/>
      <c r="I53" s="895"/>
      <c r="J53" s="234"/>
      <c r="K53" s="234"/>
      <c r="L53" s="234"/>
      <c r="M53" s="908">
        <f t="shared" si="7"/>
        <v>0</v>
      </c>
      <c r="N53" s="234"/>
      <c r="O53" s="895"/>
      <c r="P53" s="954"/>
      <c r="Q53" s="889"/>
      <c r="R53" s="954"/>
      <c r="S53" s="14"/>
      <c r="T53" s="1016"/>
      <c r="U53" s="1016"/>
      <c r="V53" s="1019"/>
      <c r="W53" s="160"/>
      <c r="X53" s="155"/>
      <c r="Y53" s="155"/>
      <c r="Z53" s="761"/>
    </row>
    <row r="54" spans="2:26" ht="15" thickBot="1" x14ac:dyDescent="0.35">
      <c r="B54" s="1268">
        <v>46289</v>
      </c>
      <c r="C54" s="1269"/>
      <c r="D54" s="14"/>
      <c r="E54" s="14"/>
      <c r="F54" s="941" t="s">
        <v>13</v>
      </c>
      <c r="G54" s="234"/>
      <c r="H54" s="234"/>
      <c r="I54" s="895"/>
      <c r="J54" s="234"/>
      <c r="K54" s="234"/>
      <c r="L54" s="234"/>
      <c r="M54" s="908">
        <f t="shared" si="7"/>
        <v>0</v>
      </c>
      <c r="N54" s="234"/>
      <c r="O54" s="895"/>
      <c r="P54" s="912"/>
      <c r="Q54" s="890"/>
      <c r="R54" s="912"/>
      <c r="S54" s="14"/>
      <c r="T54" s="238"/>
      <c r="U54" s="238"/>
      <c r="V54" s="239"/>
      <c r="W54" s="160"/>
      <c r="X54" s="155"/>
      <c r="Y54" s="155"/>
      <c r="Z54" s="761"/>
    </row>
    <row r="55" spans="2:26" ht="15" thickBot="1" x14ac:dyDescent="0.35">
      <c r="B55" s="1270"/>
      <c r="C55" s="1271"/>
      <c r="D55" s="37"/>
      <c r="E55" s="37"/>
      <c r="F55" s="932" t="s">
        <v>14</v>
      </c>
      <c r="G55" s="905"/>
      <c r="H55" s="234"/>
      <c r="I55" s="895"/>
      <c r="J55" s="234"/>
      <c r="K55" s="234"/>
      <c r="L55" s="905"/>
      <c r="M55" s="908">
        <f t="shared" si="7"/>
        <v>0</v>
      </c>
      <c r="N55" s="905"/>
      <c r="O55" s="895"/>
      <c r="P55" s="954"/>
      <c r="Q55" s="889"/>
      <c r="R55" s="954">
        <f>'Milling Down Time Hours'!L61</f>
        <v>0</v>
      </c>
      <c r="S55" s="14"/>
      <c r="T55" s="1016"/>
      <c r="U55" s="1016"/>
      <c r="V55" s="1019"/>
      <c r="W55" s="160"/>
      <c r="X55" s="155"/>
      <c r="Y55" s="155"/>
      <c r="Z55" s="761"/>
    </row>
    <row r="56" spans="2:26" ht="15" thickBot="1" x14ac:dyDescent="0.35">
      <c r="B56" s="1268">
        <v>46290</v>
      </c>
      <c r="C56" s="1269"/>
      <c r="D56" s="14"/>
      <c r="E56" s="14"/>
      <c r="F56" s="941" t="s">
        <v>13</v>
      </c>
      <c r="G56" s="905"/>
      <c r="H56" s="234"/>
      <c r="I56" s="895"/>
      <c r="J56" s="234"/>
      <c r="K56" s="234"/>
      <c r="L56" s="905"/>
      <c r="M56" s="908">
        <f t="shared" si="7"/>
        <v>0</v>
      </c>
      <c r="N56" s="905"/>
      <c r="O56" s="895"/>
      <c r="P56" s="912"/>
      <c r="Q56" s="890"/>
      <c r="R56" s="912"/>
      <c r="S56" s="14"/>
      <c r="T56" s="238"/>
      <c r="U56" s="238"/>
      <c r="V56" s="239"/>
      <c r="W56" s="160"/>
      <c r="X56" s="155"/>
      <c r="Y56" s="155"/>
      <c r="Z56" s="761"/>
    </row>
    <row r="57" spans="2:26" ht="15" thickBot="1" x14ac:dyDescent="0.35">
      <c r="B57" s="1270"/>
      <c r="C57" s="1271"/>
      <c r="D57" s="37"/>
      <c r="E57" s="37"/>
      <c r="F57" s="932" t="s">
        <v>14</v>
      </c>
      <c r="G57" s="905"/>
      <c r="H57" s="234"/>
      <c r="I57" s="895"/>
      <c r="J57" s="234"/>
      <c r="K57" s="234"/>
      <c r="L57" s="905"/>
      <c r="M57" s="908">
        <f t="shared" si="7"/>
        <v>0</v>
      </c>
      <c r="N57" s="905"/>
      <c r="O57" s="895"/>
      <c r="P57" s="954">
        <f>'Milling Down Time Hours'!M63</f>
        <v>0</v>
      </c>
      <c r="Q57" s="889"/>
      <c r="R57" s="954">
        <f>'Milling Down Time Hours'!L63</f>
        <v>0</v>
      </c>
      <c r="S57" s="14"/>
      <c r="T57" s="1016"/>
      <c r="U57" s="1016"/>
      <c r="V57" s="1019"/>
      <c r="W57" s="160"/>
      <c r="X57" s="155"/>
      <c r="Y57" s="155"/>
      <c r="Z57" s="761"/>
    </row>
    <row r="58" spans="2:26" ht="15" thickBot="1" x14ac:dyDescent="0.35">
      <c r="B58" s="1268">
        <v>46291</v>
      </c>
      <c r="C58" s="1269"/>
      <c r="D58" s="14"/>
      <c r="E58" s="14"/>
      <c r="F58" s="941" t="s">
        <v>13</v>
      </c>
      <c r="G58" s="234"/>
      <c r="H58" s="234"/>
      <c r="I58" s="895"/>
      <c r="J58" s="234"/>
      <c r="K58" s="234"/>
      <c r="L58" s="234"/>
      <c r="M58" s="908">
        <f t="shared" si="7"/>
        <v>0</v>
      </c>
      <c r="N58" s="234"/>
      <c r="O58" s="895"/>
      <c r="P58" s="912"/>
      <c r="Q58" s="890"/>
      <c r="R58" s="912"/>
      <c r="S58" s="14"/>
      <c r="T58" s="238"/>
      <c r="U58" s="238"/>
      <c r="V58" s="239"/>
      <c r="W58" s="160"/>
      <c r="X58" s="155"/>
      <c r="Y58" s="155"/>
      <c r="Z58" s="761"/>
    </row>
    <row r="59" spans="2:26" ht="15" thickBot="1" x14ac:dyDescent="0.35">
      <c r="B59" s="1270"/>
      <c r="C59" s="1271"/>
      <c r="D59" s="37"/>
      <c r="E59" s="37"/>
      <c r="F59" s="932" t="s">
        <v>14</v>
      </c>
      <c r="G59" s="234"/>
      <c r="H59" s="234"/>
      <c r="I59" s="895"/>
      <c r="J59" s="234"/>
      <c r="K59" s="234"/>
      <c r="L59" s="234"/>
      <c r="M59" s="908">
        <f t="shared" si="7"/>
        <v>0</v>
      </c>
      <c r="N59" s="234"/>
      <c r="O59" s="895"/>
      <c r="P59" s="954">
        <f>'Milling Down Time Hours'!M65</f>
        <v>0</v>
      </c>
      <c r="Q59" s="889"/>
      <c r="R59" s="954">
        <f>'Milling Down Time Hours'!L65</f>
        <v>0</v>
      </c>
      <c r="S59" s="14"/>
      <c r="T59" s="1016"/>
      <c r="U59" s="1016"/>
      <c r="V59" s="1019"/>
      <c r="W59" s="160"/>
      <c r="X59" s="155"/>
      <c r="Y59" s="155"/>
      <c r="Z59" s="761"/>
    </row>
    <row r="60" spans="2:26" ht="15" thickBot="1" x14ac:dyDescent="0.35">
      <c r="B60" s="1268">
        <v>46292</v>
      </c>
      <c r="C60" s="1269"/>
      <c r="D60" s="14"/>
      <c r="E60" s="14"/>
      <c r="F60" s="941" t="s">
        <v>13</v>
      </c>
      <c r="G60" s="234"/>
      <c r="H60" s="234"/>
      <c r="I60" s="895"/>
      <c r="J60" s="234"/>
      <c r="K60" s="234"/>
      <c r="L60" s="234"/>
      <c r="M60" s="908">
        <f t="shared" si="7"/>
        <v>0</v>
      </c>
      <c r="N60" s="234"/>
      <c r="O60" s="895"/>
      <c r="P60" s="912"/>
      <c r="Q60" s="890"/>
      <c r="R60" s="912"/>
      <c r="S60" s="14"/>
      <c r="T60" s="238"/>
      <c r="U60" s="238"/>
      <c r="V60" s="239"/>
      <c r="W60" s="160"/>
      <c r="X60" s="155"/>
      <c r="Y60" s="155"/>
      <c r="Z60" s="761"/>
    </row>
    <row r="61" spans="2:26" ht="15" thickBot="1" x14ac:dyDescent="0.35">
      <c r="B61" s="1270"/>
      <c r="C61" s="1271"/>
      <c r="D61" s="37"/>
      <c r="E61" s="37"/>
      <c r="F61" s="932" t="s">
        <v>14</v>
      </c>
      <c r="G61" s="234"/>
      <c r="H61" s="234"/>
      <c r="I61" s="895"/>
      <c r="J61" s="234"/>
      <c r="K61" s="234"/>
      <c r="L61" s="234"/>
      <c r="M61" s="908">
        <f t="shared" si="7"/>
        <v>0</v>
      </c>
      <c r="N61" s="234"/>
      <c r="O61" s="895"/>
      <c r="P61" s="954">
        <f>'Milling Down Time Hours'!M67</f>
        <v>0</v>
      </c>
      <c r="Q61" s="889"/>
      <c r="R61" s="954">
        <f>'Milling Down Time Hours'!L67</f>
        <v>0</v>
      </c>
      <c r="S61" s="14"/>
      <c r="T61" s="1016"/>
      <c r="U61" s="1016"/>
      <c r="V61" s="1019"/>
      <c r="W61" s="160"/>
      <c r="X61" s="155"/>
      <c r="Y61" s="155"/>
      <c r="Z61" s="761"/>
    </row>
    <row r="62" spans="2:26" ht="15" thickBot="1" x14ac:dyDescent="0.35">
      <c r="B62" s="1268">
        <v>46293</v>
      </c>
      <c r="C62" s="1269"/>
      <c r="D62" s="14"/>
      <c r="E62" s="14"/>
      <c r="F62" s="941" t="s">
        <v>13</v>
      </c>
      <c r="G62" s="234"/>
      <c r="H62" s="234"/>
      <c r="I62" s="895"/>
      <c r="J62" s="234"/>
      <c r="K62" s="234"/>
      <c r="L62" s="234"/>
      <c r="M62" s="908">
        <f t="shared" si="7"/>
        <v>0</v>
      </c>
      <c r="N62" s="234"/>
      <c r="O62" s="895"/>
      <c r="P62" s="912"/>
      <c r="Q62" s="890"/>
      <c r="R62" s="912"/>
      <c r="S62" s="14"/>
      <c r="T62" s="238"/>
      <c r="U62" s="238"/>
      <c r="V62" s="239"/>
      <c r="W62" s="160"/>
      <c r="X62" s="155"/>
      <c r="Y62" s="155"/>
      <c r="Z62" s="761"/>
    </row>
    <row r="63" spans="2:26" ht="15" thickBot="1" x14ac:dyDescent="0.35">
      <c r="B63" s="1270"/>
      <c r="C63" s="1271"/>
      <c r="D63" s="37"/>
      <c r="E63" s="37"/>
      <c r="F63" s="932" t="s">
        <v>14</v>
      </c>
      <c r="G63" s="234"/>
      <c r="H63" s="234"/>
      <c r="I63" s="895"/>
      <c r="J63" s="234"/>
      <c r="K63" s="234"/>
      <c r="L63" s="905"/>
      <c r="M63" s="908">
        <f t="shared" si="7"/>
        <v>0</v>
      </c>
      <c r="N63" s="905"/>
      <c r="O63" s="895"/>
      <c r="P63" s="954"/>
      <c r="Q63" s="889"/>
      <c r="R63" s="954">
        <f>'Milling Down Time Hours'!L69</f>
        <v>0</v>
      </c>
      <c r="S63" s="14"/>
      <c r="T63" s="1017"/>
      <c r="U63" s="1017"/>
      <c r="V63" s="1020"/>
      <c r="W63" s="160">
        <f t="shared" ref="W63:W98" si="26">T63*M63</f>
        <v>0</v>
      </c>
      <c r="X63" s="155">
        <f t="shared" ref="X63:X98" si="27">M63*U63</f>
        <v>0</v>
      </c>
      <c r="Y63" s="155">
        <f t="shared" ref="Y63:Y98" si="28">M63*V63</f>
        <v>0</v>
      </c>
      <c r="Z63" s="761"/>
    </row>
    <row r="64" spans="2:26" ht="15" thickBot="1" x14ac:dyDescent="0.35">
      <c r="B64" s="1268">
        <v>46294</v>
      </c>
      <c r="C64" s="1269"/>
      <c r="D64" s="14"/>
      <c r="E64" s="14"/>
      <c r="F64" s="941" t="s">
        <v>13</v>
      </c>
      <c r="G64" s="234"/>
      <c r="H64" s="234"/>
      <c r="I64" s="895"/>
      <c r="J64" s="234"/>
      <c r="K64" s="234"/>
      <c r="L64" s="234"/>
      <c r="M64" s="908">
        <f t="shared" si="7"/>
        <v>0</v>
      </c>
      <c r="N64" s="234"/>
      <c r="O64" s="895"/>
      <c r="P64" s="912"/>
      <c r="Q64" s="890"/>
      <c r="R64" s="912"/>
      <c r="S64" s="14"/>
      <c r="T64" s="1018"/>
      <c r="U64" s="1018"/>
      <c r="V64" s="1021"/>
      <c r="W64" s="160">
        <f t="shared" si="26"/>
        <v>0</v>
      </c>
      <c r="X64" s="155">
        <f t="shared" si="27"/>
        <v>0</v>
      </c>
      <c r="Y64" s="155">
        <f t="shared" si="28"/>
        <v>0</v>
      </c>
      <c r="Z64" s="761"/>
    </row>
    <row r="65" spans="2:30" ht="15" thickBot="1" x14ac:dyDescent="0.35">
      <c r="B65" s="1270"/>
      <c r="C65" s="1271"/>
      <c r="D65" s="37"/>
      <c r="E65" s="37"/>
      <c r="F65" s="932" t="s">
        <v>14</v>
      </c>
      <c r="G65" s="234"/>
      <c r="H65" s="234"/>
      <c r="I65" s="895"/>
      <c r="J65" s="234"/>
      <c r="K65" s="234"/>
      <c r="L65" s="234"/>
      <c r="M65" s="908">
        <f t="shared" si="7"/>
        <v>0</v>
      </c>
      <c r="N65" s="234"/>
      <c r="O65" s="895"/>
      <c r="P65" s="954"/>
      <c r="Q65" s="889"/>
      <c r="R65" s="1255">
        <f>'Milling Down Time Hours'!L71</f>
        <v>0</v>
      </c>
      <c r="S65" s="14"/>
      <c r="T65" s="1017"/>
      <c r="U65" s="1017"/>
      <c r="V65" s="1022"/>
      <c r="W65" s="160">
        <f t="shared" si="26"/>
        <v>0</v>
      </c>
      <c r="X65" s="155">
        <f t="shared" si="27"/>
        <v>0</v>
      </c>
      <c r="Y65" s="155">
        <f t="shared" si="28"/>
        <v>0</v>
      </c>
      <c r="Z65" s="761"/>
    </row>
    <row r="66" spans="2:30" ht="15" thickBot="1" x14ac:dyDescent="0.35">
      <c r="B66" s="1268">
        <v>46295</v>
      </c>
      <c r="C66" s="1269"/>
      <c r="D66" s="14"/>
      <c r="E66" s="14"/>
      <c r="F66" s="941" t="s">
        <v>13</v>
      </c>
      <c r="G66" s="234"/>
      <c r="H66" s="234"/>
      <c r="I66" s="895"/>
      <c r="J66" s="234"/>
      <c r="K66" s="234"/>
      <c r="L66" s="234"/>
      <c r="M66" s="908">
        <f t="shared" si="7"/>
        <v>0</v>
      </c>
      <c r="N66" s="234"/>
      <c r="O66" s="895"/>
      <c r="P66" s="912"/>
      <c r="Q66" s="890"/>
      <c r="R66" s="1261"/>
      <c r="S66" s="14"/>
      <c r="T66" s="1018"/>
      <c r="U66" s="1018"/>
      <c r="V66" s="1023"/>
      <c r="W66" s="160">
        <f t="shared" si="26"/>
        <v>0</v>
      </c>
      <c r="X66" s="155">
        <f t="shared" si="27"/>
        <v>0</v>
      </c>
      <c r="Y66" s="155">
        <f t="shared" si="28"/>
        <v>0</v>
      </c>
      <c r="Z66" s="761"/>
    </row>
    <row r="67" spans="2:30" ht="15" thickBot="1" x14ac:dyDescent="0.35">
      <c r="B67" s="1270"/>
      <c r="C67" s="1271"/>
      <c r="D67" s="37"/>
      <c r="E67" s="37"/>
      <c r="F67" s="932" t="s">
        <v>14</v>
      </c>
      <c r="G67" s="234"/>
      <c r="H67" s="234"/>
      <c r="I67" s="895"/>
      <c r="J67" s="234"/>
      <c r="K67" s="234"/>
      <c r="L67" s="234"/>
      <c r="M67" s="908">
        <f t="shared" si="7"/>
        <v>0</v>
      </c>
      <c r="N67" s="234"/>
      <c r="O67" s="895"/>
      <c r="P67" s="955"/>
      <c r="Q67" s="913"/>
      <c r="R67" s="1255">
        <f>'Milling Down Time Hours'!L73</f>
        <v>0</v>
      </c>
      <c r="S67" s="14"/>
      <c r="T67" s="1017"/>
      <c r="U67" s="1017"/>
      <c r="V67" s="1022"/>
      <c r="W67" s="160">
        <f t="shared" si="26"/>
        <v>0</v>
      </c>
      <c r="X67" s="155">
        <f t="shared" si="27"/>
        <v>0</v>
      </c>
      <c r="Y67" s="155">
        <f t="shared" si="28"/>
        <v>0</v>
      </c>
      <c r="Z67" s="761"/>
    </row>
    <row r="68" spans="2:30" ht="15" thickBot="1" x14ac:dyDescent="0.35">
      <c r="B68" s="1268">
        <v>46296</v>
      </c>
      <c r="C68" s="1269"/>
      <c r="D68" s="14"/>
      <c r="E68" s="14"/>
      <c r="F68" s="941" t="s">
        <v>13</v>
      </c>
      <c r="G68" s="234"/>
      <c r="H68" s="234"/>
      <c r="I68" s="895"/>
      <c r="J68" s="234"/>
      <c r="K68" s="234"/>
      <c r="L68" s="234"/>
      <c r="M68" s="908">
        <f t="shared" si="7"/>
        <v>0</v>
      </c>
      <c r="N68" s="234"/>
      <c r="O68" s="895"/>
      <c r="P68" s="956"/>
      <c r="Q68" s="914"/>
      <c r="R68" s="1261"/>
      <c r="S68" s="14"/>
      <c r="T68" s="1018"/>
      <c r="U68" s="1018"/>
      <c r="V68" s="1023"/>
      <c r="W68" s="160">
        <f t="shared" si="26"/>
        <v>0</v>
      </c>
      <c r="X68" s="155">
        <f t="shared" si="27"/>
        <v>0</v>
      </c>
      <c r="Y68" s="155">
        <f t="shared" si="28"/>
        <v>0</v>
      </c>
      <c r="Z68" s="761"/>
    </row>
    <row r="69" spans="2:30" ht="15" thickBot="1" x14ac:dyDescent="0.35">
      <c r="B69" s="1270"/>
      <c r="C69" s="1271"/>
      <c r="D69" s="37"/>
      <c r="E69" s="37"/>
      <c r="F69" s="932" t="s">
        <v>14</v>
      </c>
      <c r="G69" s="234"/>
      <c r="H69" s="234"/>
      <c r="I69" s="895"/>
      <c r="J69" s="234"/>
      <c r="K69" s="234"/>
      <c r="L69" s="234"/>
      <c r="M69" s="908">
        <f t="shared" si="7"/>
        <v>0</v>
      </c>
      <c r="N69" s="234"/>
      <c r="O69" s="895"/>
      <c r="P69" s="954"/>
      <c r="Q69" s="889"/>
      <c r="R69" s="1255">
        <f>'Milling Down Time Hours'!L75</f>
        <v>0</v>
      </c>
      <c r="S69" s="14"/>
      <c r="T69" s="1017"/>
      <c r="U69" s="1017"/>
      <c r="V69" s="1020"/>
      <c r="W69" s="160">
        <f t="shared" si="26"/>
        <v>0</v>
      </c>
      <c r="X69" s="155">
        <f t="shared" si="27"/>
        <v>0</v>
      </c>
      <c r="Y69" s="155">
        <f t="shared" si="28"/>
        <v>0</v>
      </c>
      <c r="Z69" s="761"/>
    </row>
    <row r="70" spans="2:30" ht="15" thickBot="1" x14ac:dyDescent="0.35">
      <c r="B70" s="1268">
        <v>46297</v>
      </c>
      <c r="C70" s="1269"/>
      <c r="D70" s="14"/>
      <c r="E70" s="14"/>
      <c r="F70" s="941" t="s">
        <v>13</v>
      </c>
      <c r="G70" s="234"/>
      <c r="H70" s="14"/>
      <c r="I70" s="895"/>
      <c r="J70" s="234"/>
      <c r="K70" s="234"/>
      <c r="L70" s="234"/>
      <c r="M70" s="908">
        <f t="shared" si="7"/>
        <v>0</v>
      </c>
      <c r="N70" s="234"/>
      <c r="O70" s="895"/>
      <c r="P70" s="912"/>
      <c r="Q70" s="890"/>
      <c r="R70" s="1261"/>
      <c r="S70" s="14"/>
      <c r="T70" s="1018"/>
      <c r="U70" s="1018"/>
      <c r="V70" s="1021"/>
      <c r="W70" s="160">
        <f t="shared" si="26"/>
        <v>0</v>
      </c>
      <c r="X70" s="155">
        <f t="shared" si="27"/>
        <v>0</v>
      </c>
      <c r="Y70" s="155">
        <f t="shared" si="28"/>
        <v>0</v>
      </c>
      <c r="Z70" s="761"/>
    </row>
    <row r="71" spans="2:30" ht="15" thickBot="1" x14ac:dyDescent="0.35">
      <c r="B71" s="1270"/>
      <c r="C71" s="1271"/>
      <c r="D71" s="37"/>
      <c r="E71" s="37"/>
      <c r="F71" s="932" t="s">
        <v>14</v>
      </c>
      <c r="G71" s="905"/>
      <c r="H71" s="14"/>
      <c r="I71" s="895"/>
      <c r="J71" s="234"/>
      <c r="K71" s="234"/>
      <c r="L71" s="905"/>
      <c r="M71" s="908">
        <f t="shared" si="7"/>
        <v>0</v>
      </c>
      <c r="N71" s="905"/>
      <c r="O71" s="895"/>
      <c r="P71" s="954"/>
      <c r="Q71" s="889"/>
      <c r="R71" s="1255">
        <f>'Milling Down Time Hours'!L77</f>
        <v>0</v>
      </c>
      <c r="S71" s="14"/>
      <c r="T71" s="1017"/>
      <c r="U71" s="1017"/>
      <c r="V71" s="1020"/>
      <c r="W71" s="160">
        <f t="shared" si="26"/>
        <v>0</v>
      </c>
      <c r="X71" s="155">
        <f t="shared" si="27"/>
        <v>0</v>
      </c>
      <c r="Y71" s="155">
        <f t="shared" si="28"/>
        <v>0</v>
      </c>
      <c r="Z71" s="761"/>
    </row>
    <row r="72" spans="2:30" ht="15" thickBot="1" x14ac:dyDescent="0.35">
      <c r="B72" s="1268">
        <v>46298</v>
      </c>
      <c r="C72" s="1269"/>
      <c r="D72" s="14"/>
      <c r="E72" s="14"/>
      <c r="F72" s="941" t="s">
        <v>13</v>
      </c>
      <c r="G72" s="234"/>
      <c r="H72" s="14"/>
      <c r="I72" s="895"/>
      <c r="J72" s="234"/>
      <c r="K72" s="234"/>
      <c r="L72" s="234"/>
      <c r="M72" s="908">
        <f t="shared" si="7"/>
        <v>0</v>
      </c>
      <c r="N72" s="234"/>
      <c r="O72" s="895"/>
      <c r="P72" s="912"/>
      <c r="Q72" s="890"/>
      <c r="R72" s="1261"/>
      <c r="S72" s="14"/>
      <c r="T72" s="1018"/>
      <c r="U72" s="1018"/>
      <c r="V72" s="1021"/>
      <c r="W72" s="160">
        <f t="shared" si="26"/>
        <v>0</v>
      </c>
      <c r="X72" s="155">
        <f t="shared" si="27"/>
        <v>0</v>
      </c>
      <c r="Y72" s="155">
        <f t="shared" si="28"/>
        <v>0</v>
      </c>
      <c r="Z72" s="761"/>
    </row>
    <row r="73" spans="2:30" ht="15" thickBot="1" x14ac:dyDescent="0.35">
      <c r="B73" s="1270"/>
      <c r="C73" s="1271"/>
      <c r="D73" s="37"/>
      <c r="E73" s="37"/>
      <c r="F73" s="932" t="s">
        <v>14</v>
      </c>
      <c r="G73" s="905"/>
      <c r="H73" s="14"/>
      <c r="I73" s="895"/>
      <c r="J73" s="234"/>
      <c r="K73" s="234"/>
      <c r="L73" s="905"/>
      <c r="M73" s="908">
        <f t="shared" si="7"/>
        <v>0</v>
      </c>
      <c r="N73" s="905"/>
      <c r="O73" s="895"/>
      <c r="P73" s="954"/>
      <c r="Q73" s="889"/>
      <c r="R73" s="1255">
        <f>'Milling Down Time Hours'!L79</f>
        <v>0</v>
      </c>
      <c r="S73" s="14"/>
      <c r="T73" s="1017"/>
      <c r="U73" s="1017"/>
      <c r="V73" s="1020"/>
      <c r="W73" s="160">
        <f t="shared" si="26"/>
        <v>0</v>
      </c>
      <c r="X73" s="155">
        <f t="shared" si="27"/>
        <v>0</v>
      </c>
      <c r="Y73" s="155">
        <f t="shared" si="28"/>
        <v>0</v>
      </c>
      <c r="Z73" s="761"/>
    </row>
    <row r="74" spans="2:30" ht="15" thickBot="1" x14ac:dyDescent="0.35">
      <c r="B74" s="1268">
        <v>46299</v>
      </c>
      <c r="C74" s="1269"/>
      <c r="D74" s="14"/>
      <c r="E74" s="14"/>
      <c r="F74" s="941" t="s">
        <v>13</v>
      </c>
      <c r="G74" s="234"/>
      <c r="H74" s="14"/>
      <c r="I74" s="895"/>
      <c r="J74" s="234"/>
      <c r="K74" s="234"/>
      <c r="L74" s="234"/>
      <c r="M74" s="908">
        <f t="shared" si="7"/>
        <v>0</v>
      </c>
      <c r="N74" s="234"/>
      <c r="O74" s="895"/>
      <c r="P74" s="912"/>
      <c r="Q74" s="890"/>
      <c r="R74" s="1261"/>
      <c r="S74" s="14"/>
      <c r="T74" s="1018"/>
      <c r="U74" s="1018"/>
      <c r="V74" s="1021"/>
      <c r="W74" s="160">
        <f t="shared" si="26"/>
        <v>0</v>
      </c>
      <c r="X74" s="155">
        <f t="shared" si="27"/>
        <v>0</v>
      </c>
      <c r="Y74" s="155">
        <f t="shared" si="28"/>
        <v>0</v>
      </c>
      <c r="Z74" s="761"/>
      <c r="AD74" s="1">
        <v>0.41899999999999998</v>
      </c>
    </row>
    <row r="75" spans="2:30" ht="15" thickBot="1" x14ac:dyDescent="0.35">
      <c r="B75" s="1270"/>
      <c r="C75" s="1271"/>
      <c r="D75" s="37"/>
      <c r="E75" s="37"/>
      <c r="F75" s="932" t="s">
        <v>14</v>
      </c>
      <c r="G75" s="234"/>
      <c r="H75" s="14"/>
      <c r="I75" s="895"/>
      <c r="J75" s="234"/>
      <c r="K75" s="234"/>
      <c r="L75" s="234"/>
      <c r="M75" s="908">
        <f t="shared" si="7"/>
        <v>0</v>
      </c>
      <c r="N75" s="234"/>
      <c r="O75" s="895"/>
      <c r="P75" s="954"/>
      <c r="Q75" s="889"/>
      <c r="R75" s="1255">
        <f>'Milling Down Time Hours'!L81</f>
        <v>0</v>
      </c>
      <c r="S75" s="14"/>
      <c r="T75" s="1016"/>
      <c r="U75" s="1016"/>
      <c r="V75" s="1019"/>
      <c r="W75" s="160">
        <f t="shared" si="26"/>
        <v>0</v>
      </c>
      <c r="X75" s="155">
        <f t="shared" si="27"/>
        <v>0</v>
      </c>
      <c r="Y75" s="155">
        <f t="shared" si="28"/>
        <v>0</v>
      </c>
      <c r="Z75" s="761"/>
      <c r="AD75" s="1">
        <v>0.41299999999999998</v>
      </c>
    </row>
    <row r="76" spans="2:30" ht="15" thickBot="1" x14ac:dyDescent="0.35">
      <c r="B76" s="1268">
        <v>46300</v>
      </c>
      <c r="C76" s="1269"/>
      <c r="D76" s="14"/>
      <c r="E76" s="14"/>
      <c r="F76" s="941" t="s">
        <v>13</v>
      </c>
      <c r="G76" s="234"/>
      <c r="H76" s="14"/>
      <c r="I76" s="895"/>
      <c r="J76" s="234"/>
      <c r="K76" s="234"/>
      <c r="L76" s="234"/>
      <c r="M76" s="908">
        <f t="shared" ref="M76:M98" si="29">H76*K76*G76</f>
        <v>0</v>
      </c>
      <c r="N76" s="234"/>
      <c r="O76" s="895"/>
      <c r="P76" s="912"/>
      <c r="Q76" s="890"/>
      <c r="R76" s="1261"/>
      <c r="S76" s="14"/>
      <c r="T76" s="238"/>
      <c r="U76" s="238"/>
      <c r="V76" s="239"/>
      <c r="W76" s="160">
        <f t="shared" si="26"/>
        <v>0</v>
      </c>
      <c r="X76" s="155">
        <f t="shared" si="27"/>
        <v>0</v>
      </c>
      <c r="Y76" s="155">
        <f t="shared" si="28"/>
        <v>0</v>
      </c>
      <c r="Z76" s="761"/>
      <c r="AD76" s="1">
        <v>0.40400000000000003</v>
      </c>
    </row>
    <row r="77" spans="2:30" ht="15" thickBot="1" x14ac:dyDescent="0.35">
      <c r="B77" s="1270"/>
      <c r="C77" s="1271"/>
      <c r="D77" s="37"/>
      <c r="E77" s="37"/>
      <c r="F77" s="932" t="s">
        <v>14</v>
      </c>
      <c r="G77" s="905"/>
      <c r="H77" s="14"/>
      <c r="I77" s="895"/>
      <c r="J77" s="234"/>
      <c r="K77" s="234"/>
      <c r="L77" s="905"/>
      <c r="M77" s="908">
        <f t="shared" si="29"/>
        <v>0</v>
      </c>
      <c r="N77" s="905"/>
      <c r="O77" s="895"/>
      <c r="P77" s="954"/>
      <c r="Q77" s="889"/>
      <c r="R77" s="1255">
        <f>'Milling Down Time Hours'!L83</f>
        <v>0</v>
      </c>
      <c r="S77" s="14"/>
      <c r="T77" s="1017"/>
      <c r="U77" s="1017"/>
      <c r="V77" s="1020"/>
      <c r="W77" s="160">
        <f t="shared" si="26"/>
        <v>0</v>
      </c>
      <c r="X77" s="155">
        <f t="shared" si="27"/>
        <v>0</v>
      </c>
      <c r="Y77" s="155">
        <f t="shared" si="28"/>
        <v>0</v>
      </c>
      <c r="Z77" s="761"/>
      <c r="AD77" s="1">
        <v>0.47</v>
      </c>
    </row>
    <row r="78" spans="2:30" ht="15" thickBot="1" x14ac:dyDescent="0.35">
      <c r="B78" s="1268">
        <v>46301</v>
      </c>
      <c r="C78" s="1269"/>
      <c r="D78" s="14"/>
      <c r="E78" s="14"/>
      <c r="F78" s="941" t="s">
        <v>13</v>
      </c>
      <c r="G78" s="234"/>
      <c r="H78" s="14"/>
      <c r="I78" s="895"/>
      <c r="J78" s="234"/>
      <c r="K78" s="234"/>
      <c r="L78" s="234"/>
      <c r="M78" s="908">
        <f t="shared" si="29"/>
        <v>0</v>
      </c>
      <c r="N78" s="234"/>
      <c r="O78" s="895"/>
      <c r="P78" s="912"/>
      <c r="Q78" s="890"/>
      <c r="R78" s="1261"/>
      <c r="S78" s="14"/>
      <c r="T78" s="1018"/>
      <c r="U78" s="1018"/>
      <c r="V78" s="1021"/>
      <c r="W78" s="160">
        <f t="shared" si="26"/>
        <v>0</v>
      </c>
      <c r="X78" s="155">
        <f t="shared" si="27"/>
        <v>0</v>
      </c>
      <c r="Y78" s="155">
        <f t="shared" si="28"/>
        <v>0</v>
      </c>
      <c r="Z78" s="761"/>
      <c r="AD78" s="1">
        <v>0.46500000000000002</v>
      </c>
    </row>
    <row r="79" spans="2:30" ht="14.55" hidden="1" customHeight="1" thickBot="1" x14ac:dyDescent="0.35">
      <c r="B79" s="1272"/>
      <c r="C79" s="1273"/>
      <c r="D79" s="37"/>
      <c r="E79" s="37"/>
      <c r="F79" s="932" t="s">
        <v>14</v>
      </c>
      <c r="G79" s="905"/>
      <c r="H79" s="14"/>
      <c r="I79" s="895"/>
      <c r="J79" s="234"/>
      <c r="K79" s="234"/>
      <c r="L79" s="234"/>
      <c r="M79" s="908">
        <f t="shared" si="29"/>
        <v>0</v>
      </c>
      <c r="N79" s="234"/>
      <c r="O79" s="895"/>
      <c r="P79" s="1255">
        <f>'Milling Down Time Hours'!Q43</f>
        <v>0</v>
      </c>
      <c r="Q79" s="889"/>
      <c r="R79" s="1255">
        <f>'Milling Down Time Hours'!L85</f>
        <v>0</v>
      </c>
      <c r="S79" s="14"/>
      <c r="T79" s="1274">
        <v>0.35699999999999998</v>
      </c>
      <c r="U79" s="1274">
        <v>1.056</v>
      </c>
      <c r="V79" s="1276">
        <v>32.25</v>
      </c>
      <c r="W79" s="160">
        <f t="shared" si="26"/>
        <v>0</v>
      </c>
      <c r="X79" s="155">
        <f t="shared" si="27"/>
        <v>0</v>
      </c>
      <c r="Y79" s="155">
        <f t="shared" si="28"/>
        <v>0</v>
      </c>
      <c r="Z79" s="761"/>
      <c r="AD79" s="1">
        <v>0.51600000000000001</v>
      </c>
    </row>
    <row r="80" spans="2:30" ht="15" hidden="1" customHeight="1" thickBot="1" x14ac:dyDescent="0.35">
      <c r="B80" s="1272"/>
      <c r="C80" s="1273"/>
      <c r="D80" s="14"/>
      <c r="E80" s="14"/>
      <c r="F80" s="941" t="s">
        <v>13</v>
      </c>
      <c r="G80" s="234"/>
      <c r="H80" s="14"/>
      <c r="I80" s="895"/>
      <c r="J80" s="234"/>
      <c r="K80" s="234"/>
      <c r="L80" s="234"/>
      <c r="M80" s="908">
        <f t="shared" si="29"/>
        <v>0</v>
      </c>
      <c r="N80" s="234"/>
      <c r="O80" s="895"/>
      <c r="P80" s="1261"/>
      <c r="Q80" s="890"/>
      <c r="R80" s="1261"/>
      <c r="S80" s="14"/>
      <c r="T80" s="1275"/>
      <c r="U80" s="1275"/>
      <c r="V80" s="1277"/>
      <c r="W80" s="160">
        <f t="shared" si="26"/>
        <v>0</v>
      </c>
      <c r="X80" s="155">
        <f t="shared" si="27"/>
        <v>0</v>
      </c>
      <c r="Y80" s="155">
        <f t="shared" si="28"/>
        <v>0</v>
      </c>
      <c r="Z80" s="761"/>
      <c r="AD80" s="118">
        <f>AVERAGE(AD74:AD79)</f>
        <v>0.44783333333333331</v>
      </c>
    </row>
    <row r="81" spans="2:26" ht="14.55" hidden="1" customHeight="1" thickBot="1" x14ac:dyDescent="0.35">
      <c r="B81" s="1272"/>
      <c r="C81" s="1273"/>
      <c r="D81" s="37"/>
      <c r="E81" s="37"/>
      <c r="F81" s="932" t="s">
        <v>14</v>
      </c>
      <c r="G81" s="234"/>
      <c r="H81" s="14"/>
      <c r="I81" s="895"/>
      <c r="J81" s="234"/>
      <c r="K81" s="234"/>
      <c r="L81" s="234"/>
      <c r="M81" s="908">
        <f t="shared" si="29"/>
        <v>0</v>
      </c>
      <c r="N81" s="234"/>
      <c r="O81" s="895"/>
      <c r="P81" s="1255">
        <f>'Milling Down Time Hours'!M87</f>
        <v>0</v>
      </c>
      <c r="Q81" s="889"/>
      <c r="R81" s="1255">
        <f>'Milling Down Time Hours'!L87</f>
        <v>0</v>
      </c>
      <c r="S81" s="14"/>
      <c r="T81" s="1258" t="e">
        <f>SUM(#REF!)</f>
        <v>#REF!</v>
      </c>
      <c r="U81" s="1258" t="e">
        <f t="shared" ref="U81:V81" si="30">SUM(T81:T83)</f>
        <v>#REF!</v>
      </c>
      <c r="V81" s="1253" t="e">
        <f t="shared" si="30"/>
        <v>#REF!</v>
      </c>
      <c r="W81" s="160" t="e">
        <f t="shared" si="26"/>
        <v>#REF!</v>
      </c>
      <c r="X81" s="155" t="e">
        <f t="shared" si="27"/>
        <v>#REF!</v>
      </c>
      <c r="Y81" s="155" t="e">
        <f t="shared" si="28"/>
        <v>#REF!</v>
      </c>
      <c r="Z81" s="761"/>
    </row>
    <row r="82" spans="2:26" ht="15" hidden="1" customHeight="1" thickBot="1" x14ac:dyDescent="0.35">
      <c r="B82" s="1272"/>
      <c r="C82" s="1273"/>
      <c r="D82" s="14"/>
      <c r="E82" s="14"/>
      <c r="F82" s="941" t="s">
        <v>13</v>
      </c>
      <c r="G82" s="234"/>
      <c r="H82" s="14"/>
      <c r="I82" s="895"/>
      <c r="J82" s="234"/>
      <c r="K82" s="234"/>
      <c r="L82" s="234"/>
      <c r="M82" s="908">
        <f t="shared" si="29"/>
        <v>0</v>
      </c>
      <c r="N82" s="234"/>
      <c r="O82" s="895"/>
      <c r="P82" s="1261"/>
      <c r="Q82" s="890"/>
      <c r="R82" s="1261"/>
      <c r="S82" s="14"/>
      <c r="T82" s="1262"/>
      <c r="U82" s="1262"/>
      <c r="V82" s="1254"/>
      <c r="W82" s="160">
        <f t="shared" si="26"/>
        <v>0</v>
      </c>
      <c r="X82" s="155">
        <f t="shared" si="27"/>
        <v>0</v>
      </c>
      <c r="Y82" s="155">
        <f t="shared" si="28"/>
        <v>0</v>
      </c>
      <c r="Z82" s="761"/>
    </row>
    <row r="83" spans="2:26" ht="14.55" hidden="1" customHeight="1" thickBot="1" x14ac:dyDescent="0.35">
      <c r="B83" s="1272"/>
      <c r="C83" s="1273"/>
      <c r="D83" s="37"/>
      <c r="E83" s="37"/>
      <c r="F83" s="932" t="s">
        <v>14</v>
      </c>
      <c r="G83" s="234"/>
      <c r="H83" s="14"/>
      <c r="I83" s="895"/>
      <c r="J83" s="234"/>
      <c r="K83" s="234"/>
      <c r="L83" s="234"/>
      <c r="M83" s="908">
        <f t="shared" si="29"/>
        <v>0</v>
      </c>
      <c r="N83" s="234"/>
      <c r="O83" s="895"/>
      <c r="P83" s="1255">
        <f>'Milling Down Time Hours'!M89</f>
        <v>0</v>
      </c>
      <c r="Q83" s="889"/>
      <c r="R83" s="1255">
        <f>'Milling Down Time Hours'!L89</f>
        <v>0</v>
      </c>
      <c r="S83" s="14"/>
      <c r="T83" s="1258" t="e">
        <f>SUM(#REF!)</f>
        <v>#REF!</v>
      </c>
      <c r="U83" s="1258" t="e">
        <f t="shared" ref="U83:V83" si="31">SUM(T83:T85)</f>
        <v>#REF!</v>
      </c>
      <c r="V83" s="1253" t="e">
        <f t="shared" si="31"/>
        <v>#REF!</v>
      </c>
      <c r="W83" s="160" t="e">
        <f t="shared" si="26"/>
        <v>#REF!</v>
      </c>
      <c r="X83" s="155" t="e">
        <f t="shared" si="27"/>
        <v>#REF!</v>
      </c>
      <c r="Y83" s="155" t="e">
        <f t="shared" si="28"/>
        <v>#REF!</v>
      </c>
      <c r="Z83" s="761"/>
    </row>
    <row r="84" spans="2:26" ht="15" hidden="1" customHeight="1" thickBot="1" x14ac:dyDescent="0.35">
      <c r="B84" s="1272"/>
      <c r="C84" s="1273"/>
      <c r="D84" s="14"/>
      <c r="E84" s="14"/>
      <c r="F84" s="941" t="s">
        <v>13</v>
      </c>
      <c r="G84" s="234"/>
      <c r="H84" s="14"/>
      <c r="I84" s="895"/>
      <c r="J84" s="234"/>
      <c r="K84" s="234"/>
      <c r="L84" s="234"/>
      <c r="M84" s="908">
        <f t="shared" si="29"/>
        <v>0</v>
      </c>
      <c r="N84" s="234"/>
      <c r="O84" s="895"/>
      <c r="P84" s="1261"/>
      <c r="Q84" s="890"/>
      <c r="R84" s="1261"/>
      <c r="S84" s="14"/>
      <c r="T84" s="1262"/>
      <c r="U84" s="1262"/>
      <c r="V84" s="1254"/>
      <c r="W84" s="160">
        <f t="shared" si="26"/>
        <v>0</v>
      </c>
      <c r="X84" s="155">
        <f t="shared" si="27"/>
        <v>0</v>
      </c>
      <c r="Y84" s="155">
        <f t="shared" si="28"/>
        <v>0</v>
      </c>
      <c r="Z84" s="761"/>
    </row>
    <row r="85" spans="2:26" ht="14.55" hidden="1" customHeight="1" thickBot="1" x14ac:dyDescent="0.35">
      <c r="B85" s="1272"/>
      <c r="C85" s="1273"/>
      <c r="D85" s="37"/>
      <c r="E85" s="37"/>
      <c r="F85" s="932" t="s">
        <v>14</v>
      </c>
      <c r="G85" s="234"/>
      <c r="H85" s="14"/>
      <c r="I85" s="895"/>
      <c r="J85" s="234"/>
      <c r="K85" s="234"/>
      <c r="L85" s="234"/>
      <c r="M85" s="908">
        <f t="shared" si="29"/>
        <v>0</v>
      </c>
      <c r="N85" s="234"/>
      <c r="O85" s="895"/>
      <c r="P85" s="1255">
        <f>'Milling Down Time Hours'!M91</f>
        <v>0</v>
      </c>
      <c r="Q85" s="889"/>
      <c r="R85" s="1255">
        <f>'Milling Down Time Hours'!L91</f>
        <v>0</v>
      </c>
      <c r="S85" s="14"/>
      <c r="T85" s="1258" t="e">
        <f>SUM(#REF!)</f>
        <v>#REF!</v>
      </c>
      <c r="U85" s="1258" t="e">
        <f t="shared" ref="U85:V85" si="32">SUM(T85:T87)</f>
        <v>#REF!</v>
      </c>
      <c r="V85" s="1253" t="e">
        <f t="shared" si="32"/>
        <v>#REF!</v>
      </c>
      <c r="W85" s="160" t="e">
        <f t="shared" si="26"/>
        <v>#REF!</v>
      </c>
      <c r="X85" s="155" t="e">
        <f t="shared" si="27"/>
        <v>#REF!</v>
      </c>
      <c r="Y85" s="155" t="e">
        <f t="shared" si="28"/>
        <v>#REF!</v>
      </c>
      <c r="Z85" s="761"/>
    </row>
    <row r="86" spans="2:26" ht="15" hidden="1" customHeight="1" thickBot="1" x14ac:dyDescent="0.35">
      <c r="B86" s="1272"/>
      <c r="C86" s="1273"/>
      <c r="D86" s="14"/>
      <c r="E86" s="14"/>
      <c r="F86" s="941" t="s">
        <v>13</v>
      </c>
      <c r="G86" s="234"/>
      <c r="H86" s="14"/>
      <c r="I86" s="895"/>
      <c r="J86" s="234"/>
      <c r="K86" s="234"/>
      <c r="L86" s="234"/>
      <c r="M86" s="908">
        <f t="shared" si="29"/>
        <v>0</v>
      </c>
      <c r="N86" s="234"/>
      <c r="O86" s="895"/>
      <c r="P86" s="1261"/>
      <c r="Q86" s="890"/>
      <c r="R86" s="1261"/>
      <c r="S86" s="14"/>
      <c r="T86" s="1262"/>
      <c r="U86" s="1262"/>
      <c r="V86" s="1254"/>
      <c r="W86" s="160">
        <f t="shared" si="26"/>
        <v>0</v>
      </c>
      <c r="X86" s="155">
        <f t="shared" si="27"/>
        <v>0</v>
      </c>
      <c r="Y86" s="155">
        <f t="shared" si="28"/>
        <v>0</v>
      </c>
      <c r="Z86" s="761"/>
    </row>
    <row r="87" spans="2:26" ht="14.55" hidden="1" customHeight="1" thickBot="1" x14ac:dyDescent="0.35">
      <c r="B87" s="1272"/>
      <c r="C87" s="1273"/>
      <c r="D87" s="37"/>
      <c r="E87" s="37"/>
      <c r="F87" s="932" t="s">
        <v>14</v>
      </c>
      <c r="G87" s="234"/>
      <c r="H87" s="14"/>
      <c r="I87" s="895"/>
      <c r="J87" s="234"/>
      <c r="K87" s="234"/>
      <c r="L87" s="234"/>
      <c r="M87" s="908">
        <f t="shared" si="29"/>
        <v>0</v>
      </c>
      <c r="N87" s="234"/>
      <c r="O87" s="895"/>
      <c r="P87" s="1255">
        <f>'Milling Down Time Hours'!M93</f>
        <v>0</v>
      </c>
      <c r="Q87" s="889"/>
      <c r="R87" s="1255">
        <f>'Milling Down Time Hours'!L93</f>
        <v>0</v>
      </c>
      <c r="S87" s="14"/>
      <c r="T87" s="1258" t="e">
        <f>SUM(#REF!)</f>
        <v>#REF!</v>
      </c>
      <c r="U87" s="1258" t="e">
        <f t="shared" ref="U87:V87" si="33">SUM(T87:T89)</f>
        <v>#REF!</v>
      </c>
      <c r="V87" s="1253" t="e">
        <f t="shared" si="33"/>
        <v>#REF!</v>
      </c>
      <c r="W87" s="160" t="e">
        <f t="shared" si="26"/>
        <v>#REF!</v>
      </c>
      <c r="X87" s="155" t="e">
        <f t="shared" si="27"/>
        <v>#REF!</v>
      </c>
      <c r="Y87" s="155" t="e">
        <f t="shared" si="28"/>
        <v>#REF!</v>
      </c>
      <c r="Z87" s="761"/>
    </row>
    <row r="88" spans="2:26" ht="15" hidden="1" customHeight="1" thickBot="1" x14ac:dyDescent="0.35">
      <c r="B88" s="1272"/>
      <c r="C88" s="1273"/>
      <c r="D88" s="14"/>
      <c r="E88" s="14"/>
      <c r="F88" s="941" t="s">
        <v>13</v>
      </c>
      <c r="G88" s="234"/>
      <c r="H88" s="14"/>
      <c r="I88" s="895"/>
      <c r="J88" s="234"/>
      <c r="K88" s="234"/>
      <c r="L88" s="234"/>
      <c r="M88" s="908">
        <f t="shared" si="29"/>
        <v>0</v>
      </c>
      <c r="N88" s="234"/>
      <c r="O88" s="895"/>
      <c r="P88" s="1261"/>
      <c r="Q88" s="890"/>
      <c r="R88" s="1261"/>
      <c r="S88" s="14"/>
      <c r="T88" s="1262"/>
      <c r="U88" s="1262"/>
      <c r="V88" s="1254"/>
      <c r="W88" s="160">
        <f t="shared" si="26"/>
        <v>0</v>
      </c>
      <c r="X88" s="155">
        <f t="shared" si="27"/>
        <v>0</v>
      </c>
      <c r="Y88" s="155">
        <f t="shared" si="28"/>
        <v>0</v>
      </c>
      <c r="Z88" s="761"/>
    </row>
    <row r="89" spans="2:26" ht="14.55" hidden="1" customHeight="1" thickBot="1" x14ac:dyDescent="0.35">
      <c r="B89" s="1272"/>
      <c r="C89" s="1273"/>
      <c r="D89" s="37"/>
      <c r="E89" s="37"/>
      <c r="F89" s="932" t="s">
        <v>14</v>
      </c>
      <c r="G89" s="234"/>
      <c r="H89" s="14"/>
      <c r="I89" s="895"/>
      <c r="J89" s="234"/>
      <c r="K89" s="234"/>
      <c r="L89" s="234"/>
      <c r="M89" s="908">
        <f t="shared" si="29"/>
        <v>0</v>
      </c>
      <c r="N89" s="234"/>
      <c r="O89" s="895"/>
      <c r="P89" s="1255">
        <f>'Milling Down Time Hours'!M95</f>
        <v>0</v>
      </c>
      <c r="Q89" s="889"/>
      <c r="R89" s="1255">
        <f>'Milling Down Time Hours'!L95</f>
        <v>0</v>
      </c>
      <c r="S89" s="14"/>
      <c r="T89" s="1258" t="e">
        <f>SUM(#REF!)</f>
        <v>#REF!</v>
      </c>
      <c r="U89" s="1258" t="e">
        <f t="shared" ref="U89:V89" si="34">SUM(T89:T91)</f>
        <v>#REF!</v>
      </c>
      <c r="V89" s="1253" t="e">
        <f t="shared" si="34"/>
        <v>#REF!</v>
      </c>
      <c r="W89" s="160" t="e">
        <f t="shared" si="26"/>
        <v>#REF!</v>
      </c>
      <c r="X89" s="155" t="e">
        <f t="shared" si="27"/>
        <v>#REF!</v>
      </c>
      <c r="Y89" s="155" t="e">
        <f t="shared" si="28"/>
        <v>#REF!</v>
      </c>
      <c r="Z89" s="761"/>
    </row>
    <row r="90" spans="2:26" ht="15" hidden="1" customHeight="1" thickBot="1" x14ac:dyDescent="0.35">
      <c r="B90" s="1272"/>
      <c r="C90" s="1273"/>
      <c r="D90" s="14"/>
      <c r="E90" s="14"/>
      <c r="F90" s="941" t="s">
        <v>13</v>
      </c>
      <c r="G90" s="234"/>
      <c r="H90" s="14"/>
      <c r="I90" s="895"/>
      <c r="J90" s="234"/>
      <c r="K90" s="234"/>
      <c r="L90" s="234"/>
      <c r="M90" s="908">
        <f t="shared" si="29"/>
        <v>0</v>
      </c>
      <c r="N90" s="234"/>
      <c r="O90" s="895"/>
      <c r="P90" s="1261"/>
      <c r="Q90" s="890"/>
      <c r="R90" s="1261"/>
      <c r="S90" s="14"/>
      <c r="T90" s="1262"/>
      <c r="U90" s="1262"/>
      <c r="V90" s="1254"/>
      <c r="W90" s="160">
        <f t="shared" si="26"/>
        <v>0</v>
      </c>
      <c r="X90" s="155">
        <f t="shared" si="27"/>
        <v>0</v>
      </c>
      <c r="Y90" s="155">
        <f t="shared" si="28"/>
        <v>0</v>
      </c>
      <c r="Z90" s="761"/>
    </row>
    <row r="91" spans="2:26" ht="14.55" hidden="1" customHeight="1" thickBot="1" x14ac:dyDescent="0.35">
      <c r="B91" s="1272"/>
      <c r="C91" s="1273"/>
      <c r="D91" s="37"/>
      <c r="E91" s="37"/>
      <c r="F91" s="932" t="s">
        <v>14</v>
      </c>
      <c r="G91" s="234"/>
      <c r="H91" s="14"/>
      <c r="I91" s="895"/>
      <c r="J91" s="234"/>
      <c r="K91" s="234"/>
      <c r="L91" s="234"/>
      <c r="M91" s="908">
        <f t="shared" si="29"/>
        <v>0</v>
      </c>
      <c r="N91" s="234"/>
      <c r="O91" s="895"/>
      <c r="P91" s="1255">
        <f>'Milling Down Time Hours'!M97</f>
        <v>0</v>
      </c>
      <c r="Q91" s="889"/>
      <c r="R91" s="1255">
        <f>'Milling Down Time Hours'!L97</f>
        <v>0</v>
      </c>
      <c r="S91" s="14"/>
      <c r="T91" s="1258" t="e">
        <f>SUM(#REF!)</f>
        <v>#REF!</v>
      </c>
      <c r="U91" s="1258" t="e">
        <f t="shared" ref="U91:V91" si="35">SUM(T91:T93)</f>
        <v>#REF!</v>
      </c>
      <c r="V91" s="1253" t="e">
        <f t="shared" si="35"/>
        <v>#REF!</v>
      </c>
      <c r="W91" s="160" t="e">
        <f t="shared" si="26"/>
        <v>#REF!</v>
      </c>
      <c r="X91" s="155" t="e">
        <f t="shared" si="27"/>
        <v>#REF!</v>
      </c>
      <c r="Y91" s="155" t="e">
        <f t="shared" si="28"/>
        <v>#REF!</v>
      </c>
      <c r="Z91" s="761"/>
    </row>
    <row r="92" spans="2:26" ht="15" hidden="1" customHeight="1" thickBot="1" x14ac:dyDescent="0.35">
      <c r="B92" s="1272"/>
      <c r="C92" s="1273"/>
      <c r="D92" s="14"/>
      <c r="E92" s="14"/>
      <c r="F92" s="941" t="s">
        <v>13</v>
      </c>
      <c r="G92" s="234"/>
      <c r="H92" s="14"/>
      <c r="I92" s="895"/>
      <c r="J92" s="234"/>
      <c r="K92" s="234"/>
      <c r="L92" s="234"/>
      <c r="M92" s="908">
        <f t="shared" si="29"/>
        <v>0</v>
      </c>
      <c r="N92" s="234"/>
      <c r="O92" s="895"/>
      <c r="P92" s="1261"/>
      <c r="Q92" s="890"/>
      <c r="R92" s="1261"/>
      <c r="S92" s="14"/>
      <c r="T92" s="1262"/>
      <c r="U92" s="1262"/>
      <c r="V92" s="1254"/>
      <c r="W92" s="160">
        <f t="shared" si="26"/>
        <v>0</v>
      </c>
      <c r="X92" s="155">
        <f t="shared" si="27"/>
        <v>0</v>
      </c>
      <c r="Y92" s="155">
        <f t="shared" si="28"/>
        <v>0</v>
      </c>
      <c r="Z92" s="761"/>
    </row>
    <row r="93" spans="2:26" ht="14.55" hidden="1" customHeight="1" thickBot="1" x14ac:dyDescent="0.35">
      <c r="B93" s="1272"/>
      <c r="C93" s="1273"/>
      <c r="D93" s="37"/>
      <c r="E93" s="37"/>
      <c r="F93" s="932" t="s">
        <v>14</v>
      </c>
      <c r="G93" s="234"/>
      <c r="H93" s="14"/>
      <c r="I93" s="895"/>
      <c r="J93" s="234"/>
      <c r="K93" s="234"/>
      <c r="L93" s="234"/>
      <c r="M93" s="908">
        <f t="shared" si="29"/>
        <v>0</v>
      </c>
      <c r="N93" s="234"/>
      <c r="O93" s="895"/>
      <c r="P93" s="1255">
        <f>'Milling Down Time Hours'!M99</f>
        <v>0</v>
      </c>
      <c r="Q93" s="889"/>
      <c r="R93" s="1255">
        <f>'Milling Down Time Hours'!L99</f>
        <v>0</v>
      </c>
      <c r="S93" s="14"/>
      <c r="T93" s="1258" t="e">
        <f>SUM(#REF!)</f>
        <v>#REF!</v>
      </c>
      <c r="U93" s="1258" t="e">
        <f t="shared" ref="U93:V93" si="36">SUM(T93:T95)</f>
        <v>#REF!</v>
      </c>
      <c r="V93" s="1253" t="e">
        <f t="shared" si="36"/>
        <v>#REF!</v>
      </c>
      <c r="W93" s="160" t="e">
        <f t="shared" si="26"/>
        <v>#REF!</v>
      </c>
      <c r="X93" s="155" t="e">
        <f t="shared" si="27"/>
        <v>#REF!</v>
      </c>
      <c r="Y93" s="155" t="e">
        <f t="shared" si="28"/>
        <v>#REF!</v>
      </c>
      <c r="Z93" s="761"/>
    </row>
    <row r="94" spans="2:26" ht="15" hidden="1" customHeight="1" thickBot="1" x14ac:dyDescent="0.35">
      <c r="B94" s="1272"/>
      <c r="C94" s="1273"/>
      <c r="D94" s="14"/>
      <c r="E94" s="14"/>
      <c r="F94" s="941" t="s">
        <v>13</v>
      </c>
      <c r="G94" s="234"/>
      <c r="H94" s="14"/>
      <c r="I94" s="895"/>
      <c r="J94" s="234"/>
      <c r="K94" s="234"/>
      <c r="L94" s="234"/>
      <c r="M94" s="908">
        <f t="shared" si="29"/>
        <v>0</v>
      </c>
      <c r="N94" s="234"/>
      <c r="O94" s="895"/>
      <c r="P94" s="1261"/>
      <c r="Q94" s="890"/>
      <c r="R94" s="1261"/>
      <c r="S94" s="14"/>
      <c r="T94" s="1262"/>
      <c r="U94" s="1262"/>
      <c r="V94" s="1254"/>
      <c r="W94" s="160">
        <f t="shared" si="26"/>
        <v>0</v>
      </c>
      <c r="X94" s="155">
        <f t="shared" si="27"/>
        <v>0</v>
      </c>
      <c r="Y94" s="155">
        <f t="shared" si="28"/>
        <v>0</v>
      </c>
      <c r="Z94" s="761"/>
    </row>
    <row r="95" spans="2:26" ht="14.55" hidden="1" customHeight="1" thickBot="1" x14ac:dyDescent="0.35">
      <c r="B95" s="1272"/>
      <c r="C95" s="1273"/>
      <c r="D95" s="37"/>
      <c r="E95" s="37"/>
      <c r="F95" s="932" t="s">
        <v>14</v>
      </c>
      <c r="G95" s="234"/>
      <c r="H95" s="14"/>
      <c r="I95" s="895"/>
      <c r="J95" s="234"/>
      <c r="K95" s="234"/>
      <c r="L95" s="234"/>
      <c r="M95" s="908">
        <f t="shared" si="29"/>
        <v>0</v>
      </c>
      <c r="N95" s="234"/>
      <c r="O95" s="895"/>
      <c r="P95" s="1255">
        <f>'Milling Down Time Hours'!M101</f>
        <v>0</v>
      </c>
      <c r="Q95" s="889"/>
      <c r="R95" s="1255">
        <f>'Milling Down Time Hours'!L101</f>
        <v>0</v>
      </c>
      <c r="S95" s="14"/>
      <c r="T95" s="1258" t="e">
        <f>SUM(#REF!)</f>
        <v>#REF!</v>
      </c>
      <c r="U95" s="1258" t="e">
        <f>SUM(T95:T99)</f>
        <v>#REF!</v>
      </c>
      <c r="V95" s="1253" t="e">
        <f>SUM(U95:U99)</f>
        <v>#REF!</v>
      </c>
      <c r="W95" s="160" t="e">
        <f t="shared" si="26"/>
        <v>#REF!</v>
      </c>
      <c r="X95" s="155" t="e">
        <f t="shared" si="27"/>
        <v>#REF!</v>
      </c>
      <c r="Y95" s="155" t="e">
        <f t="shared" si="28"/>
        <v>#REF!</v>
      </c>
      <c r="Z95" s="761"/>
    </row>
    <row r="96" spans="2:26" ht="14.55" hidden="1" customHeight="1" thickBot="1" x14ac:dyDescent="0.35">
      <c r="B96" s="1272"/>
      <c r="C96" s="1273"/>
      <c r="D96" s="96"/>
      <c r="E96" s="96"/>
      <c r="F96" s="941" t="s">
        <v>13</v>
      </c>
      <c r="G96" s="887"/>
      <c r="H96" s="96"/>
      <c r="I96" s="896"/>
      <c r="J96" s="887"/>
      <c r="K96" s="887"/>
      <c r="L96" s="887"/>
      <c r="M96" s="908">
        <f t="shared" si="29"/>
        <v>0</v>
      </c>
      <c r="N96" s="887"/>
      <c r="O96" s="896"/>
      <c r="P96" s="1256"/>
      <c r="Q96" s="468"/>
      <c r="R96" s="1257"/>
      <c r="S96" s="96"/>
      <c r="T96" s="1259"/>
      <c r="U96" s="1259"/>
      <c r="V96" s="1260"/>
      <c r="W96" s="160">
        <f t="shared" si="26"/>
        <v>0</v>
      </c>
      <c r="X96" s="155">
        <f t="shared" si="27"/>
        <v>0</v>
      </c>
      <c r="Y96" s="155">
        <f t="shared" si="28"/>
        <v>0</v>
      </c>
      <c r="Z96" s="761"/>
    </row>
    <row r="97" spans="2:27" ht="15" thickBot="1" x14ac:dyDescent="0.35">
      <c r="B97" s="1270"/>
      <c r="C97" s="1271"/>
      <c r="D97" s="522"/>
      <c r="E97" s="522"/>
      <c r="F97" s="932" t="s">
        <v>14</v>
      </c>
      <c r="G97" s="905"/>
      <c r="H97" s="14"/>
      <c r="I97" s="895"/>
      <c r="J97" s="234"/>
      <c r="K97" s="234"/>
      <c r="L97" s="905"/>
      <c r="M97" s="908">
        <f t="shared" si="29"/>
        <v>0</v>
      </c>
      <c r="N97" s="905"/>
      <c r="O97" s="895"/>
      <c r="P97" s="155"/>
      <c r="Q97" s="155"/>
      <c r="R97" s="155"/>
      <c r="S97" s="14"/>
      <c r="T97" s="155"/>
      <c r="U97" s="155"/>
      <c r="V97" s="426"/>
      <c r="W97" s="160">
        <f t="shared" si="26"/>
        <v>0</v>
      </c>
      <c r="X97" s="155">
        <f t="shared" si="27"/>
        <v>0</v>
      </c>
      <c r="Y97" s="155">
        <f t="shared" si="28"/>
        <v>0</v>
      </c>
      <c r="Z97" s="761"/>
    </row>
    <row r="98" spans="2:27" ht="15" thickBot="1" x14ac:dyDescent="0.35">
      <c r="B98" s="457"/>
      <c r="C98" s="458"/>
      <c r="D98" s="522"/>
      <c r="E98" s="522"/>
      <c r="F98" s="941" t="s">
        <v>13</v>
      </c>
      <c r="G98" s="234"/>
      <c r="H98" s="14"/>
      <c r="I98" s="895"/>
      <c r="J98" s="234"/>
      <c r="K98" s="234"/>
      <c r="L98" s="234"/>
      <c r="M98" s="908">
        <f t="shared" si="29"/>
        <v>0</v>
      </c>
      <c r="N98" s="234"/>
      <c r="O98" s="895"/>
      <c r="P98" s="155"/>
      <c r="Q98" s="155"/>
      <c r="R98" s="155"/>
      <c r="S98" s="14"/>
      <c r="T98" s="155"/>
      <c r="U98" s="155"/>
      <c r="V98" s="426"/>
      <c r="W98" s="160">
        <f t="shared" si="26"/>
        <v>0</v>
      </c>
      <c r="X98" s="155">
        <f t="shared" si="27"/>
        <v>0</v>
      </c>
      <c r="Y98" s="155">
        <f t="shared" si="28"/>
        <v>0</v>
      </c>
      <c r="Z98" s="761"/>
      <c r="AA98" s="456">
        <f>SUM(AB5:AB17)</f>
        <v>1188347787.2522082</v>
      </c>
    </row>
    <row r="99" spans="2:27" ht="18" x14ac:dyDescent="0.35">
      <c r="B99" s="126" t="s">
        <v>122</v>
      </c>
      <c r="C99" s="127"/>
      <c r="D99" s="475"/>
      <c r="E99" s="475"/>
      <c r="F99" s="898"/>
      <c r="G99" s="898"/>
      <c r="H99" s="475"/>
      <c r="I99" s="897"/>
      <c r="J99" s="898"/>
      <c r="K99" s="898"/>
      <c r="L99" s="906">
        <f>AVERAGE(L5:L98)</f>
        <v>0.73242424242424242</v>
      </c>
      <c r="M99" s="909">
        <f>SUM(M5:M98)</f>
        <v>2812.6517318730007</v>
      </c>
      <c r="N99" s="906"/>
      <c r="O99" s="897"/>
      <c r="P99" s="915">
        <f>SUM(P5:P98)</f>
        <v>323.74999999999994</v>
      </c>
      <c r="Q99" s="915">
        <f>SUM(Q5:Q98)/60</f>
        <v>323.75</v>
      </c>
      <c r="R99" s="957">
        <f>SUM(Q5:Q98)/60</f>
        <v>323.75</v>
      </c>
      <c r="S99" s="475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61"/>
    </row>
    <row r="101" spans="2:27" x14ac:dyDescent="0.3">
      <c r="Z101" s="594" t="s">
        <v>204</v>
      </c>
      <c r="AA101" s="1">
        <f>MIN(Z5:Z98)</f>
        <v>3.2</v>
      </c>
    </row>
    <row r="102" spans="2:27" x14ac:dyDescent="0.3">
      <c r="N102" s="910"/>
      <c r="Z102" s="594" t="s">
        <v>203</v>
      </c>
      <c r="AA102" s="137">
        <f>MAX(Z5:Z98)</f>
        <v>11.3</v>
      </c>
    </row>
    <row r="103" spans="2:27" x14ac:dyDescent="0.3">
      <c r="W103" s="137"/>
    </row>
  </sheetData>
  <mergeCells count="139"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5" sqref="G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38" t="s">
        <v>71</v>
      </c>
      <c r="C3" s="1238" t="s">
        <v>289</v>
      </c>
      <c r="D3" s="1238" t="s">
        <v>290</v>
      </c>
      <c r="E3" s="221" t="s">
        <v>293</v>
      </c>
      <c r="F3" s="221" t="s">
        <v>294</v>
      </c>
      <c r="G3" s="1242" t="s">
        <v>253</v>
      </c>
      <c r="H3" s="1243"/>
      <c r="I3" s="1243"/>
      <c r="J3" s="1244"/>
      <c r="K3" s="1231" t="s">
        <v>260</v>
      </c>
    </row>
    <row r="4" spans="2:20" x14ac:dyDescent="0.3">
      <c r="B4" s="1249"/>
      <c r="C4" s="1249"/>
      <c r="D4" s="1249"/>
      <c r="E4" s="222" t="s">
        <v>55</v>
      </c>
      <c r="F4" s="222" t="s">
        <v>295</v>
      </c>
      <c r="G4" s="1242" t="s">
        <v>266</v>
      </c>
      <c r="H4" s="1243"/>
      <c r="I4" s="1244"/>
      <c r="J4" s="132" t="s">
        <v>259</v>
      </c>
      <c r="K4" s="1231"/>
      <c r="O4" s="15" t="s">
        <v>486</v>
      </c>
      <c r="P4" s="15" t="s">
        <v>260</v>
      </c>
      <c r="Q4" s="44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39"/>
      <c r="C5" s="1239"/>
      <c r="D5" s="1239"/>
      <c r="E5" s="205" t="s">
        <v>71</v>
      </c>
      <c r="F5" s="205" t="s">
        <v>71</v>
      </c>
      <c r="G5" s="132" t="s">
        <v>254</v>
      </c>
      <c r="H5" s="132" t="s">
        <v>255</v>
      </c>
      <c r="I5" s="132" t="s">
        <v>256</v>
      </c>
      <c r="J5" s="132" t="s">
        <v>254</v>
      </c>
      <c r="K5" s="1231"/>
      <c r="O5" s="492" t="s">
        <v>487</v>
      </c>
      <c r="P5" s="1332">
        <v>1</v>
      </c>
      <c r="Q5" s="647">
        <v>46268</v>
      </c>
      <c r="R5" s="492">
        <v>7.8E-2</v>
      </c>
      <c r="S5" s="492">
        <v>0.6</v>
      </c>
      <c r="T5" s="492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4">
        <f>AVERAGE(R5:R10)</f>
        <v>0.11299999999999999</v>
      </c>
      <c r="H6" s="134">
        <f>AVERAGE(S5:S8)</f>
        <v>0.61749999999999994</v>
      </c>
      <c r="I6" s="134">
        <f t="shared" ref="I6" si="0">AVERAGE(T5:T10)</f>
        <v>8.6916666666666664</v>
      </c>
      <c r="J6" s="14">
        <v>0.02</v>
      </c>
      <c r="K6" s="14">
        <v>1</v>
      </c>
      <c r="O6" s="492" t="s">
        <v>488</v>
      </c>
      <c r="P6" s="1327"/>
      <c r="Q6" s="647">
        <v>46268</v>
      </c>
      <c r="R6" s="492">
        <v>0.38</v>
      </c>
      <c r="S6" s="492">
        <v>0.59</v>
      </c>
      <c r="T6" s="492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7">
        <v>2.9000000000000001E-2</v>
      </c>
      <c r="K7" s="14">
        <v>2</v>
      </c>
      <c r="O7" s="492" t="s">
        <v>489</v>
      </c>
      <c r="P7" s="1327"/>
      <c r="Q7" s="647">
        <v>46268</v>
      </c>
      <c r="R7" s="492">
        <v>3.7999999999999999E-2</v>
      </c>
      <c r="S7" s="492">
        <v>0.61</v>
      </c>
      <c r="T7" s="492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92" t="s">
        <v>490</v>
      </c>
      <c r="P8" s="1328"/>
      <c r="Q8" s="647">
        <v>46268</v>
      </c>
      <c r="R8" s="492">
        <v>6.9000000000000006E-2</v>
      </c>
      <c r="S8" s="492">
        <v>0.67</v>
      </c>
      <c r="T8" s="492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7" t="s">
        <v>487</v>
      </c>
      <c r="P9" s="1333">
        <v>2</v>
      </c>
      <c r="Q9" s="648">
        <v>46269</v>
      </c>
      <c r="R9" s="497">
        <v>3.4000000000000002E-2</v>
      </c>
      <c r="S9" s="497">
        <v>0.26</v>
      </c>
      <c r="T9" s="497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7" t="s">
        <v>488</v>
      </c>
      <c r="P10" s="1334"/>
      <c r="Q10" s="648">
        <v>46269</v>
      </c>
      <c r="R10" s="497">
        <v>7.9000000000000001E-2</v>
      </c>
      <c r="S10" s="497">
        <v>0.25</v>
      </c>
      <c r="T10" s="497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7" t="s">
        <v>489</v>
      </c>
      <c r="P11" s="1334"/>
      <c r="Q11" s="648">
        <v>46269</v>
      </c>
      <c r="R11" s="497">
        <v>3.6999999999999998E-2</v>
      </c>
      <c r="S11" s="497">
        <v>0.25</v>
      </c>
      <c r="T11" s="497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7" t="s">
        <v>490</v>
      </c>
      <c r="P12" s="1335"/>
      <c r="Q12" s="648">
        <v>46269</v>
      </c>
      <c r="R12" s="497">
        <v>7.2999999999999995E-2</v>
      </c>
      <c r="S12" s="497">
        <v>0.24</v>
      </c>
      <c r="T12" s="497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4.2666666666666665E-2</v>
      </c>
      <c r="H13" s="134">
        <f t="shared" ref="H13:I13" si="7">AVERAGE(S49:S57)</f>
        <v>0.34666666666666668</v>
      </c>
      <c r="I13" s="134">
        <f t="shared" si="7"/>
        <v>10.200000000000001</v>
      </c>
      <c r="J13" s="14">
        <v>2.7E-2</v>
      </c>
      <c r="K13" s="14">
        <v>8</v>
      </c>
      <c r="O13" s="492" t="s">
        <v>540</v>
      </c>
      <c r="P13" s="1332">
        <v>3</v>
      </c>
      <c r="Q13" s="647">
        <v>46274</v>
      </c>
      <c r="R13" s="492">
        <v>0.11700000000000001</v>
      </c>
      <c r="S13" s="492">
        <v>0.31</v>
      </c>
      <c r="T13" s="492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4"/>
      <c r="H14" s="134"/>
      <c r="I14" s="134"/>
      <c r="J14" s="14"/>
      <c r="K14" s="14"/>
      <c r="O14" s="492" t="s">
        <v>541</v>
      </c>
      <c r="P14" s="1327"/>
      <c r="Q14" s="647">
        <v>46274</v>
      </c>
      <c r="R14" s="492">
        <v>0.16500000000000001</v>
      </c>
      <c r="S14" s="492">
        <v>0.36</v>
      </c>
      <c r="T14" s="492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92" t="s">
        <v>542</v>
      </c>
      <c r="P15" s="1327"/>
      <c r="Q15" s="647">
        <v>46274</v>
      </c>
      <c r="R15" s="492">
        <v>0.13</v>
      </c>
      <c r="S15" s="492">
        <v>0.31</v>
      </c>
      <c r="T15" s="492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92" t="s">
        <v>487</v>
      </c>
      <c r="P16" s="1327"/>
      <c r="Q16" s="647">
        <v>46274</v>
      </c>
      <c r="R16" s="492">
        <v>8.3000000000000004E-2</v>
      </c>
      <c r="S16" s="492">
        <v>0.15</v>
      </c>
      <c r="T16" s="492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92" t="s">
        <v>488</v>
      </c>
      <c r="P17" s="1327"/>
      <c r="Q17" s="647">
        <v>46274</v>
      </c>
      <c r="R17" s="492">
        <v>4.2000000000000003E-2</v>
      </c>
      <c r="S17" s="492">
        <v>0.13</v>
      </c>
      <c r="T17" s="492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92" t="s">
        <v>489</v>
      </c>
      <c r="P18" s="1328"/>
      <c r="Q18" s="647">
        <v>46274</v>
      </c>
      <c r="R18" s="492">
        <v>5.1999999999999998E-2</v>
      </c>
      <c r="S18" s="492">
        <v>0.14000000000000001</v>
      </c>
      <c r="T18" s="492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7" t="s">
        <v>540</v>
      </c>
      <c r="P19" s="1333">
        <v>4</v>
      </c>
      <c r="Q19" s="648">
        <v>46275</v>
      </c>
      <c r="R19" s="497">
        <v>0.124</v>
      </c>
      <c r="S19" s="497">
        <v>0.22</v>
      </c>
      <c r="T19" s="497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7" t="s">
        <v>541</v>
      </c>
      <c r="P20" s="1334"/>
      <c r="Q20" s="648">
        <v>46275</v>
      </c>
      <c r="R20" s="497">
        <v>0.14499999999999999</v>
      </c>
      <c r="S20" s="497">
        <v>0.25</v>
      </c>
      <c r="T20" s="497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7" t="s">
        <v>542</v>
      </c>
      <c r="P21" s="1334"/>
      <c r="Q21" s="648">
        <v>46275</v>
      </c>
      <c r="R21" s="497">
        <v>0.13100000000000001</v>
      </c>
      <c r="S21" s="497">
        <v>0.25</v>
      </c>
      <c r="T21" s="497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7" t="s">
        <v>487</v>
      </c>
      <c r="P22" s="1334"/>
      <c r="Q22" s="648">
        <v>46275</v>
      </c>
      <c r="R22" s="497">
        <v>6.4000000000000001E-2</v>
      </c>
      <c r="S22" s="497">
        <v>0.22</v>
      </c>
      <c r="T22" s="497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7" t="s">
        <v>488</v>
      </c>
      <c r="P23" s="1334"/>
      <c r="Q23" s="648">
        <v>46275</v>
      </c>
      <c r="R23" s="497">
        <v>9.5000000000000001E-2</v>
      </c>
      <c r="S23" s="497">
        <v>0.25</v>
      </c>
      <c r="T23" s="497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7" t="s">
        <v>489</v>
      </c>
      <c r="P24" s="1334"/>
      <c r="Q24" s="648">
        <v>46275</v>
      </c>
      <c r="R24" s="497">
        <v>9.6000000000000002E-2</v>
      </c>
      <c r="S24" s="497">
        <v>0.25</v>
      </c>
      <c r="T24" s="497">
        <v>4.58</v>
      </c>
    </row>
    <row r="25" spans="2:20" x14ac:dyDescent="0.3">
      <c r="O25" s="497" t="s">
        <v>540</v>
      </c>
      <c r="P25" s="1334"/>
      <c r="Q25" s="648">
        <v>46276</v>
      </c>
      <c r="R25" s="497">
        <v>4.4999999999999998E-2</v>
      </c>
      <c r="S25" s="497">
        <v>0.21</v>
      </c>
      <c r="T25" s="497">
        <v>4.1100000000000003</v>
      </c>
    </row>
    <row r="26" spans="2:20" x14ac:dyDescent="0.3">
      <c r="O26" s="497" t="s">
        <v>541</v>
      </c>
      <c r="P26" s="1334"/>
      <c r="Q26" s="648">
        <v>46276</v>
      </c>
      <c r="R26" s="497">
        <v>4.1000000000000002E-2</v>
      </c>
      <c r="S26" s="497">
        <v>0.44</v>
      </c>
      <c r="T26" s="497">
        <v>6.67</v>
      </c>
    </row>
    <row r="27" spans="2:20" x14ac:dyDescent="0.3">
      <c r="O27" s="497" t="s">
        <v>542</v>
      </c>
      <c r="P27" s="1335"/>
      <c r="Q27" s="648">
        <v>46276</v>
      </c>
      <c r="R27" s="497">
        <v>6.3E-2</v>
      </c>
      <c r="S27" s="497">
        <v>0.48</v>
      </c>
      <c r="T27" s="497">
        <v>6.84</v>
      </c>
    </row>
    <row r="28" spans="2:20" x14ac:dyDescent="0.3">
      <c r="O28" s="589" t="s">
        <v>540</v>
      </c>
      <c r="P28" s="1332">
        <v>5</v>
      </c>
      <c r="Q28" s="626">
        <v>46277</v>
      </c>
      <c r="R28" s="589">
        <v>4.4999999999999998E-2</v>
      </c>
      <c r="S28" s="589">
        <v>0.41</v>
      </c>
      <c r="T28" s="589">
        <v>7.15</v>
      </c>
    </row>
    <row r="29" spans="2:20" x14ac:dyDescent="0.3">
      <c r="O29" s="589" t="s">
        <v>541</v>
      </c>
      <c r="P29" s="1327"/>
      <c r="Q29" s="626">
        <v>46277</v>
      </c>
      <c r="R29" s="589">
        <v>4.1000000000000002E-2</v>
      </c>
      <c r="S29" s="589">
        <v>0.6</v>
      </c>
      <c r="T29" s="589">
        <v>7.18</v>
      </c>
    </row>
    <row r="30" spans="2:20" x14ac:dyDescent="0.3">
      <c r="O30" s="589" t="s">
        <v>542</v>
      </c>
      <c r="P30" s="1327"/>
      <c r="Q30" s="626">
        <v>46277</v>
      </c>
      <c r="R30" s="589">
        <v>6.3E-2</v>
      </c>
      <c r="S30" s="589">
        <v>0.27</v>
      </c>
      <c r="T30" s="589">
        <v>7.26</v>
      </c>
    </row>
    <row r="31" spans="2:20" x14ac:dyDescent="0.3">
      <c r="O31" s="589" t="s">
        <v>487</v>
      </c>
      <c r="P31" s="1327"/>
      <c r="Q31" s="626">
        <v>46277</v>
      </c>
      <c r="R31" s="589">
        <v>0.24299999999999999</v>
      </c>
      <c r="S31" s="589">
        <v>0.39</v>
      </c>
      <c r="T31" s="589">
        <v>7.74</v>
      </c>
    </row>
    <row r="32" spans="2:20" x14ac:dyDescent="0.3">
      <c r="O32" s="589" t="s">
        <v>488</v>
      </c>
      <c r="P32" s="1327"/>
      <c r="Q32" s="626">
        <v>46277</v>
      </c>
      <c r="R32" s="589">
        <v>0.21099999999999999</v>
      </c>
      <c r="S32" s="589">
        <v>0.27</v>
      </c>
      <c r="T32" s="589">
        <v>8.23</v>
      </c>
    </row>
    <row r="33" spans="15:20" x14ac:dyDescent="0.3">
      <c r="O33" s="589" t="s">
        <v>489</v>
      </c>
      <c r="P33" s="1328"/>
      <c r="Q33" s="626">
        <v>46277</v>
      </c>
      <c r="R33" s="589">
        <v>0.14499999999999999</v>
      </c>
      <c r="S33" s="589">
        <v>0.33</v>
      </c>
      <c r="T33" s="589">
        <v>7.55</v>
      </c>
    </row>
    <row r="34" spans="15:20" x14ac:dyDescent="0.3">
      <c r="O34" s="627" t="s">
        <v>487</v>
      </c>
      <c r="P34" s="497">
        <v>6</v>
      </c>
      <c r="Q34" s="921">
        <v>46278</v>
      </c>
      <c r="R34" s="628">
        <v>8.5999999999999993E-2</v>
      </c>
      <c r="S34" s="628">
        <v>0.11</v>
      </c>
      <c r="T34" s="628">
        <v>11.708</v>
      </c>
    </row>
    <row r="35" spans="15:20" x14ac:dyDescent="0.3">
      <c r="O35" s="627" t="s">
        <v>488</v>
      </c>
      <c r="P35" s="497">
        <v>6</v>
      </c>
      <c r="Q35" s="921">
        <v>46278</v>
      </c>
      <c r="R35" s="628">
        <v>0.05</v>
      </c>
      <c r="S35" s="628">
        <v>0.20300000000000001</v>
      </c>
      <c r="T35" s="628">
        <v>13.382999999999999</v>
      </c>
    </row>
    <row r="36" spans="15:20" x14ac:dyDescent="0.3">
      <c r="O36" s="627" t="s">
        <v>489</v>
      </c>
      <c r="P36" s="497">
        <v>6</v>
      </c>
      <c r="Q36" s="921">
        <v>46278</v>
      </c>
      <c r="R36" s="628">
        <v>1.9E-2</v>
      </c>
      <c r="S36" s="628">
        <v>6.5000000000000002E-2</v>
      </c>
      <c r="T36" s="628">
        <v>12.15</v>
      </c>
    </row>
    <row r="37" spans="15:20" x14ac:dyDescent="0.3">
      <c r="O37" s="492" t="s">
        <v>540</v>
      </c>
      <c r="P37" s="492">
        <v>6</v>
      </c>
      <c r="Q37" s="647">
        <v>46279</v>
      </c>
      <c r="R37" s="492">
        <v>4.8000000000000001E-2</v>
      </c>
      <c r="S37" s="492">
        <v>0.35</v>
      </c>
      <c r="T37" s="492">
        <v>7.47</v>
      </c>
    </row>
    <row r="38" spans="15:20" x14ac:dyDescent="0.3">
      <c r="O38" s="492" t="s">
        <v>541</v>
      </c>
      <c r="P38" s="492">
        <v>6</v>
      </c>
      <c r="Q38" s="647">
        <v>46279</v>
      </c>
      <c r="R38" s="492">
        <v>3.5000000000000003E-2</v>
      </c>
      <c r="S38" s="492">
        <v>0.35</v>
      </c>
      <c r="T38" s="492">
        <v>7.36</v>
      </c>
    </row>
    <row r="39" spans="15:20" x14ac:dyDescent="0.3">
      <c r="O39" s="492" t="s">
        <v>542</v>
      </c>
      <c r="P39" s="492">
        <v>6</v>
      </c>
      <c r="Q39" s="647">
        <v>46279</v>
      </c>
      <c r="R39" s="492">
        <v>2.3E-2</v>
      </c>
      <c r="S39" s="492">
        <v>0.35</v>
      </c>
      <c r="T39" s="492">
        <v>7.37</v>
      </c>
    </row>
    <row r="40" spans="15:20" x14ac:dyDescent="0.3">
      <c r="O40" s="492" t="s">
        <v>540</v>
      </c>
      <c r="P40" s="492">
        <v>6</v>
      </c>
      <c r="Q40" s="922">
        <v>46279</v>
      </c>
      <c r="R40" s="625">
        <v>0.13200000000000001</v>
      </c>
      <c r="S40" s="625">
        <v>0.83</v>
      </c>
      <c r="T40" s="625">
        <v>8.7100000000000009</v>
      </c>
    </row>
    <row r="41" spans="15:20" x14ac:dyDescent="0.3">
      <c r="O41" s="492" t="s">
        <v>541</v>
      </c>
      <c r="P41" s="492">
        <v>6</v>
      </c>
      <c r="Q41" s="647">
        <v>46279</v>
      </c>
      <c r="R41" s="492">
        <v>0.11600000000000001</v>
      </c>
      <c r="S41" s="492">
        <v>0.83</v>
      </c>
      <c r="T41" s="492">
        <v>8.84</v>
      </c>
    </row>
    <row r="42" spans="15:20" x14ac:dyDescent="0.3">
      <c r="O42" s="492" t="s">
        <v>542</v>
      </c>
      <c r="P42" s="492">
        <v>6</v>
      </c>
      <c r="Q42" s="647">
        <v>46279</v>
      </c>
      <c r="R42" s="492">
        <v>9.4E-2</v>
      </c>
      <c r="S42" s="492">
        <v>0.83</v>
      </c>
      <c r="T42" s="492">
        <v>8.76</v>
      </c>
    </row>
    <row r="43" spans="15:20" x14ac:dyDescent="0.3">
      <c r="O43" s="461" t="s">
        <v>487</v>
      </c>
      <c r="P43" s="461">
        <v>7</v>
      </c>
      <c r="Q43" s="979">
        <v>46281</v>
      </c>
      <c r="R43" s="462">
        <v>9.2999999999999999E-2</v>
      </c>
      <c r="S43" s="462">
        <v>0.15</v>
      </c>
      <c r="T43" s="462">
        <v>6.42</v>
      </c>
    </row>
    <row r="44" spans="15:20" x14ac:dyDescent="0.3">
      <c r="O44" s="461" t="s">
        <v>488</v>
      </c>
      <c r="P44" s="461">
        <v>7</v>
      </c>
      <c r="Q44" s="979">
        <v>46281</v>
      </c>
      <c r="R44" s="462">
        <v>8.4000000000000005E-2</v>
      </c>
      <c r="S44" s="462">
        <v>0.14000000000000001</v>
      </c>
      <c r="T44" s="462">
        <v>6.38</v>
      </c>
    </row>
    <row r="45" spans="15:20" x14ac:dyDescent="0.3">
      <c r="O45" s="461" t="s">
        <v>489</v>
      </c>
      <c r="P45" s="461">
        <v>7</v>
      </c>
      <c r="Q45" s="979">
        <v>46281</v>
      </c>
      <c r="R45" s="462">
        <v>0.1</v>
      </c>
      <c r="S45" s="462">
        <v>0.15</v>
      </c>
      <c r="T45" s="462">
        <v>6.34</v>
      </c>
    </row>
    <row r="46" spans="15:20" x14ac:dyDescent="0.3">
      <c r="O46" s="461" t="s">
        <v>540</v>
      </c>
      <c r="P46" s="461">
        <v>7</v>
      </c>
      <c r="Q46" s="979">
        <v>46282</v>
      </c>
      <c r="R46" s="462">
        <v>0.11600000000000001</v>
      </c>
      <c r="S46" s="462">
        <v>1.06</v>
      </c>
      <c r="T46" s="462">
        <v>9.98</v>
      </c>
    </row>
    <row r="47" spans="15:20" x14ac:dyDescent="0.3">
      <c r="O47" s="461" t="s">
        <v>541</v>
      </c>
      <c r="P47" s="461">
        <v>7</v>
      </c>
      <c r="Q47" s="979">
        <v>46282</v>
      </c>
      <c r="R47" s="462">
        <v>0.114</v>
      </c>
      <c r="S47" s="462">
        <v>1.04</v>
      </c>
      <c r="T47" s="462">
        <v>9.9499999999999993</v>
      </c>
    </row>
    <row r="48" spans="15:20" x14ac:dyDescent="0.3">
      <c r="O48" s="461" t="s">
        <v>542</v>
      </c>
      <c r="P48" s="461">
        <v>7</v>
      </c>
      <c r="Q48" s="979">
        <v>46282</v>
      </c>
      <c r="R48" s="462">
        <v>9.4E-2</v>
      </c>
      <c r="S48" s="462">
        <v>0.98</v>
      </c>
      <c r="T48" s="462">
        <v>9.93</v>
      </c>
    </row>
    <row r="49" spans="15:20" x14ac:dyDescent="0.3">
      <c r="O49" s="589" t="s">
        <v>487</v>
      </c>
      <c r="P49" s="678">
        <v>8</v>
      </c>
      <c r="Q49" s="679">
        <v>46283</v>
      </c>
      <c r="R49" s="693">
        <v>5.5E-2</v>
      </c>
      <c r="S49" s="693">
        <v>0.32</v>
      </c>
      <c r="T49" s="693">
        <v>10.4</v>
      </c>
    </row>
    <row r="50" spans="15:20" x14ac:dyDescent="0.3">
      <c r="O50" s="589" t="s">
        <v>488</v>
      </c>
      <c r="P50" s="678">
        <v>8</v>
      </c>
      <c r="Q50" s="679">
        <v>46283</v>
      </c>
      <c r="R50" s="693">
        <v>3.6999999999999998E-2</v>
      </c>
      <c r="S50" s="693">
        <v>0.34</v>
      </c>
      <c r="T50" s="693">
        <v>9.42</v>
      </c>
    </row>
    <row r="51" spans="15:20" x14ac:dyDescent="0.3">
      <c r="O51" s="589" t="s">
        <v>489</v>
      </c>
      <c r="P51" s="678">
        <v>8</v>
      </c>
      <c r="Q51" s="679">
        <v>46283</v>
      </c>
      <c r="R51" s="693">
        <v>3.5999999999999997E-2</v>
      </c>
      <c r="S51" s="693">
        <v>0.38</v>
      </c>
      <c r="T51" s="693">
        <v>10.78</v>
      </c>
    </row>
    <row r="52" spans="15:20" x14ac:dyDescent="0.3">
      <c r="O52" s="693"/>
      <c r="P52" s="678"/>
      <c r="Q52" s="693"/>
      <c r="R52" s="693"/>
      <c r="S52" s="693"/>
      <c r="T52" s="693"/>
    </row>
    <row r="53" spans="15:20" x14ac:dyDescent="0.3">
      <c r="O53" s="693"/>
      <c r="P53" s="678"/>
      <c r="Q53" s="693"/>
      <c r="R53" s="693"/>
      <c r="S53" s="693"/>
      <c r="T53" s="693"/>
    </row>
    <row r="54" spans="15:20" x14ac:dyDescent="0.3">
      <c r="O54" s="693"/>
      <c r="P54" s="678"/>
      <c r="Q54" s="693"/>
      <c r="R54" s="693"/>
      <c r="S54" s="693"/>
      <c r="T54" s="693"/>
    </row>
    <row r="55" spans="15:20" x14ac:dyDescent="0.3">
      <c r="O55" s="693"/>
      <c r="P55" s="678"/>
      <c r="Q55" s="693"/>
      <c r="R55" s="693"/>
      <c r="S55" s="693"/>
      <c r="T55" s="693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topLeftCell="B1" workbookViewId="0">
      <selection activeCell="U1" sqref="U1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14" t="s">
        <v>569</v>
      </c>
      <c r="C2" s="1114"/>
      <c r="D2" s="1114"/>
      <c r="E2" s="1114"/>
      <c r="F2" s="1114"/>
      <c r="G2" s="1114"/>
      <c r="H2" s="1114"/>
      <c r="J2" s="1114" t="s">
        <v>570</v>
      </c>
      <c r="K2" s="1114"/>
      <c r="L2" s="1114"/>
      <c r="M2" s="1114"/>
      <c r="N2" s="1114"/>
      <c r="O2" s="1114"/>
      <c r="P2" s="1114"/>
      <c r="R2" s="1338" t="s">
        <v>571</v>
      </c>
      <c r="S2" s="1340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0" t="s">
        <v>575</v>
      </c>
      <c r="O3" s="15" t="s">
        <v>566</v>
      </c>
      <c r="P3" s="390" t="s">
        <v>576</v>
      </c>
      <c r="R3" s="981" t="s">
        <v>572</v>
      </c>
      <c r="S3" s="982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83">
        <v>6</v>
      </c>
      <c r="S4" s="1064">
        <v>14.9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9" si="1">M5*$S$4</f>
        <v>134.1</v>
      </c>
      <c r="O5" s="41">
        <v>0.2</v>
      </c>
      <c r="P5" s="40">
        <f t="shared" ref="P5:P10" si="2">N5*(1-O5)</f>
        <v>107.28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59.6</v>
      </c>
      <c r="O6" s="41">
        <v>0.2</v>
      </c>
      <c r="P6" s="40">
        <f t="shared" si="2"/>
        <v>47.680000000000007</v>
      </c>
      <c r="S6" s="175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149</v>
      </c>
      <c r="O7" s="41">
        <v>0.19</v>
      </c>
      <c r="P7" s="40">
        <f t="shared" si="2"/>
        <v>120.69000000000001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149</v>
      </c>
      <c r="O8" s="41">
        <v>0.2</v>
      </c>
      <c r="P8" s="40">
        <f t="shared" si="2"/>
        <v>119.2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59.6</v>
      </c>
      <c r="O9" s="41">
        <v>0.18</v>
      </c>
      <c r="P9" s="40">
        <f t="shared" si="2"/>
        <v>48.872000000000007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178.8</v>
      </c>
      <c r="O10" s="41">
        <v>0.19</v>
      </c>
      <c r="P10" s="40">
        <f t="shared" si="2"/>
        <v>144.82800000000003</v>
      </c>
      <c r="R10" s="1338" t="s">
        <v>574</v>
      </c>
      <c r="S10" s="1339"/>
      <c r="T10" s="1340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119.2</v>
      </c>
      <c r="O11" s="41">
        <v>0.2</v>
      </c>
      <c r="P11" s="40">
        <f t="shared" ref="P11:P29" si="4">N11*(1-O11)</f>
        <v>95.360000000000014</v>
      </c>
      <c r="R11" s="1341">
        <f>SUM(P4:P181,H4:H237)</f>
        <v>2496.364</v>
      </c>
      <c r="S11" s="1342"/>
      <c r="T11" s="1343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44.7</v>
      </c>
      <c r="O12" s="41">
        <v>0.18</v>
      </c>
      <c r="P12" s="40">
        <f t="shared" si="4"/>
        <v>36.654000000000003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119.2</v>
      </c>
      <c r="O13" s="41">
        <v>0.19</v>
      </c>
      <c r="P13" s="40">
        <f t="shared" si="4"/>
        <v>96.552000000000007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89.4</v>
      </c>
      <c r="O14" s="41">
        <v>0.19</v>
      </c>
      <c r="P14" s="40">
        <f t="shared" si="4"/>
        <v>72.414000000000016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104.3</v>
      </c>
      <c r="O15" s="41">
        <v>0.19</v>
      </c>
      <c r="P15" s="40">
        <f t="shared" si="4"/>
        <v>84.483000000000004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163.9</v>
      </c>
      <c r="O16" s="41">
        <v>0.18</v>
      </c>
      <c r="P16" s="40">
        <f t="shared" si="4"/>
        <v>134.39800000000002</v>
      </c>
    </row>
    <row r="17" spans="1:16" s="682" customFormat="1" x14ac:dyDescent="0.3">
      <c r="A17" s="1337">
        <v>6</v>
      </c>
      <c r="B17" s="678">
        <v>13</v>
      </c>
      <c r="C17" s="679">
        <v>46278</v>
      </c>
      <c r="D17" s="678" t="s">
        <v>14</v>
      </c>
      <c r="E17" s="678">
        <v>10</v>
      </c>
      <c r="F17" s="678">
        <f t="shared" si="0"/>
        <v>60</v>
      </c>
      <c r="G17" s="680">
        <v>0.21</v>
      </c>
      <c r="H17" s="681">
        <f t="shared" si="5"/>
        <v>47.400000000000006</v>
      </c>
      <c r="J17" s="678">
        <v>13</v>
      </c>
      <c r="K17" s="683">
        <v>46278</v>
      </c>
      <c r="L17" s="678" t="s">
        <v>14</v>
      </c>
      <c r="M17" s="678">
        <v>10</v>
      </c>
      <c r="N17" s="681">
        <f t="shared" si="1"/>
        <v>149</v>
      </c>
      <c r="O17" s="680">
        <v>0.2</v>
      </c>
      <c r="P17" s="681">
        <f t="shared" si="4"/>
        <v>119.2</v>
      </c>
    </row>
    <row r="18" spans="1:16" s="682" customFormat="1" x14ac:dyDescent="0.3">
      <c r="A18" s="1337"/>
      <c r="B18" s="678">
        <v>14</v>
      </c>
      <c r="C18" s="679">
        <v>46279</v>
      </c>
      <c r="D18" s="678" t="s">
        <v>13</v>
      </c>
      <c r="E18" s="678">
        <v>9</v>
      </c>
      <c r="F18" s="678">
        <f t="shared" si="0"/>
        <v>54</v>
      </c>
      <c r="G18" s="680">
        <v>0.19</v>
      </c>
      <c r="H18" s="681">
        <f t="shared" si="5"/>
        <v>43.74</v>
      </c>
      <c r="J18" s="678">
        <v>14</v>
      </c>
      <c r="K18" s="683">
        <v>46279</v>
      </c>
      <c r="L18" s="678" t="s">
        <v>13</v>
      </c>
      <c r="M18" s="678">
        <v>7</v>
      </c>
      <c r="N18" s="681">
        <f t="shared" si="1"/>
        <v>104.3</v>
      </c>
      <c r="O18" s="680">
        <v>0.19</v>
      </c>
      <c r="P18" s="681">
        <f t="shared" si="4"/>
        <v>84.483000000000004</v>
      </c>
    </row>
    <row r="19" spans="1:16" s="682" customFormat="1" x14ac:dyDescent="0.3">
      <c r="A19" s="1337"/>
      <c r="B19" s="678">
        <v>15</v>
      </c>
      <c r="C19" s="679">
        <v>46279</v>
      </c>
      <c r="D19" s="678" t="s">
        <v>14</v>
      </c>
      <c r="E19" s="678">
        <v>6</v>
      </c>
      <c r="F19" s="678">
        <f>E19*$R$4</f>
        <v>36</v>
      </c>
      <c r="G19" s="680">
        <v>0.19</v>
      </c>
      <c r="H19" s="681">
        <f>F19*(1-G19)</f>
        <v>29.160000000000004</v>
      </c>
      <c r="J19" s="678"/>
      <c r="K19" s="683"/>
      <c r="L19" s="678"/>
      <c r="M19" s="678"/>
      <c r="N19" s="681"/>
      <c r="O19" s="680"/>
      <c r="P19" s="681"/>
    </row>
    <row r="20" spans="1:16" s="682" customFormat="1" x14ac:dyDescent="0.3">
      <c r="A20" s="1337"/>
      <c r="B20" s="678">
        <v>16</v>
      </c>
      <c r="C20" s="679">
        <v>46280</v>
      </c>
      <c r="D20" s="678"/>
      <c r="E20" s="678"/>
      <c r="F20" s="678"/>
      <c r="G20" s="678"/>
      <c r="H20" s="693"/>
      <c r="J20" s="678">
        <v>15</v>
      </c>
      <c r="K20" s="679">
        <v>46280</v>
      </c>
      <c r="L20" s="678" t="s">
        <v>13</v>
      </c>
      <c r="M20" s="678">
        <v>7</v>
      </c>
      <c r="N20" s="681">
        <f t="shared" si="1"/>
        <v>104.3</v>
      </c>
      <c r="O20" s="680">
        <v>0.19</v>
      </c>
      <c r="P20" s="681">
        <f t="shared" si="4"/>
        <v>84.483000000000004</v>
      </c>
    </row>
    <row r="21" spans="1:16" x14ac:dyDescent="0.3">
      <c r="B21" s="14">
        <v>17</v>
      </c>
      <c r="C21" s="63">
        <v>46280</v>
      </c>
      <c r="D21" s="14"/>
      <c r="E21" s="14"/>
      <c r="F21" s="14"/>
      <c r="G21" s="14"/>
      <c r="H21" s="6"/>
      <c r="J21" s="14">
        <v>16</v>
      </c>
      <c r="K21" s="63">
        <v>46280</v>
      </c>
      <c r="L21" s="14" t="s">
        <v>14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17</v>
      </c>
      <c r="K22" s="63">
        <v>46281</v>
      </c>
      <c r="L22" s="14" t="s">
        <v>13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46281</v>
      </c>
      <c r="D23" s="14"/>
      <c r="E23" s="14"/>
      <c r="F23" s="14"/>
      <c r="G23" s="14"/>
      <c r="H23" s="6"/>
      <c r="J23" s="14">
        <v>18</v>
      </c>
      <c r="K23" s="63">
        <v>46281</v>
      </c>
      <c r="L23" s="14" t="s">
        <v>14</v>
      </c>
      <c r="M23" s="14"/>
      <c r="N23" s="14">
        <f t="shared" si="1"/>
        <v>0</v>
      </c>
      <c r="O23" s="6"/>
      <c r="P23" s="40">
        <f t="shared" si="4"/>
        <v>0</v>
      </c>
    </row>
    <row r="24" spans="1:16" x14ac:dyDescent="0.3">
      <c r="B24" s="14">
        <v>20</v>
      </c>
      <c r="C24" s="63">
        <v>46282</v>
      </c>
      <c r="D24" s="14"/>
      <c r="E24" s="14"/>
      <c r="F24" s="14"/>
      <c r="G24" s="14"/>
      <c r="H24" s="6"/>
      <c r="J24" s="14">
        <v>19</v>
      </c>
      <c r="K24" s="63">
        <v>46282</v>
      </c>
      <c r="L24" s="14" t="s">
        <v>13</v>
      </c>
      <c r="M24" s="14"/>
      <c r="N24" s="14">
        <f t="shared" si="1"/>
        <v>0</v>
      </c>
      <c r="O24" s="6"/>
      <c r="P24" s="40">
        <f t="shared" si="4"/>
        <v>0</v>
      </c>
    </row>
    <row r="25" spans="1:16" s="978" customFormat="1" x14ac:dyDescent="0.3">
      <c r="A25" s="1336"/>
      <c r="B25" s="14">
        <v>21</v>
      </c>
      <c r="C25" s="979">
        <v>46282</v>
      </c>
      <c r="D25" s="461" t="s">
        <v>661</v>
      </c>
      <c r="E25" s="461"/>
      <c r="F25" s="461"/>
      <c r="G25" s="461"/>
      <c r="H25" s="462"/>
      <c r="J25" s="461">
        <v>20</v>
      </c>
      <c r="K25" s="979">
        <v>46282</v>
      </c>
      <c r="L25" s="461" t="s">
        <v>14</v>
      </c>
      <c r="M25" s="461">
        <v>10</v>
      </c>
      <c r="N25" s="461">
        <f t="shared" si="1"/>
        <v>149</v>
      </c>
      <c r="O25" s="980">
        <v>0.18</v>
      </c>
      <c r="P25" s="687">
        <f t="shared" si="4"/>
        <v>122.18</v>
      </c>
    </row>
    <row r="26" spans="1:16" s="978" customFormat="1" x14ac:dyDescent="0.3">
      <c r="A26" s="1336"/>
      <c r="B26" s="14">
        <v>22</v>
      </c>
      <c r="C26" s="979">
        <v>46283</v>
      </c>
      <c r="D26" s="461" t="s">
        <v>661</v>
      </c>
      <c r="E26" s="461"/>
      <c r="F26" s="461"/>
      <c r="G26" s="461"/>
      <c r="H26" s="462"/>
      <c r="J26" s="461">
        <v>21</v>
      </c>
      <c r="K26" s="979">
        <v>46283</v>
      </c>
      <c r="L26" s="461" t="s">
        <v>13</v>
      </c>
      <c r="M26" s="461">
        <v>10</v>
      </c>
      <c r="N26" s="461">
        <f t="shared" si="1"/>
        <v>149</v>
      </c>
      <c r="O26" s="980">
        <v>0.19</v>
      </c>
      <c r="P26" s="687">
        <f t="shared" si="4"/>
        <v>120.69000000000001</v>
      </c>
    </row>
    <row r="27" spans="1:16" s="978" customFormat="1" x14ac:dyDescent="0.3">
      <c r="A27" s="1336"/>
      <c r="B27" s="14">
        <v>23</v>
      </c>
      <c r="C27" s="979">
        <v>46283</v>
      </c>
      <c r="D27" s="461" t="s">
        <v>661</v>
      </c>
      <c r="E27" s="461"/>
      <c r="F27" s="461"/>
      <c r="G27" s="461"/>
      <c r="H27" s="462"/>
      <c r="J27" s="461">
        <v>22</v>
      </c>
      <c r="K27" s="979">
        <v>46283</v>
      </c>
      <c r="L27" s="461" t="s">
        <v>14</v>
      </c>
      <c r="M27" s="461">
        <v>3</v>
      </c>
      <c r="N27" s="461">
        <f t="shared" si="1"/>
        <v>44.7</v>
      </c>
      <c r="O27" s="980">
        <v>0.19</v>
      </c>
      <c r="P27" s="687">
        <f t="shared" si="4"/>
        <v>36.207000000000008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23</v>
      </c>
      <c r="K28" s="63">
        <v>46284</v>
      </c>
      <c r="L28" s="14" t="s">
        <v>13</v>
      </c>
      <c r="M28" s="14">
        <v>10</v>
      </c>
      <c r="N28" s="14">
        <f t="shared" si="1"/>
        <v>149</v>
      </c>
      <c r="O28" s="41">
        <v>0.21</v>
      </c>
      <c r="P28" s="40">
        <f t="shared" si="4"/>
        <v>117.71000000000001</v>
      </c>
    </row>
    <row r="29" spans="1:16" x14ac:dyDescent="0.3">
      <c r="B29" s="14">
        <v>25</v>
      </c>
      <c r="C29" s="63">
        <v>46284</v>
      </c>
      <c r="D29" s="14"/>
      <c r="E29" s="14"/>
      <c r="F29" s="14"/>
      <c r="G29" s="14"/>
      <c r="H29" s="6"/>
      <c r="J29" s="14">
        <v>24</v>
      </c>
      <c r="K29" s="63">
        <v>46284</v>
      </c>
      <c r="L29" s="14" t="s">
        <v>14</v>
      </c>
      <c r="M29" s="14">
        <v>10</v>
      </c>
      <c r="N29" s="14">
        <f t="shared" si="1"/>
        <v>149</v>
      </c>
      <c r="O29" s="41">
        <v>0.2</v>
      </c>
      <c r="P29" s="40">
        <f t="shared" si="4"/>
        <v>119.2</v>
      </c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25</v>
      </c>
      <c r="K30" s="6"/>
      <c r="L30" s="14" t="s">
        <v>13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26</v>
      </c>
      <c r="K31" s="6"/>
      <c r="L31" s="14" t="s">
        <v>14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27</v>
      </c>
      <c r="K32" s="6"/>
      <c r="L32" s="14" t="s">
        <v>13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28</v>
      </c>
      <c r="K33" s="6"/>
      <c r="L33" s="14" t="s">
        <v>14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29</v>
      </c>
      <c r="K34" s="6"/>
      <c r="L34" s="14" t="s">
        <v>13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30</v>
      </c>
      <c r="K35" s="6"/>
      <c r="L35" s="14" t="s">
        <v>14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31</v>
      </c>
      <c r="K36" s="6"/>
      <c r="L36" s="14" t="s">
        <v>13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32</v>
      </c>
      <c r="K37" s="6"/>
      <c r="L37" s="14" t="s">
        <v>14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33</v>
      </c>
      <c r="K38" s="6"/>
      <c r="L38" s="14" t="s">
        <v>13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34</v>
      </c>
      <c r="K39" s="6"/>
      <c r="L39" s="14" t="s">
        <v>14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35</v>
      </c>
      <c r="K40" s="6"/>
      <c r="L40" s="14" t="s">
        <v>13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36</v>
      </c>
      <c r="K41" s="6"/>
      <c r="L41" s="14" t="s">
        <v>14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37</v>
      </c>
      <c r="K42" s="6"/>
      <c r="L42" s="14" t="s">
        <v>13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38</v>
      </c>
      <c r="K43" s="6"/>
      <c r="L43" s="14" t="s">
        <v>14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39</v>
      </c>
      <c r="K44" s="6"/>
      <c r="L44" s="14" t="s">
        <v>13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40</v>
      </c>
      <c r="K45" s="6"/>
      <c r="L45" s="14" t="s">
        <v>14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41</v>
      </c>
      <c r="K46" s="6"/>
      <c r="L46" s="14" t="s">
        <v>13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42</v>
      </c>
      <c r="K47" s="6"/>
      <c r="L47" s="14" t="s">
        <v>14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43</v>
      </c>
      <c r="K48" s="6"/>
      <c r="L48" s="14" t="s">
        <v>13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44</v>
      </c>
      <c r="K49" s="6"/>
      <c r="L49" s="14" t="s">
        <v>14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45</v>
      </c>
      <c r="K50" s="6"/>
      <c r="L50" s="14" t="s">
        <v>13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46</v>
      </c>
      <c r="K51" s="6"/>
      <c r="L51" s="14" t="s">
        <v>14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47</v>
      </c>
      <c r="K52" s="6"/>
      <c r="L52" s="14" t="s">
        <v>13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48</v>
      </c>
      <c r="K53" s="6"/>
      <c r="L53" s="14" t="s">
        <v>14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49</v>
      </c>
      <c r="K54" s="6"/>
      <c r="L54" s="14" t="s">
        <v>13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50</v>
      </c>
      <c r="K55" s="6"/>
      <c r="L55" s="14" t="s">
        <v>14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51</v>
      </c>
      <c r="K56" s="6"/>
      <c r="L56" s="14" t="s">
        <v>13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52</v>
      </c>
      <c r="K57" s="6"/>
      <c r="L57" s="14" t="s">
        <v>14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53</v>
      </c>
      <c r="K58" s="6"/>
      <c r="L58" s="14" t="s">
        <v>13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54</v>
      </c>
      <c r="K59" s="6"/>
      <c r="L59" s="14" t="s">
        <v>14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55</v>
      </c>
      <c r="K60" s="6"/>
      <c r="L60" s="14" t="s">
        <v>13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56</v>
      </c>
      <c r="K61" s="6"/>
      <c r="L61" s="14" t="s">
        <v>14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57</v>
      </c>
      <c r="K62" s="6"/>
      <c r="L62" s="14" t="s">
        <v>13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58</v>
      </c>
      <c r="K63" s="6"/>
      <c r="L63" s="14" t="s">
        <v>14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59</v>
      </c>
      <c r="K64" s="6"/>
      <c r="L64" s="14" t="s">
        <v>13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60</v>
      </c>
      <c r="K65" s="6"/>
      <c r="L65" s="14" t="s">
        <v>14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61</v>
      </c>
      <c r="K66" s="6"/>
      <c r="L66" s="14" t="s">
        <v>13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62</v>
      </c>
      <c r="K67" s="6"/>
      <c r="L67" s="14" t="s">
        <v>14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63</v>
      </c>
      <c r="K68" s="6"/>
      <c r="L68" s="14" t="s">
        <v>13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64</v>
      </c>
      <c r="K69" s="6"/>
      <c r="L69" s="14" t="s">
        <v>14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65</v>
      </c>
      <c r="K70" s="6"/>
      <c r="L70" s="14" t="s">
        <v>13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66</v>
      </c>
      <c r="K71" s="6"/>
      <c r="L71" s="14" t="s">
        <v>14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67</v>
      </c>
      <c r="K72" s="6"/>
      <c r="L72" s="14" t="s">
        <v>13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68</v>
      </c>
      <c r="K73" s="6"/>
      <c r="L73" s="14" t="s">
        <v>14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69</v>
      </c>
      <c r="K74" s="6"/>
      <c r="L74" s="14" t="s">
        <v>13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70</v>
      </c>
      <c r="K75" s="6"/>
      <c r="L75" s="14" t="s">
        <v>14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71</v>
      </c>
      <c r="K76" s="6"/>
      <c r="L76" s="14" t="s">
        <v>13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72</v>
      </c>
      <c r="K77" s="6"/>
      <c r="L77" s="14" t="s">
        <v>14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73</v>
      </c>
      <c r="K78" s="6"/>
      <c r="L78" s="14" t="s">
        <v>13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74</v>
      </c>
      <c r="K79" s="6"/>
      <c r="L79" s="14" t="s">
        <v>14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75</v>
      </c>
      <c r="K80" s="6"/>
      <c r="L80" s="14" t="s">
        <v>13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76</v>
      </c>
      <c r="K81" s="6"/>
      <c r="L81" s="14" t="s">
        <v>14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77</v>
      </c>
      <c r="K82" s="6"/>
      <c r="L82" s="14" t="s">
        <v>13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78</v>
      </c>
      <c r="K83" s="6"/>
      <c r="L83" s="14" t="s">
        <v>14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79</v>
      </c>
      <c r="K84" s="6"/>
      <c r="L84" s="14" t="s">
        <v>13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80</v>
      </c>
      <c r="K85" s="6"/>
      <c r="L85" s="14" t="s">
        <v>14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81</v>
      </c>
      <c r="K86" s="6"/>
      <c r="L86" s="14" t="s">
        <v>13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82</v>
      </c>
      <c r="K87" s="6"/>
      <c r="L87" s="14" t="s">
        <v>14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83</v>
      </c>
      <c r="K88" s="6"/>
      <c r="L88" s="14" t="s">
        <v>13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84</v>
      </c>
      <c r="K89" s="6"/>
      <c r="L89" s="14" t="s">
        <v>14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85</v>
      </c>
      <c r="K90" s="6"/>
      <c r="L90" s="14" t="s">
        <v>13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86</v>
      </c>
      <c r="K91" s="6"/>
      <c r="L91" s="14" t="s">
        <v>14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87</v>
      </c>
      <c r="K92" s="6"/>
      <c r="L92" s="14" t="s">
        <v>13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88</v>
      </c>
      <c r="K93" s="6"/>
      <c r="L93" s="14" t="s">
        <v>14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89</v>
      </c>
      <c r="K94" s="6"/>
      <c r="L94" s="14" t="s">
        <v>13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90</v>
      </c>
      <c r="K95" s="6"/>
      <c r="L95" s="14" t="s">
        <v>14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91</v>
      </c>
      <c r="K96" s="6"/>
      <c r="L96" s="14" t="s">
        <v>13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92</v>
      </c>
      <c r="K97" s="6"/>
      <c r="L97" s="14" t="s">
        <v>14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93</v>
      </c>
      <c r="K98" s="6"/>
      <c r="L98" s="14" t="s">
        <v>13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94</v>
      </c>
      <c r="K99" s="6"/>
      <c r="L99" s="14" t="s">
        <v>14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95</v>
      </c>
      <c r="K100" s="6"/>
      <c r="L100" s="14" t="s">
        <v>13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96</v>
      </c>
      <c r="K101" s="6"/>
      <c r="L101" s="14" t="s">
        <v>14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97</v>
      </c>
      <c r="K102" s="6"/>
      <c r="L102" s="14" t="s">
        <v>13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98</v>
      </c>
      <c r="K103" s="6"/>
      <c r="L103" s="14" t="s">
        <v>14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99</v>
      </c>
      <c r="K104" s="6"/>
      <c r="L104" s="14" t="s">
        <v>13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100</v>
      </c>
      <c r="K105" s="6"/>
      <c r="L105" s="14" t="s">
        <v>14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101</v>
      </c>
      <c r="K106" s="6"/>
      <c r="L106" s="14" t="s">
        <v>13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102</v>
      </c>
      <c r="K107" s="6"/>
      <c r="L107" s="14" t="s">
        <v>14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103</v>
      </c>
      <c r="K108" s="6"/>
      <c r="L108" s="14" t="s">
        <v>13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104</v>
      </c>
      <c r="K109" s="6"/>
      <c r="L109" s="14" t="s">
        <v>14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105</v>
      </c>
      <c r="K110" s="6"/>
      <c r="L110" s="14" t="s">
        <v>13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106</v>
      </c>
      <c r="K111" s="6"/>
      <c r="L111" s="14" t="s">
        <v>14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107</v>
      </c>
      <c r="K112" s="6"/>
      <c r="L112" s="14" t="s">
        <v>13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108</v>
      </c>
      <c r="K113" s="6"/>
      <c r="L113" s="14" t="s">
        <v>14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109</v>
      </c>
      <c r="K114" s="6"/>
      <c r="L114" s="14" t="s">
        <v>13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110</v>
      </c>
      <c r="K115" s="6"/>
      <c r="L115" s="14" t="s">
        <v>14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111</v>
      </c>
      <c r="K116" s="6"/>
      <c r="L116" s="14" t="s">
        <v>13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112</v>
      </c>
      <c r="K117" s="6"/>
      <c r="L117" s="14" t="s">
        <v>14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113</v>
      </c>
      <c r="K118" s="6"/>
      <c r="L118" s="14" t="s">
        <v>13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114</v>
      </c>
      <c r="K119" s="6"/>
      <c r="L119" s="14" t="s">
        <v>14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115</v>
      </c>
      <c r="K120" s="6"/>
      <c r="L120" s="14" t="s">
        <v>13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116</v>
      </c>
      <c r="K121" s="6"/>
      <c r="L121" s="14" t="s">
        <v>14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117</v>
      </c>
      <c r="K122" s="6"/>
      <c r="L122" s="14" t="s">
        <v>13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118</v>
      </c>
      <c r="K123" s="6"/>
      <c r="L123" s="14" t="s">
        <v>14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119</v>
      </c>
      <c r="K124" s="6"/>
      <c r="L124" s="14" t="s">
        <v>13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120</v>
      </c>
      <c r="K125" s="6"/>
      <c r="L125" s="14" t="s">
        <v>14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121</v>
      </c>
      <c r="K126" s="6"/>
      <c r="L126" s="14" t="s">
        <v>13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122</v>
      </c>
      <c r="K127" s="6"/>
      <c r="L127" s="14" t="s">
        <v>14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123</v>
      </c>
      <c r="K128" s="6"/>
      <c r="L128" s="14" t="s">
        <v>13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"/>
      <c r="J129" s="14">
        <v>124</v>
      </c>
      <c r="K129" s="6"/>
      <c r="L129" s="14" t="s">
        <v>14</v>
      </c>
      <c r="M129" s="14"/>
      <c r="N129" s="6"/>
      <c r="O129" s="6"/>
      <c r="P129" s="6"/>
    </row>
    <row r="130" spans="2:16" x14ac:dyDescent="0.3">
      <c r="B130" s="14">
        <v>126</v>
      </c>
    </row>
  </sheetData>
  <mergeCells count="7">
    <mergeCell ref="A25:A27"/>
    <mergeCell ref="A17:A20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67"/>
    <col min="2" max="2" width="29.88671875" style="867" bestFit="1" customWidth="1"/>
    <col min="3" max="3" width="96.6640625" style="867" bestFit="1" customWidth="1"/>
    <col min="4" max="4" width="110.44140625" style="867" customWidth="1"/>
    <col min="5" max="5" width="171.33203125" style="867" customWidth="1"/>
    <col min="6" max="7" width="151" style="867" customWidth="1"/>
    <col min="8" max="8" width="35.88671875" style="867" bestFit="1" customWidth="1"/>
    <col min="9" max="9" width="133.88671875" style="867" customWidth="1"/>
    <col min="10" max="10" width="112.109375" style="867" customWidth="1"/>
    <col min="11" max="11" width="72.6640625" style="867" customWidth="1"/>
    <col min="12" max="12" width="82.109375" style="867" bestFit="1" customWidth="1"/>
    <col min="13" max="13" width="42.33203125" style="867" customWidth="1"/>
    <col min="14" max="19" width="9.109375" style="867"/>
    <col min="20" max="20" width="33.5546875" style="867" customWidth="1"/>
    <col min="21" max="21" width="17.44140625" style="867" customWidth="1"/>
    <col min="22" max="25" width="9.109375" style="867"/>
    <col min="26" max="26" width="23" style="867" customWidth="1"/>
    <col min="27" max="27" width="24.44140625" style="867" customWidth="1"/>
    <col min="28" max="28" width="39" style="867" customWidth="1"/>
    <col min="29" max="16384" width="9.109375" style="867"/>
  </cols>
  <sheetData>
    <row r="1" spans="2:28" x14ac:dyDescent="1.65">
      <c r="B1" s="864"/>
      <c r="C1" s="865"/>
      <c r="D1" s="865"/>
      <c r="E1" s="865"/>
      <c r="F1" s="865"/>
      <c r="G1" s="865"/>
      <c r="H1" s="865"/>
      <c r="I1" s="865"/>
      <c r="J1" s="865"/>
      <c r="K1" s="865"/>
      <c r="L1" s="865"/>
      <c r="M1" s="865"/>
      <c r="N1" s="865"/>
      <c r="O1" s="865"/>
      <c r="P1" s="865"/>
      <c r="Q1" s="865"/>
      <c r="R1" s="865"/>
      <c r="S1" s="865"/>
      <c r="T1" s="866"/>
    </row>
    <row r="2" spans="2:28" x14ac:dyDescent="1.65">
      <c r="B2" s="1344" t="s">
        <v>608</v>
      </c>
      <c r="C2" s="1345"/>
      <c r="D2" s="1345"/>
      <c r="E2" s="1345"/>
      <c r="F2" s="1345"/>
      <c r="G2" s="1345"/>
      <c r="H2" s="1345"/>
      <c r="I2" s="1345"/>
      <c r="J2" s="1345"/>
      <c r="K2" s="1345"/>
      <c r="L2" s="1345"/>
      <c r="M2" s="1345"/>
      <c r="N2" s="1345"/>
      <c r="O2" s="1345"/>
      <c r="P2" s="1345"/>
      <c r="Q2" s="1345"/>
      <c r="R2" s="1345"/>
      <c r="S2" s="1345"/>
      <c r="T2" s="1346"/>
    </row>
    <row r="3" spans="2:28" x14ac:dyDescent="1.65">
      <c r="B3" s="869"/>
      <c r="C3" s="1345" t="s">
        <v>609</v>
      </c>
      <c r="D3" s="1345"/>
      <c r="E3" s="1345"/>
      <c r="F3" s="1345"/>
      <c r="G3" s="1345"/>
      <c r="H3" s="1345"/>
      <c r="I3" s="1345"/>
      <c r="J3" s="1345"/>
      <c r="K3" s="1345"/>
      <c r="L3" s="1345"/>
      <c r="M3" s="1345"/>
      <c r="N3" s="1345"/>
      <c r="O3" s="1345"/>
      <c r="P3" s="1345"/>
      <c r="Q3" s="1345"/>
      <c r="R3" s="1345"/>
      <c r="S3" s="1345"/>
      <c r="T3" s="1346"/>
    </row>
    <row r="4" spans="2:28" ht="92.4" thickBot="1" x14ac:dyDescent="1.7">
      <c r="B4" s="1347" t="s">
        <v>610</v>
      </c>
      <c r="C4" s="1348"/>
      <c r="D4" s="1348"/>
      <c r="E4" s="1348"/>
      <c r="F4" s="1348"/>
      <c r="G4" s="1348"/>
      <c r="H4" s="1348"/>
      <c r="I4" s="1348"/>
      <c r="J4" s="1348"/>
      <c r="K4" s="1348"/>
      <c r="L4" s="1348"/>
      <c r="M4" s="1348"/>
      <c r="N4" s="1348"/>
      <c r="O4" s="1348"/>
      <c r="P4" s="1348"/>
      <c r="Q4" s="1348"/>
      <c r="R4" s="1348"/>
      <c r="S4" s="1348"/>
      <c r="T4" s="1349"/>
    </row>
    <row r="5" spans="2:28" x14ac:dyDescent="1.65">
      <c r="B5" s="870"/>
      <c r="C5" s="871"/>
      <c r="D5" s="871"/>
      <c r="E5" s="871"/>
      <c r="F5" s="871"/>
      <c r="G5" s="871"/>
      <c r="H5" s="865"/>
      <c r="I5" s="871"/>
      <c r="J5" s="871"/>
      <c r="K5" s="871"/>
      <c r="L5" s="871"/>
      <c r="M5" s="871"/>
      <c r="N5" s="871"/>
      <c r="O5" s="871"/>
      <c r="P5" s="871"/>
      <c r="Q5" s="871"/>
      <c r="R5" s="871"/>
      <c r="S5" s="871"/>
      <c r="T5" s="872"/>
      <c r="U5" s="873"/>
    </row>
    <row r="6" spans="2:28" x14ac:dyDescent="1.65">
      <c r="B6" s="1350" t="s">
        <v>630</v>
      </c>
      <c r="C6" s="1351"/>
      <c r="D6" s="1351"/>
      <c r="E6" s="1351"/>
      <c r="F6" s="1351"/>
      <c r="G6" s="1351"/>
      <c r="H6" s="1351"/>
      <c r="I6" s="1351"/>
      <c r="J6" s="1351"/>
      <c r="K6" s="1351"/>
      <c r="L6" s="1351"/>
      <c r="M6" s="1351"/>
      <c r="N6" s="1351"/>
      <c r="O6" s="1351"/>
      <c r="P6" s="1351"/>
      <c r="Q6" s="1351"/>
      <c r="R6" s="1351"/>
      <c r="S6" s="1351"/>
      <c r="T6" s="1352"/>
    </row>
    <row r="7" spans="2:28" ht="92.4" thickBot="1" x14ac:dyDescent="1.7">
      <c r="B7" s="1353"/>
      <c r="C7" s="1354"/>
      <c r="D7" s="1354"/>
      <c r="E7" s="1354"/>
      <c r="F7" s="1354"/>
      <c r="G7" s="1354"/>
      <c r="H7" s="1354"/>
      <c r="I7" s="1354"/>
      <c r="J7" s="1354"/>
      <c r="K7" s="1354"/>
      <c r="L7" s="1354"/>
      <c r="M7" s="1354"/>
      <c r="N7" s="1354"/>
      <c r="O7" s="1354"/>
      <c r="P7" s="1354"/>
      <c r="Q7" s="1354"/>
      <c r="R7" s="1354"/>
      <c r="S7" s="1354"/>
      <c r="T7" s="1355"/>
    </row>
    <row r="8" spans="2:28" x14ac:dyDescent="1.65">
      <c r="B8" s="874"/>
      <c r="T8" s="875"/>
    </row>
    <row r="9" spans="2:28" x14ac:dyDescent="1.65">
      <c r="B9" s="874"/>
      <c r="T9" s="875"/>
    </row>
    <row r="10" spans="2:28" x14ac:dyDescent="1.65">
      <c r="B10" s="874"/>
      <c r="T10" s="875"/>
    </row>
    <row r="11" spans="2:28" x14ac:dyDescent="1.65">
      <c r="B11" s="874"/>
      <c r="T11" s="875"/>
    </row>
    <row r="12" spans="2:28" x14ac:dyDescent="1.65">
      <c r="B12" s="874"/>
      <c r="T12" s="875"/>
    </row>
    <row r="13" spans="2:28" x14ac:dyDescent="1.65">
      <c r="B13" s="868"/>
      <c r="C13" s="876" t="s">
        <v>71</v>
      </c>
      <c r="D13" s="876" t="s">
        <v>1</v>
      </c>
      <c r="E13" s="876" t="s">
        <v>611</v>
      </c>
      <c r="F13" s="876" t="s">
        <v>612</v>
      </c>
      <c r="G13" s="876" t="s">
        <v>619</v>
      </c>
      <c r="H13" s="876" t="s">
        <v>613</v>
      </c>
      <c r="I13" s="876" t="s">
        <v>614</v>
      </c>
      <c r="J13" s="876" t="s">
        <v>615</v>
      </c>
      <c r="K13" s="876" t="s">
        <v>616</v>
      </c>
      <c r="L13" s="876" t="s">
        <v>226</v>
      </c>
      <c r="M13" s="876" t="s">
        <v>617</v>
      </c>
      <c r="T13" s="875"/>
      <c r="Z13" s="1356" t="s">
        <v>628</v>
      </c>
      <c r="AA13" s="1356"/>
      <c r="AB13" s="1356"/>
    </row>
    <row r="14" spans="2:28" x14ac:dyDescent="1.65">
      <c r="B14" s="877"/>
      <c r="C14" s="878">
        <v>1</v>
      </c>
      <c r="D14" s="884">
        <v>46268</v>
      </c>
      <c r="E14" s="878" t="s">
        <v>620</v>
      </c>
      <c r="F14" s="878" t="s">
        <v>621</v>
      </c>
      <c r="G14" s="878">
        <v>1000</v>
      </c>
      <c r="H14" s="878">
        <v>1</v>
      </c>
      <c r="I14" s="878">
        <v>10</v>
      </c>
      <c r="J14" s="878">
        <v>0</v>
      </c>
      <c r="K14" s="878">
        <v>0.01</v>
      </c>
      <c r="L14" s="878" t="s">
        <v>627</v>
      </c>
      <c r="M14" s="879">
        <v>7</v>
      </c>
      <c r="T14" s="875"/>
      <c r="Z14" s="867">
        <v>1</v>
      </c>
      <c r="AA14" s="867" t="s">
        <v>629</v>
      </c>
    </row>
    <row r="15" spans="2:28" x14ac:dyDescent="1.65">
      <c r="B15" s="877"/>
      <c r="C15" s="878">
        <v>2</v>
      </c>
      <c r="D15" s="884">
        <v>46269</v>
      </c>
      <c r="E15" s="878" t="s">
        <v>620</v>
      </c>
      <c r="F15" s="878" t="s">
        <v>621</v>
      </c>
      <c r="G15" s="878">
        <v>1000</v>
      </c>
      <c r="H15" s="878">
        <v>1</v>
      </c>
      <c r="I15" s="878">
        <v>10</v>
      </c>
      <c r="J15" s="878">
        <v>0</v>
      </c>
      <c r="K15" s="878">
        <v>0.01</v>
      </c>
      <c r="L15" s="878" t="s">
        <v>627</v>
      </c>
      <c r="M15" s="879">
        <v>7</v>
      </c>
      <c r="T15" s="875"/>
      <c r="Z15" s="867">
        <v>2</v>
      </c>
      <c r="AA15" s="867" t="s">
        <v>626</v>
      </c>
    </row>
    <row r="16" spans="2:28" x14ac:dyDescent="1.65">
      <c r="B16" s="877"/>
      <c r="C16" s="878">
        <v>3</v>
      </c>
      <c r="D16" s="884">
        <v>46269</v>
      </c>
      <c r="E16" s="878" t="s">
        <v>623</v>
      </c>
      <c r="F16" s="878" t="s">
        <v>621</v>
      </c>
      <c r="G16" s="878">
        <v>1000</v>
      </c>
      <c r="H16" s="878">
        <v>1</v>
      </c>
      <c r="I16" s="878">
        <v>10</v>
      </c>
      <c r="J16" s="878">
        <v>0</v>
      </c>
      <c r="K16" s="878">
        <v>0.01</v>
      </c>
      <c r="L16" s="878" t="s">
        <v>627</v>
      </c>
      <c r="M16" s="879">
        <v>7</v>
      </c>
      <c r="T16" s="875"/>
      <c r="Z16" s="867">
        <v>3</v>
      </c>
      <c r="AA16" s="867" t="s">
        <v>618</v>
      </c>
    </row>
    <row r="17" spans="2:20" x14ac:dyDescent="1.65">
      <c r="B17" s="874"/>
      <c r="C17" s="878">
        <v>4</v>
      </c>
      <c r="D17" s="885">
        <v>46270</v>
      </c>
      <c r="E17" s="879" t="s">
        <v>624</v>
      </c>
      <c r="F17" s="878" t="s">
        <v>621</v>
      </c>
      <c r="G17" s="878">
        <v>1000</v>
      </c>
      <c r="H17" s="878">
        <v>1</v>
      </c>
      <c r="I17" s="878">
        <v>10</v>
      </c>
      <c r="J17" s="878">
        <v>0</v>
      </c>
      <c r="K17" s="878">
        <v>0.01</v>
      </c>
      <c r="L17" s="878" t="s">
        <v>627</v>
      </c>
      <c r="M17" s="879">
        <v>7</v>
      </c>
      <c r="T17" s="875"/>
    </row>
    <row r="18" spans="2:20" x14ac:dyDescent="1.65">
      <c r="B18" s="874"/>
      <c r="C18" s="878">
        <v>5</v>
      </c>
      <c r="D18" s="885">
        <v>46274</v>
      </c>
      <c r="E18" s="879" t="s">
        <v>625</v>
      </c>
      <c r="F18" s="878" t="s">
        <v>626</v>
      </c>
      <c r="G18" s="878">
        <v>1000</v>
      </c>
      <c r="H18" s="878">
        <v>1</v>
      </c>
      <c r="I18" s="878">
        <v>10</v>
      </c>
      <c r="J18" s="878">
        <v>0</v>
      </c>
      <c r="K18" s="878">
        <v>0.01</v>
      </c>
      <c r="L18" s="878" t="s">
        <v>627</v>
      </c>
      <c r="M18" s="879">
        <v>7</v>
      </c>
      <c r="T18" s="875"/>
    </row>
    <row r="19" spans="2:20" x14ac:dyDescent="1.65">
      <c r="B19" s="874"/>
      <c r="C19" s="878">
        <v>6</v>
      </c>
      <c r="D19" s="885">
        <v>46274</v>
      </c>
      <c r="E19" s="879" t="s">
        <v>622</v>
      </c>
      <c r="F19" s="878" t="s">
        <v>621</v>
      </c>
      <c r="G19" s="878">
        <v>1000</v>
      </c>
      <c r="H19" s="878">
        <v>1</v>
      </c>
      <c r="I19" s="878">
        <v>10</v>
      </c>
      <c r="J19" s="878">
        <v>0</v>
      </c>
      <c r="K19" s="878">
        <v>0.01</v>
      </c>
      <c r="L19" s="878" t="s">
        <v>627</v>
      </c>
      <c r="M19" s="879">
        <v>7</v>
      </c>
      <c r="T19" s="875"/>
    </row>
    <row r="20" spans="2:20" x14ac:dyDescent="1.65">
      <c r="B20" s="874"/>
      <c r="C20" s="878">
        <v>7</v>
      </c>
      <c r="D20" s="885">
        <v>46275</v>
      </c>
      <c r="E20" s="879" t="s">
        <v>624</v>
      </c>
      <c r="F20" s="878" t="s">
        <v>621</v>
      </c>
      <c r="G20" s="878">
        <v>1000</v>
      </c>
      <c r="H20" s="878">
        <v>1</v>
      </c>
      <c r="I20" s="878">
        <v>10</v>
      </c>
      <c r="J20" s="878">
        <v>0</v>
      </c>
      <c r="K20" s="878">
        <v>0.01</v>
      </c>
      <c r="L20" s="878" t="s">
        <v>627</v>
      </c>
      <c r="M20" s="879">
        <v>7</v>
      </c>
      <c r="T20" s="875"/>
    </row>
    <row r="21" spans="2:20" x14ac:dyDescent="1.65">
      <c r="B21" s="874"/>
      <c r="C21" s="878">
        <v>8</v>
      </c>
      <c r="D21" s="885">
        <v>46275</v>
      </c>
      <c r="E21" s="879" t="s">
        <v>622</v>
      </c>
      <c r="F21" s="878" t="s">
        <v>621</v>
      </c>
      <c r="G21" s="878">
        <v>1000</v>
      </c>
      <c r="H21" s="878">
        <v>1</v>
      </c>
      <c r="I21" s="878">
        <v>10</v>
      </c>
      <c r="J21" s="878">
        <v>0</v>
      </c>
      <c r="K21" s="878">
        <v>0.01</v>
      </c>
      <c r="L21" s="878" t="s">
        <v>627</v>
      </c>
      <c r="M21" s="879">
        <v>7</v>
      </c>
      <c r="T21" s="875"/>
    </row>
    <row r="22" spans="2:20" x14ac:dyDescent="1.65">
      <c r="B22" s="874"/>
      <c r="C22" s="878">
        <v>9</v>
      </c>
      <c r="D22" s="885">
        <v>46276</v>
      </c>
      <c r="E22" s="879" t="s">
        <v>624</v>
      </c>
      <c r="F22" s="878" t="s">
        <v>621</v>
      </c>
      <c r="G22" s="878">
        <v>1000</v>
      </c>
      <c r="H22" s="878">
        <v>1</v>
      </c>
      <c r="I22" s="878">
        <v>10</v>
      </c>
      <c r="J22" s="878">
        <v>0</v>
      </c>
      <c r="K22" s="878">
        <v>0.01</v>
      </c>
      <c r="L22" s="878" t="s">
        <v>627</v>
      </c>
      <c r="M22" s="879">
        <v>7</v>
      </c>
      <c r="T22" s="875"/>
    </row>
    <row r="23" spans="2:20" x14ac:dyDescent="1.65">
      <c r="B23" s="874"/>
      <c r="C23" s="878">
        <v>10</v>
      </c>
      <c r="D23" s="885">
        <v>46276</v>
      </c>
      <c r="E23" s="879" t="s">
        <v>622</v>
      </c>
      <c r="F23" s="878" t="s">
        <v>621</v>
      </c>
      <c r="G23" s="878">
        <v>1000</v>
      </c>
      <c r="H23" s="878">
        <v>1</v>
      </c>
      <c r="I23" s="878">
        <v>10</v>
      </c>
      <c r="J23" s="878">
        <v>0</v>
      </c>
      <c r="K23" s="878">
        <v>0.01</v>
      </c>
      <c r="L23" s="878" t="s">
        <v>627</v>
      </c>
      <c r="M23" s="879">
        <v>7</v>
      </c>
      <c r="T23" s="875"/>
    </row>
    <row r="24" spans="2:20" x14ac:dyDescent="1.65">
      <c r="B24" s="874"/>
      <c r="C24" s="878">
        <v>11</v>
      </c>
      <c r="D24" s="885">
        <v>46277</v>
      </c>
      <c r="E24" s="879" t="s">
        <v>624</v>
      </c>
      <c r="F24" s="878" t="s">
        <v>618</v>
      </c>
      <c r="G24" s="878">
        <v>1000</v>
      </c>
      <c r="H24" s="878">
        <v>1</v>
      </c>
      <c r="I24" s="878">
        <v>10</v>
      </c>
      <c r="J24" s="878">
        <v>0</v>
      </c>
      <c r="K24" s="878">
        <v>0.01</v>
      </c>
      <c r="L24" s="878" t="s">
        <v>627</v>
      </c>
      <c r="M24" s="879">
        <v>7</v>
      </c>
      <c r="T24" s="875"/>
    </row>
    <row r="25" spans="2:20" x14ac:dyDescent="1.65">
      <c r="B25" s="874"/>
      <c r="C25" s="878">
        <v>12</v>
      </c>
      <c r="D25" s="885">
        <v>46277</v>
      </c>
      <c r="E25" s="879" t="s">
        <v>622</v>
      </c>
      <c r="F25" s="878" t="s">
        <v>618</v>
      </c>
      <c r="G25" s="878">
        <v>1000</v>
      </c>
      <c r="H25" s="878">
        <v>1</v>
      </c>
      <c r="I25" s="878">
        <v>10</v>
      </c>
      <c r="J25" s="878">
        <v>0</v>
      </c>
      <c r="K25" s="878">
        <v>0.01</v>
      </c>
      <c r="L25" s="878" t="s">
        <v>627</v>
      </c>
      <c r="M25" s="879">
        <v>7</v>
      </c>
      <c r="T25" s="875"/>
    </row>
    <row r="26" spans="2:20" x14ac:dyDescent="1.65">
      <c r="B26" s="874"/>
      <c r="C26" s="878">
        <v>13</v>
      </c>
      <c r="D26" s="885">
        <v>46278</v>
      </c>
      <c r="E26" s="879" t="s">
        <v>622</v>
      </c>
      <c r="F26" s="878" t="s">
        <v>618</v>
      </c>
      <c r="G26" s="878">
        <v>1000</v>
      </c>
      <c r="H26" s="878">
        <v>1</v>
      </c>
      <c r="I26" s="878">
        <v>10</v>
      </c>
      <c r="J26" s="878">
        <v>0</v>
      </c>
      <c r="K26" s="878">
        <v>0.01</v>
      </c>
      <c r="L26" s="878" t="s">
        <v>627</v>
      </c>
      <c r="M26" s="879">
        <v>7</v>
      </c>
      <c r="T26" s="875"/>
    </row>
    <row r="27" spans="2:20" x14ac:dyDescent="1.65">
      <c r="B27" s="874"/>
      <c r="C27" s="878">
        <v>14</v>
      </c>
      <c r="D27" s="885">
        <v>46279</v>
      </c>
      <c r="E27" s="879" t="s">
        <v>624</v>
      </c>
      <c r="F27" s="878" t="s">
        <v>618</v>
      </c>
      <c r="G27" s="878">
        <v>1000</v>
      </c>
      <c r="H27" s="878">
        <v>1</v>
      </c>
      <c r="I27" s="878">
        <v>10</v>
      </c>
      <c r="J27" s="878">
        <v>0</v>
      </c>
      <c r="K27" s="878">
        <v>0.01</v>
      </c>
      <c r="L27" s="878" t="s">
        <v>627</v>
      </c>
      <c r="M27" s="879">
        <v>6</v>
      </c>
      <c r="T27" s="875"/>
    </row>
    <row r="28" spans="2:20" x14ac:dyDescent="1.65">
      <c r="B28" s="874"/>
      <c r="C28" s="878">
        <v>15</v>
      </c>
      <c r="D28" s="885">
        <v>46280</v>
      </c>
      <c r="E28" s="879" t="s">
        <v>624</v>
      </c>
      <c r="F28" s="878" t="s">
        <v>618</v>
      </c>
      <c r="G28" s="878">
        <v>1000</v>
      </c>
      <c r="H28" s="878">
        <v>1</v>
      </c>
      <c r="I28" s="878">
        <v>10</v>
      </c>
      <c r="J28" s="878">
        <v>0</v>
      </c>
      <c r="K28" s="878">
        <v>0.01</v>
      </c>
      <c r="L28" s="878" t="s">
        <v>627</v>
      </c>
      <c r="M28" s="879">
        <v>6</v>
      </c>
      <c r="T28" s="875"/>
    </row>
    <row r="29" spans="2:20" x14ac:dyDescent="1.65">
      <c r="B29" s="874"/>
      <c r="C29" s="878">
        <v>16</v>
      </c>
      <c r="D29" s="884">
        <v>46282</v>
      </c>
      <c r="E29" s="879" t="s">
        <v>622</v>
      </c>
      <c r="F29" s="878" t="s">
        <v>618</v>
      </c>
      <c r="G29" s="878">
        <v>1000</v>
      </c>
      <c r="H29" s="878">
        <v>1</v>
      </c>
      <c r="I29" s="878">
        <v>10</v>
      </c>
      <c r="J29" s="878">
        <v>0</v>
      </c>
      <c r="K29" s="878">
        <v>0.01</v>
      </c>
      <c r="L29" s="878" t="s">
        <v>627</v>
      </c>
      <c r="M29" s="879">
        <v>7</v>
      </c>
      <c r="T29" s="875"/>
    </row>
    <row r="30" spans="2:20" x14ac:dyDescent="1.65">
      <c r="B30" s="874"/>
      <c r="C30" s="878">
        <v>17</v>
      </c>
      <c r="D30" s="884">
        <v>46283</v>
      </c>
      <c r="E30" s="879" t="s">
        <v>624</v>
      </c>
      <c r="F30" s="878" t="s">
        <v>618</v>
      </c>
      <c r="G30" s="878">
        <v>1000</v>
      </c>
      <c r="H30" s="878">
        <v>1</v>
      </c>
      <c r="I30" s="878">
        <v>10</v>
      </c>
      <c r="J30" s="878">
        <v>0</v>
      </c>
      <c r="K30" s="878">
        <v>0.01</v>
      </c>
      <c r="L30" s="878" t="s">
        <v>627</v>
      </c>
      <c r="M30" s="879">
        <v>8</v>
      </c>
      <c r="T30" s="875"/>
    </row>
    <row r="31" spans="2:20" x14ac:dyDescent="1.65">
      <c r="B31" s="874"/>
      <c r="C31" s="878">
        <v>18</v>
      </c>
      <c r="D31" s="884">
        <v>46283</v>
      </c>
      <c r="E31" s="879" t="s">
        <v>622</v>
      </c>
      <c r="F31" s="878" t="s">
        <v>618</v>
      </c>
      <c r="G31" s="878">
        <v>1000</v>
      </c>
      <c r="H31" s="878">
        <v>1</v>
      </c>
      <c r="I31" s="878">
        <v>10</v>
      </c>
      <c r="J31" s="878">
        <v>0</v>
      </c>
      <c r="K31" s="878">
        <v>0.01</v>
      </c>
      <c r="L31" s="878"/>
      <c r="M31" s="880"/>
      <c r="T31" s="875"/>
    </row>
    <row r="32" spans="2:20" x14ac:dyDescent="1.65">
      <c r="B32" s="874"/>
      <c r="C32" s="878">
        <v>19</v>
      </c>
      <c r="D32" s="878"/>
      <c r="E32" s="878"/>
      <c r="F32" s="878"/>
      <c r="G32" s="878">
        <v>1000</v>
      </c>
      <c r="H32" s="878">
        <v>1</v>
      </c>
      <c r="I32" s="878">
        <v>10</v>
      </c>
      <c r="J32" s="878">
        <v>0</v>
      </c>
      <c r="K32" s="878">
        <v>0.01</v>
      </c>
      <c r="L32" s="878"/>
      <c r="M32" s="880"/>
      <c r="T32" s="875"/>
    </row>
    <row r="33" spans="2:20" x14ac:dyDescent="1.65">
      <c r="B33" s="874"/>
      <c r="C33" s="878">
        <v>20</v>
      </c>
      <c r="D33" s="878"/>
      <c r="E33" s="878"/>
      <c r="F33" s="878"/>
      <c r="G33" s="878">
        <v>1000</v>
      </c>
      <c r="H33" s="878">
        <v>1</v>
      </c>
      <c r="I33" s="878">
        <v>10</v>
      </c>
      <c r="J33" s="878">
        <v>0</v>
      </c>
      <c r="K33" s="878">
        <v>0.01</v>
      </c>
      <c r="L33" s="878"/>
      <c r="M33" s="880"/>
      <c r="T33" s="875"/>
    </row>
    <row r="34" spans="2:20" x14ac:dyDescent="1.65">
      <c r="B34" s="874"/>
      <c r="C34" s="878">
        <v>21</v>
      </c>
      <c r="D34" s="878"/>
      <c r="E34" s="878"/>
      <c r="F34" s="878"/>
      <c r="G34" s="878">
        <v>1000</v>
      </c>
      <c r="H34" s="878">
        <v>1</v>
      </c>
      <c r="I34" s="878">
        <v>10</v>
      </c>
      <c r="J34" s="878">
        <v>0</v>
      </c>
      <c r="K34" s="878">
        <v>0.01</v>
      </c>
      <c r="L34" s="878"/>
      <c r="M34" s="880"/>
      <c r="T34" s="875"/>
    </row>
    <row r="35" spans="2:20" x14ac:dyDescent="1.65">
      <c r="B35" s="874"/>
      <c r="C35" s="878">
        <v>22</v>
      </c>
      <c r="D35" s="878"/>
      <c r="E35" s="878"/>
      <c r="F35" s="878"/>
      <c r="G35" s="878">
        <v>1000</v>
      </c>
      <c r="H35" s="878">
        <v>1</v>
      </c>
      <c r="I35" s="878">
        <v>10</v>
      </c>
      <c r="J35" s="878">
        <v>0</v>
      </c>
      <c r="K35" s="878">
        <v>0.01</v>
      </c>
      <c r="L35" s="878"/>
      <c r="M35" s="880"/>
      <c r="T35" s="875"/>
    </row>
    <row r="36" spans="2:20" x14ac:dyDescent="1.65">
      <c r="B36" s="874"/>
      <c r="C36" s="878">
        <v>23</v>
      </c>
      <c r="D36" s="878"/>
      <c r="E36" s="878"/>
      <c r="F36" s="878"/>
      <c r="G36" s="878">
        <v>1000</v>
      </c>
      <c r="H36" s="878">
        <v>1</v>
      </c>
      <c r="I36" s="878">
        <v>10</v>
      </c>
      <c r="J36" s="878">
        <v>0</v>
      </c>
      <c r="K36" s="878">
        <v>0.01</v>
      </c>
      <c r="L36" s="878"/>
      <c r="M36" s="880"/>
      <c r="T36" s="875"/>
    </row>
    <row r="37" spans="2:20" x14ac:dyDescent="1.65">
      <c r="B37" s="874"/>
      <c r="C37" s="878">
        <v>24</v>
      </c>
      <c r="D37" s="878"/>
      <c r="E37" s="878"/>
      <c r="F37" s="878"/>
      <c r="G37" s="878">
        <v>1000</v>
      </c>
      <c r="H37" s="878">
        <v>1</v>
      </c>
      <c r="I37" s="878">
        <v>10</v>
      </c>
      <c r="J37" s="878">
        <v>0</v>
      </c>
      <c r="K37" s="878">
        <v>0.01</v>
      </c>
      <c r="L37" s="878"/>
      <c r="M37" s="880"/>
      <c r="T37" s="875"/>
    </row>
    <row r="38" spans="2:20" x14ac:dyDescent="1.65">
      <c r="B38" s="874"/>
      <c r="C38" s="878">
        <v>25</v>
      </c>
      <c r="D38" s="878"/>
      <c r="E38" s="878"/>
      <c r="F38" s="878"/>
      <c r="G38" s="878">
        <v>1000</v>
      </c>
      <c r="H38" s="878">
        <v>1</v>
      </c>
      <c r="I38" s="878">
        <v>10</v>
      </c>
      <c r="J38" s="878">
        <v>0</v>
      </c>
      <c r="K38" s="878">
        <v>0.01</v>
      </c>
      <c r="L38" s="878"/>
      <c r="M38" s="880"/>
      <c r="T38" s="875"/>
    </row>
    <row r="39" spans="2:20" x14ac:dyDescent="1.65">
      <c r="B39" s="874"/>
      <c r="C39" s="878">
        <v>26</v>
      </c>
      <c r="D39" s="878"/>
      <c r="E39" s="878"/>
      <c r="F39" s="878"/>
      <c r="G39" s="878">
        <v>1000</v>
      </c>
      <c r="H39" s="878">
        <v>1</v>
      </c>
      <c r="I39" s="878">
        <v>10</v>
      </c>
      <c r="J39" s="878">
        <v>0</v>
      </c>
      <c r="K39" s="878">
        <v>0.01</v>
      </c>
      <c r="L39" s="878"/>
      <c r="M39" s="880"/>
      <c r="T39" s="875"/>
    </row>
    <row r="40" spans="2:20" x14ac:dyDescent="1.65">
      <c r="B40" s="874"/>
      <c r="C40" s="878">
        <v>27</v>
      </c>
      <c r="D40" s="878"/>
      <c r="E40" s="878"/>
      <c r="F40" s="878"/>
      <c r="G40" s="878">
        <v>1000</v>
      </c>
      <c r="H40" s="878">
        <v>1</v>
      </c>
      <c r="I40" s="878">
        <v>10</v>
      </c>
      <c r="J40" s="878">
        <v>0</v>
      </c>
      <c r="K40" s="878">
        <v>0.01</v>
      </c>
      <c r="L40" s="878"/>
      <c r="M40" s="880"/>
      <c r="T40" s="875"/>
    </row>
    <row r="41" spans="2:20" x14ac:dyDescent="1.65">
      <c r="B41" s="874"/>
      <c r="C41" s="878">
        <v>28</v>
      </c>
      <c r="D41" s="878"/>
      <c r="E41" s="878"/>
      <c r="F41" s="878"/>
      <c r="G41" s="878">
        <v>1000</v>
      </c>
      <c r="H41" s="878">
        <v>1</v>
      </c>
      <c r="I41" s="878">
        <v>10</v>
      </c>
      <c r="J41" s="878">
        <v>0</v>
      </c>
      <c r="K41" s="878">
        <v>0.01</v>
      </c>
      <c r="L41" s="878"/>
      <c r="M41" s="880"/>
      <c r="T41" s="875"/>
    </row>
    <row r="42" spans="2:20" x14ac:dyDescent="1.65">
      <c r="B42" s="874"/>
      <c r="C42" s="878">
        <v>29</v>
      </c>
      <c r="D42" s="878"/>
      <c r="E42" s="878"/>
      <c r="F42" s="878"/>
      <c r="G42" s="878">
        <v>1000</v>
      </c>
      <c r="H42" s="878">
        <v>1</v>
      </c>
      <c r="I42" s="878">
        <v>10</v>
      </c>
      <c r="J42" s="878">
        <v>0</v>
      </c>
      <c r="K42" s="878">
        <v>0.01</v>
      </c>
      <c r="L42" s="878"/>
      <c r="M42" s="880"/>
      <c r="T42" s="875"/>
    </row>
    <row r="43" spans="2:20" x14ac:dyDescent="1.65">
      <c r="B43" s="874"/>
      <c r="C43" s="878">
        <v>30</v>
      </c>
      <c r="D43" s="878"/>
      <c r="E43" s="878"/>
      <c r="F43" s="878"/>
      <c r="G43" s="878">
        <v>1000</v>
      </c>
      <c r="H43" s="878">
        <v>1</v>
      </c>
      <c r="I43" s="878">
        <v>10</v>
      </c>
      <c r="J43" s="878">
        <v>0</v>
      </c>
      <c r="K43" s="878">
        <v>0.01</v>
      </c>
      <c r="L43" s="878"/>
      <c r="M43" s="880"/>
      <c r="T43" s="875"/>
    </row>
    <row r="44" spans="2:20" x14ac:dyDescent="1.65">
      <c r="B44" s="874"/>
      <c r="C44" s="878">
        <v>31</v>
      </c>
      <c r="D44" s="878"/>
      <c r="E44" s="878"/>
      <c r="F44" s="878"/>
      <c r="G44" s="878">
        <v>1000</v>
      </c>
      <c r="H44" s="878">
        <v>1</v>
      </c>
      <c r="I44" s="878">
        <v>10</v>
      </c>
      <c r="J44" s="878">
        <v>0</v>
      </c>
      <c r="K44" s="878">
        <v>0.01</v>
      </c>
      <c r="L44" s="878"/>
      <c r="M44" s="880"/>
      <c r="T44" s="875"/>
    </row>
    <row r="45" spans="2:20" x14ac:dyDescent="1.65">
      <c r="B45" s="874"/>
      <c r="C45" s="878">
        <v>32</v>
      </c>
      <c r="D45" s="878"/>
      <c r="E45" s="878"/>
      <c r="F45" s="878"/>
      <c r="G45" s="878">
        <v>1000</v>
      </c>
      <c r="H45" s="878">
        <v>1</v>
      </c>
      <c r="I45" s="878">
        <v>10</v>
      </c>
      <c r="J45" s="878">
        <v>0</v>
      </c>
      <c r="K45" s="878">
        <v>0.01</v>
      </c>
      <c r="L45" s="878"/>
      <c r="M45" s="880"/>
      <c r="T45" s="875"/>
    </row>
    <row r="46" spans="2:20" x14ac:dyDescent="1.65">
      <c r="B46" s="874"/>
      <c r="C46" s="878">
        <v>33</v>
      </c>
      <c r="D46" s="878"/>
      <c r="E46" s="878"/>
      <c r="F46" s="878"/>
      <c r="G46" s="878">
        <v>1000</v>
      </c>
      <c r="H46" s="878">
        <v>1</v>
      </c>
      <c r="I46" s="878">
        <v>10</v>
      </c>
      <c r="J46" s="878">
        <v>0</v>
      </c>
      <c r="K46" s="878">
        <v>0.01</v>
      </c>
      <c r="L46" s="878"/>
      <c r="M46" s="880"/>
      <c r="T46" s="875"/>
    </row>
    <row r="47" spans="2:20" x14ac:dyDescent="1.65">
      <c r="B47" s="874"/>
      <c r="C47" s="878">
        <v>34</v>
      </c>
      <c r="D47" s="878"/>
      <c r="E47" s="878"/>
      <c r="F47" s="878"/>
      <c r="G47" s="878">
        <v>1000</v>
      </c>
      <c r="H47" s="878">
        <v>1</v>
      </c>
      <c r="I47" s="878">
        <v>10</v>
      </c>
      <c r="J47" s="878">
        <v>0</v>
      </c>
      <c r="K47" s="878">
        <v>0.01</v>
      </c>
      <c r="L47" s="878"/>
      <c r="M47" s="880"/>
      <c r="T47" s="875"/>
    </row>
    <row r="48" spans="2:20" x14ac:dyDescent="1.65">
      <c r="B48" s="874"/>
      <c r="C48" s="878">
        <v>35</v>
      </c>
      <c r="D48" s="878"/>
      <c r="E48" s="878"/>
      <c r="F48" s="878"/>
      <c r="G48" s="878">
        <v>1000</v>
      </c>
      <c r="H48" s="878">
        <v>1</v>
      </c>
      <c r="I48" s="878">
        <v>10</v>
      </c>
      <c r="J48" s="878">
        <v>0</v>
      </c>
      <c r="K48" s="878">
        <v>0.01</v>
      </c>
      <c r="L48" s="878"/>
      <c r="M48" s="880"/>
      <c r="T48" s="875"/>
    </row>
    <row r="49" spans="2:20" x14ac:dyDescent="1.65">
      <c r="B49" s="874"/>
      <c r="C49" s="878">
        <v>36</v>
      </c>
      <c r="D49" s="878"/>
      <c r="E49" s="878"/>
      <c r="F49" s="878"/>
      <c r="G49" s="878">
        <v>1000</v>
      </c>
      <c r="H49" s="878">
        <v>1</v>
      </c>
      <c r="I49" s="878">
        <v>10</v>
      </c>
      <c r="J49" s="878">
        <v>0</v>
      </c>
      <c r="K49" s="878">
        <v>0.01</v>
      </c>
      <c r="L49" s="878"/>
      <c r="M49" s="880"/>
      <c r="T49" s="875"/>
    </row>
    <row r="50" spans="2:20" x14ac:dyDescent="1.65">
      <c r="B50" s="874"/>
      <c r="T50" s="875"/>
    </row>
    <row r="51" spans="2:20" x14ac:dyDescent="1.65">
      <c r="B51" s="874"/>
      <c r="T51" s="875"/>
    </row>
    <row r="52" spans="2:20" x14ac:dyDescent="1.65">
      <c r="B52" s="874"/>
      <c r="T52" s="875"/>
    </row>
    <row r="53" spans="2:20" x14ac:dyDescent="1.65">
      <c r="B53" s="874"/>
      <c r="T53" s="875"/>
    </row>
    <row r="54" spans="2:20" ht="92.4" thickBot="1" x14ac:dyDescent="1.7">
      <c r="B54" s="881"/>
      <c r="C54" s="882"/>
      <c r="D54" s="882"/>
      <c r="E54" s="882"/>
      <c r="F54" s="882"/>
      <c r="G54" s="882"/>
      <c r="H54" s="882"/>
      <c r="I54" s="882"/>
      <c r="J54" s="882"/>
      <c r="K54" s="882"/>
      <c r="L54" s="882"/>
      <c r="M54" s="882"/>
      <c r="N54" s="882"/>
      <c r="O54" s="882"/>
      <c r="P54" s="882"/>
      <c r="Q54" s="882"/>
      <c r="R54" s="882"/>
      <c r="S54" s="882"/>
      <c r="T54" s="88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71" t="s">
        <v>271</v>
      </c>
      <c r="B3" s="1172"/>
      <c r="C3" s="1172"/>
      <c r="D3" s="1172"/>
      <c r="E3" s="1172"/>
      <c r="F3" s="1172"/>
      <c r="G3" s="1173"/>
      <c r="I3" s="1">
        <f>I2/2</f>
        <v>720</v>
      </c>
    </row>
    <row r="4" spans="1:14" ht="15" thickBot="1" x14ac:dyDescent="0.35">
      <c r="A4" s="1174" t="s">
        <v>1</v>
      </c>
      <c r="B4" s="1175"/>
      <c r="C4" s="139" t="s">
        <v>2</v>
      </c>
      <c r="D4" s="140" t="s">
        <v>61</v>
      </c>
      <c r="E4" s="140" t="s">
        <v>62</v>
      </c>
      <c r="F4" s="140" t="s">
        <v>63</v>
      </c>
      <c r="G4" s="141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357">
        <v>46268</v>
      </c>
      <c r="B5" s="1167"/>
      <c r="C5" s="156" t="s">
        <v>170</v>
      </c>
      <c r="D5" s="157">
        <v>6.9444444444444447E-4</v>
      </c>
      <c r="E5" s="61">
        <v>0.44444444444444442</v>
      </c>
      <c r="F5" s="62">
        <f>(E5-D5)*720</f>
        <v>319.5</v>
      </c>
      <c r="G5" s="450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357">
        <v>46269</v>
      </c>
      <c r="B6" s="1167"/>
      <c r="C6" s="161"/>
      <c r="D6" s="61">
        <v>6.9444444444444447E-4</v>
      </c>
      <c r="E6" s="61">
        <v>2.9166666666666667E-2</v>
      </c>
      <c r="F6" s="62">
        <f>(E6-D6)*720</f>
        <v>20.5</v>
      </c>
      <c r="G6" s="451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57">
        <v>46270</v>
      </c>
      <c r="B7" s="1167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57">
        <v>46271</v>
      </c>
      <c r="B8" s="1167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57">
        <v>46272</v>
      </c>
      <c r="B9" s="1167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57">
        <v>46273</v>
      </c>
      <c r="B10" s="1167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57">
        <v>46274</v>
      </c>
      <c r="B11" s="1167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57">
        <v>46275</v>
      </c>
      <c r="B12" s="116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57">
        <v>46276</v>
      </c>
      <c r="B13" s="116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57">
        <v>46277</v>
      </c>
      <c r="B14" s="116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57">
        <v>46278</v>
      </c>
      <c r="B15" s="116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57">
        <v>46279</v>
      </c>
      <c r="B16" s="116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57">
        <v>46280</v>
      </c>
      <c r="B17" s="116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57">
        <v>46281</v>
      </c>
      <c r="B18" s="116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57">
        <v>46282</v>
      </c>
      <c r="B19" s="116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57">
        <v>46283</v>
      </c>
      <c r="B20" s="116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57">
        <v>46284</v>
      </c>
      <c r="B21" s="116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57">
        <v>46285</v>
      </c>
      <c r="B22" s="116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57">
        <v>46286</v>
      </c>
      <c r="B23" s="116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57">
        <v>46287</v>
      </c>
      <c r="B24" s="116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57">
        <v>46288</v>
      </c>
      <c r="B25" s="116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57">
        <v>46289</v>
      </c>
      <c r="B26" s="116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57">
        <v>46290</v>
      </c>
      <c r="B27" s="116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57">
        <v>46291</v>
      </c>
      <c r="B28" s="116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57">
        <v>46292</v>
      </c>
      <c r="B29" s="116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57">
        <v>46293</v>
      </c>
      <c r="B30" s="116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57">
        <v>46294</v>
      </c>
      <c r="B31" s="116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57">
        <v>46295</v>
      </c>
      <c r="B32" s="116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57">
        <v>46296</v>
      </c>
      <c r="B33" s="116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57">
        <v>46297</v>
      </c>
      <c r="B34" s="116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57">
        <v>46298</v>
      </c>
      <c r="B35" s="116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57">
        <v>46299</v>
      </c>
      <c r="B36" s="116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57">
        <v>46300</v>
      </c>
      <c r="B37" s="116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57">
        <v>46301</v>
      </c>
      <c r="B38" s="116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57">
        <v>46302</v>
      </c>
      <c r="B39" s="116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57">
        <v>46303</v>
      </c>
      <c r="B40" s="116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57">
        <v>46304</v>
      </c>
      <c r="B41" s="116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57">
        <v>46305</v>
      </c>
      <c r="B42" s="116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57">
        <v>46306</v>
      </c>
      <c r="B43" s="116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57">
        <v>46307</v>
      </c>
      <c r="B44" s="116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57">
        <v>46308</v>
      </c>
      <c r="B45" s="116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57">
        <v>46309</v>
      </c>
      <c r="B46" s="116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57">
        <v>46310</v>
      </c>
      <c r="B47" s="116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57">
        <v>46311</v>
      </c>
      <c r="B48" s="116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57">
        <v>46312</v>
      </c>
      <c r="B49" s="116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57">
        <v>46313</v>
      </c>
      <c r="B50" s="116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57">
        <v>46314</v>
      </c>
      <c r="B51" s="116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57">
        <v>46315</v>
      </c>
      <c r="B52" s="116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57">
        <v>46316</v>
      </c>
      <c r="B53" s="116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57">
        <v>46317</v>
      </c>
      <c r="B54" s="116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57">
        <v>46318</v>
      </c>
      <c r="B55" s="116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57">
        <v>46319</v>
      </c>
      <c r="B56" s="116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57">
        <v>46320</v>
      </c>
      <c r="B57" s="1167"/>
      <c r="C57" s="65"/>
      <c r="D57" s="68"/>
      <c r="E57" s="68"/>
      <c r="F57" s="62">
        <f t="shared" si="5"/>
        <v>0</v>
      </c>
      <c r="G57" s="66"/>
      <c r="J57" s="16" t="s">
        <v>18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57">
        <v>46321</v>
      </c>
      <c r="B58" s="1167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357">
        <v>46322</v>
      </c>
      <c r="B59" s="1167"/>
      <c r="C59" s="65"/>
      <c r="D59" s="68"/>
      <c r="E59" s="68"/>
      <c r="F59" s="62">
        <f t="shared" si="5"/>
        <v>0</v>
      </c>
      <c r="G59" s="66"/>
    </row>
    <row r="60" spans="1:18" x14ac:dyDescent="0.3">
      <c r="A60" s="1357">
        <v>46323</v>
      </c>
      <c r="B60" s="1167"/>
      <c r="C60" s="65"/>
      <c r="D60" s="68"/>
      <c r="E60" s="68"/>
      <c r="F60" s="62">
        <f t="shared" si="5"/>
        <v>0</v>
      </c>
      <c r="G60" s="66"/>
    </row>
    <row r="61" spans="1:18" x14ac:dyDescent="0.3">
      <c r="A61" s="1357">
        <v>46324</v>
      </c>
      <c r="B61" s="1167"/>
      <c r="C61" s="65"/>
      <c r="D61" s="68"/>
      <c r="E61" s="68"/>
      <c r="F61" s="62">
        <f t="shared" si="5"/>
        <v>0</v>
      </c>
      <c r="G61" s="66"/>
    </row>
    <row r="62" spans="1:18" x14ac:dyDescent="0.3">
      <c r="A62" s="1357">
        <v>46325</v>
      </c>
      <c r="B62" s="1167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71</v>
      </c>
      <c r="C4" s="104" t="s">
        <v>243</v>
      </c>
      <c r="D4" s="104" t="s">
        <v>55</v>
      </c>
      <c r="E4" s="104" t="s">
        <v>134</v>
      </c>
      <c r="F4" s="104" t="s">
        <v>135</v>
      </c>
      <c r="G4" s="104" t="s">
        <v>136</v>
      </c>
      <c r="H4" s="104" t="s">
        <v>137</v>
      </c>
      <c r="I4" s="104" t="s">
        <v>138</v>
      </c>
      <c r="J4" s="104" t="s">
        <v>139</v>
      </c>
      <c r="K4" s="104" t="s">
        <v>142</v>
      </c>
      <c r="L4" s="104" t="s">
        <v>313</v>
      </c>
      <c r="M4" s="104" t="s">
        <v>140</v>
      </c>
      <c r="Q4" s="1358" t="s">
        <v>480</v>
      </c>
      <c r="R4" s="1359"/>
      <c r="S4" s="1359"/>
      <c r="T4" s="1360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143</v>
      </c>
      <c r="L5" s="230">
        <f>J5/60</f>
        <v>1.0000000000000002</v>
      </c>
      <c r="M5" s="444" t="s">
        <v>476</v>
      </c>
      <c r="Q5" s="1361"/>
      <c r="R5" s="1362"/>
      <c r="S5" s="1362"/>
      <c r="T5" s="1363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4" t="s">
        <v>482</v>
      </c>
      <c r="N7" s="137"/>
      <c r="Q7" s="108" t="s">
        <v>148</v>
      </c>
      <c r="R7" s="107" t="s">
        <v>139</v>
      </c>
      <c r="S7" s="107" t="s">
        <v>147</v>
      </c>
      <c r="T7" s="107" t="s">
        <v>149</v>
      </c>
      <c r="U7" s="107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4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84" t="s">
        <v>1</v>
      </c>
      <c r="B4" s="1386" t="s">
        <v>51</v>
      </c>
      <c r="C4" s="1386"/>
      <c r="D4" s="1386"/>
      <c r="E4" s="1386"/>
      <c r="F4" s="100"/>
      <c r="G4" s="55"/>
      <c r="H4" s="55"/>
      <c r="I4" s="105"/>
      <c r="J4" s="105"/>
      <c r="K4" s="105"/>
      <c r="L4" s="1372" t="s">
        <v>240</v>
      </c>
      <c r="M4" s="1370"/>
      <c r="N4" s="1371"/>
      <c r="O4" s="1372" t="s">
        <v>236</v>
      </c>
      <c r="P4" s="1370"/>
      <c r="Q4" s="1371"/>
      <c r="R4" s="1372" t="s">
        <v>237</v>
      </c>
      <c r="S4" s="1370"/>
      <c r="T4" s="1371"/>
      <c r="U4" s="1372" t="s">
        <v>238</v>
      </c>
      <c r="V4" s="1370"/>
      <c r="W4" s="1371"/>
      <c r="X4" s="1372" t="s">
        <v>239</v>
      </c>
      <c r="Y4" s="1370"/>
      <c r="Z4" s="1371"/>
      <c r="AA4" s="1372" t="s">
        <v>52</v>
      </c>
      <c r="AB4" s="1370"/>
      <c r="AC4" s="1371"/>
      <c r="AD4" s="1372" t="s">
        <v>53</v>
      </c>
      <c r="AE4" s="1370"/>
      <c r="AF4" s="1371"/>
      <c r="AG4" s="1364">
        <v>0.83333333333333337</v>
      </c>
      <c r="AH4" s="1370"/>
      <c r="AI4" s="1371"/>
      <c r="AJ4" s="1364">
        <v>0.91666666666666663</v>
      </c>
      <c r="AK4" s="1365"/>
      <c r="AL4" s="1366"/>
      <c r="AM4" s="1367">
        <v>0</v>
      </c>
      <c r="AN4" s="1368"/>
      <c r="AO4" s="1369"/>
      <c r="AP4" s="1364">
        <v>8.3333333333333329E-2</v>
      </c>
      <c r="AQ4" s="1365"/>
      <c r="AR4" s="1366"/>
      <c r="AS4" s="1364">
        <v>0.16666666666666666</v>
      </c>
      <c r="AT4" s="1365"/>
      <c r="AU4" s="1366"/>
      <c r="AV4" s="60" t="s">
        <v>54</v>
      </c>
      <c r="AW4" s="45"/>
    </row>
    <row r="5" spans="1:49" x14ac:dyDescent="0.3">
      <c r="A5" s="1384"/>
      <c r="B5" s="57" t="s">
        <v>59</v>
      </c>
      <c r="C5" s="57" t="s">
        <v>60</v>
      </c>
      <c r="D5" s="58" t="s">
        <v>129</v>
      </c>
      <c r="E5" s="58" t="s">
        <v>130</v>
      </c>
      <c r="F5" s="101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90">
        <v>46147</v>
      </c>
      <c r="B6" s="1385"/>
      <c r="C6" s="50" t="s">
        <v>170</v>
      </c>
      <c r="D6" s="50" t="s">
        <v>133</v>
      </c>
      <c r="E6" s="102"/>
      <c r="F6" s="99" t="s">
        <v>228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99" t="s">
        <v>232</v>
      </c>
      <c r="AW6" s="1400"/>
    </row>
    <row r="7" spans="1:49" x14ac:dyDescent="0.3">
      <c r="A7" s="1390"/>
      <c r="B7" s="1374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99"/>
      <c r="AW7" s="1401"/>
    </row>
    <row r="8" spans="1:49" x14ac:dyDescent="0.3">
      <c r="A8" s="1390"/>
      <c r="B8" s="1374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99"/>
      <c r="AW8" s="1401"/>
    </row>
    <row r="9" spans="1:49" ht="15" thickBot="1" x14ac:dyDescent="0.35">
      <c r="A9" s="1385"/>
      <c r="B9" s="1374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00"/>
      <c r="AW9" s="1402"/>
    </row>
    <row r="10" spans="1:49" x14ac:dyDescent="0.3">
      <c r="A10" s="1387">
        <v>46148</v>
      </c>
      <c r="B10" s="1373" t="s">
        <v>229</v>
      </c>
      <c r="C10" s="184" t="s">
        <v>170</v>
      </c>
      <c r="D10" s="185" t="s">
        <v>230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03" t="s">
        <v>241</v>
      </c>
      <c r="AW10" s="1406" t="s">
        <v>231</v>
      </c>
    </row>
    <row r="11" spans="1:49" x14ac:dyDescent="0.3">
      <c r="A11" s="1388"/>
      <c r="B11" s="1374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04"/>
      <c r="AW11" s="1407"/>
    </row>
    <row r="12" spans="1:49" x14ac:dyDescent="0.3">
      <c r="A12" s="1388"/>
      <c r="B12" s="1374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04"/>
      <c r="AW12" s="1407"/>
    </row>
    <row r="13" spans="1:49" ht="15" thickBot="1" x14ac:dyDescent="0.35">
      <c r="A13" s="1389"/>
      <c r="B13" s="1374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05"/>
      <c r="AW13" s="1408"/>
    </row>
    <row r="14" spans="1:49" ht="15" thickBot="1" x14ac:dyDescent="0.35">
      <c r="A14" s="1387">
        <v>46149</v>
      </c>
      <c r="B14" s="169" t="s">
        <v>275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03" t="s">
        <v>242</v>
      </c>
      <c r="AW14" s="1409"/>
    </row>
    <row r="15" spans="1:49" x14ac:dyDescent="0.3">
      <c r="A15" s="1388"/>
      <c r="B15" s="169" t="s">
        <v>234</v>
      </c>
      <c r="C15" s="50" t="s">
        <v>170</v>
      </c>
      <c r="D15" s="98" t="s">
        <v>235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04"/>
      <c r="AW15" s="1410"/>
    </row>
    <row r="16" spans="1:49" x14ac:dyDescent="0.3">
      <c r="A16" s="1388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04"/>
      <c r="AW16" s="1410"/>
    </row>
    <row r="17" spans="1:49" ht="15" thickBot="1" x14ac:dyDescent="0.35">
      <c r="A17" s="1389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04"/>
      <c r="AW17" s="1411"/>
    </row>
    <row r="18" spans="1:49" x14ac:dyDescent="0.3">
      <c r="A18" s="1391">
        <v>46150</v>
      </c>
      <c r="B18" s="169" t="s">
        <v>276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286</v>
      </c>
      <c r="AW18" s="1398"/>
    </row>
    <row r="19" spans="1:49" x14ac:dyDescent="0.3">
      <c r="A19" s="1390"/>
      <c r="B19" s="169" t="s">
        <v>277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287</v>
      </c>
      <c r="AW19" s="1397"/>
    </row>
    <row r="20" spans="1:49" x14ac:dyDescent="0.3">
      <c r="A20" s="1390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397"/>
    </row>
    <row r="21" spans="1:49" x14ac:dyDescent="0.3">
      <c r="A21" s="1390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397"/>
    </row>
    <row r="22" spans="1:49" x14ac:dyDescent="0.3">
      <c r="A22" s="1390">
        <v>46151</v>
      </c>
      <c r="B22" s="52"/>
      <c r="C22" s="50"/>
      <c r="D22" s="1375"/>
      <c r="E22" s="1381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97"/>
    </row>
    <row r="23" spans="1:49" x14ac:dyDescent="0.3">
      <c r="A23" s="1390"/>
      <c r="B23" s="53"/>
      <c r="C23" s="50"/>
      <c r="D23" s="1376"/>
      <c r="E23" s="1382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97"/>
    </row>
    <row r="24" spans="1:49" x14ac:dyDescent="0.3">
      <c r="A24" s="1390"/>
      <c r="B24" s="53"/>
      <c r="C24" s="50"/>
      <c r="D24" s="1376"/>
      <c r="E24" s="1382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97"/>
    </row>
    <row r="25" spans="1:49" ht="15" thickBot="1" x14ac:dyDescent="0.35">
      <c r="A25" s="1390"/>
      <c r="B25" s="54"/>
      <c r="C25" s="50"/>
      <c r="D25" s="1377"/>
      <c r="E25" s="1383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395"/>
    </row>
    <row r="26" spans="1:49" x14ac:dyDescent="0.3">
      <c r="A26" s="1390">
        <v>46152</v>
      </c>
      <c r="B26" s="52"/>
      <c r="C26" s="50"/>
      <c r="D26" s="1375"/>
      <c r="E26" s="1381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98"/>
      <c r="AW26" s="1398"/>
    </row>
    <row r="27" spans="1:49" x14ac:dyDescent="0.3">
      <c r="A27" s="1390"/>
      <c r="B27" s="53"/>
      <c r="C27" s="50"/>
      <c r="D27" s="1376"/>
      <c r="E27" s="1382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97"/>
      <c r="AW27" s="1397"/>
    </row>
    <row r="28" spans="1:49" x14ac:dyDescent="0.3">
      <c r="A28" s="1390"/>
      <c r="B28" s="53"/>
      <c r="C28" s="50"/>
      <c r="D28" s="1376"/>
      <c r="E28" s="1382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97"/>
      <c r="AW28" s="1397"/>
    </row>
    <row r="29" spans="1:49" x14ac:dyDescent="0.3">
      <c r="A29" s="1390"/>
      <c r="B29" s="54"/>
      <c r="C29" s="50"/>
      <c r="D29" s="1377"/>
      <c r="E29" s="1383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97"/>
      <c r="AW29" s="1397"/>
    </row>
    <row r="30" spans="1:49" x14ac:dyDescent="0.3">
      <c r="A30" s="1390">
        <v>46153</v>
      </c>
      <c r="B30" s="52"/>
      <c r="C30" s="50"/>
      <c r="D30" s="1375"/>
      <c r="E30" s="1381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97"/>
      <c r="AW30" s="1397"/>
    </row>
    <row r="31" spans="1:49" x14ac:dyDescent="0.3">
      <c r="A31" s="1390"/>
      <c r="B31" s="53"/>
      <c r="C31" s="50"/>
      <c r="D31" s="1376"/>
      <c r="E31" s="1382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97"/>
      <c r="AW31" s="1397"/>
    </row>
    <row r="32" spans="1:49" x14ac:dyDescent="0.3">
      <c r="A32" s="1390"/>
      <c r="B32" s="53"/>
      <c r="C32" s="50"/>
      <c r="D32" s="1376"/>
      <c r="E32" s="1382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97"/>
      <c r="AW32" s="1397"/>
    </row>
    <row r="33" spans="1:49" x14ac:dyDescent="0.3">
      <c r="A33" s="1390"/>
      <c r="B33" s="54"/>
      <c r="C33" s="50"/>
      <c r="D33" s="1377"/>
      <c r="E33" s="1383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95"/>
      <c r="AW33" s="1395"/>
    </row>
    <row r="34" spans="1:49" x14ac:dyDescent="0.3">
      <c r="A34" s="1390">
        <v>46154</v>
      </c>
      <c r="B34" s="52"/>
      <c r="C34" s="50"/>
      <c r="D34" s="1375"/>
      <c r="E34" s="1381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98"/>
      <c r="AW34" s="1398"/>
    </row>
    <row r="35" spans="1:49" x14ac:dyDescent="0.3">
      <c r="A35" s="1390"/>
      <c r="B35" s="53"/>
      <c r="C35" s="50"/>
      <c r="D35" s="1376"/>
      <c r="E35" s="1382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97"/>
      <c r="AW35" s="1397"/>
    </row>
    <row r="36" spans="1:49" x14ac:dyDescent="0.3">
      <c r="A36" s="1390"/>
      <c r="B36" s="53"/>
      <c r="C36" s="50"/>
      <c r="D36" s="1376"/>
      <c r="E36" s="1382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97"/>
      <c r="AW36" s="1397"/>
    </row>
    <row r="37" spans="1:49" x14ac:dyDescent="0.3">
      <c r="A37" s="1390"/>
      <c r="B37" s="54"/>
      <c r="C37" s="50"/>
      <c r="D37" s="1377"/>
      <c r="E37" s="1383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97"/>
      <c r="AW37" s="1397"/>
    </row>
    <row r="38" spans="1:49" x14ac:dyDescent="0.3">
      <c r="A38" s="1390">
        <v>46155</v>
      </c>
      <c r="B38" s="52"/>
      <c r="C38" s="50"/>
      <c r="D38" s="1375"/>
      <c r="E38" s="1381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97"/>
      <c r="AW38" s="1397"/>
    </row>
    <row r="39" spans="1:49" x14ac:dyDescent="0.3">
      <c r="A39" s="1390"/>
      <c r="B39" s="53"/>
      <c r="C39" s="50"/>
      <c r="D39" s="1376"/>
      <c r="E39" s="1382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97"/>
      <c r="AW39" s="1397"/>
    </row>
    <row r="40" spans="1:49" x14ac:dyDescent="0.3">
      <c r="A40" s="1390"/>
      <c r="B40" s="53"/>
      <c r="C40" s="50"/>
      <c r="D40" s="1376"/>
      <c r="E40" s="1382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97"/>
      <c r="AW40" s="1397"/>
    </row>
    <row r="41" spans="1:49" x14ac:dyDescent="0.3">
      <c r="A41" s="1390"/>
      <c r="B41" s="54"/>
      <c r="C41" s="50"/>
      <c r="D41" s="1377"/>
      <c r="E41" s="1383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95"/>
      <c r="AW41" s="1395"/>
    </row>
    <row r="42" spans="1:49" x14ac:dyDescent="0.3">
      <c r="A42" s="1390">
        <v>46156</v>
      </c>
      <c r="B42" s="52"/>
      <c r="C42" s="50"/>
      <c r="D42" s="1375"/>
      <c r="E42" s="1381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98"/>
      <c r="AW42" s="1398"/>
    </row>
    <row r="43" spans="1:49" x14ac:dyDescent="0.3">
      <c r="A43" s="1390"/>
      <c r="B43" s="53"/>
      <c r="C43" s="50"/>
      <c r="D43" s="1376"/>
      <c r="E43" s="1382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97"/>
      <c r="AW43" s="1397"/>
    </row>
    <row r="44" spans="1:49" x14ac:dyDescent="0.3">
      <c r="A44" s="1390"/>
      <c r="B44" s="53"/>
      <c r="C44" s="50"/>
      <c r="D44" s="1376"/>
      <c r="E44" s="1382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97"/>
      <c r="AW44" s="1397"/>
    </row>
    <row r="45" spans="1:49" x14ac:dyDescent="0.3">
      <c r="A45" s="1390"/>
      <c r="B45" s="54"/>
      <c r="C45" s="50"/>
      <c r="D45" s="1377"/>
      <c r="E45" s="1383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97"/>
      <c r="AW45" s="1397"/>
    </row>
    <row r="46" spans="1:49" x14ac:dyDescent="0.3">
      <c r="A46" s="1390">
        <v>46157</v>
      </c>
      <c r="B46" s="52"/>
      <c r="C46" s="50"/>
      <c r="D46" s="1378" t="s">
        <v>158</v>
      </c>
      <c r="E46" s="1381"/>
      <c r="F46" s="96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97"/>
      <c r="AW46" s="1397"/>
    </row>
    <row r="47" spans="1:49" x14ac:dyDescent="0.3">
      <c r="A47" s="1390"/>
      <c r="B47" s="53"/>
      <c r="C47" s="50"/>
      <c r="D47" s="1379"/>
      <c r="E47" s="1382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97"/>
      <c r="AW47" s="1397"/>
    </row>
    <row r="48" spans="1:49" x14ac:dyDescent="0.3">
      <c r="A48" s="1390"/>
      <c r="B48" s="53"/>
      <c r="C48" s="50"/>
      <c r="D48" s="1379"/>
      <c r="E48" s="1382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97"/>
      <c r="AW48" s="1397"/>
    </row>
    <row r="49" spans="1:49" x14ac:dyDescent="0.3">
      <c r="A49" s="1390"/>
      <c r="B49" s="54"/>
      <c r="C49" s="50"/>
      <c r="D49" s="1380"/>
      <c r="E49" s="1383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95"/>
      <c r="AW49" s="1395"/>
    </row>
    <row r="50" spans="1:49" x14ac:dyDescent="0.3">
      <c r="A50" s="1390">
        <v>46158</v>
      </c>
      <c r="B50" s="52"/>
      <c r="C50" s="50"/>
      <c r="D50" s="1375"/>
      <c r="E50" s="1381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98"/>
      <c r="AW50" s="1398"/>
    </row>
    <row r="51" spans="1:49" x14ac:dyDescent="0.3">
      <c r="A51" s="1390"/>
      <c r="B51" s="53"/>
      <c r="C51" s="50"/>
      <c r="D51" s="1376"/>
      <c r="E51" s="1382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97"/>
      <c r="AW51" s="1397"/>
    </row>
    <row r="52" spans="1:49" x14ac:dyDescent="0.3">
      <c r="A52" s="1390"/>
      <c r="B52" s="53"/>
      <c r="C52" s="50"/>
      <c r="D52" s="1376"/>
      <c r="E52" s="1382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97"/>
      <c r="AW52" s="1397"/>
    </row>
    <row r="53" spans="1:49" x14ac:dyDescent="0.3">
      <c r="A53" s="1390"/>
      <c r="B53" s="54"/>
      <c r="C53" s="50"/>
      <c r="D53" s="1377"/>
      <c r="E53" s="1383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97"/>
      <c r="AW53" s="1397"/>
    </row>
    <row r="54" spans="1:49" x14ac:dyDescent="0.3">
      <c r="A54" s="1390">
        <v>46159</v>
      </c>
      <c r="B54" s="52"/>
      <c r="C54" s="50"/>
      <c r="D54" s="98"/>
      <c r="E54" s="1392" t="s">
        <v>157</v>
      </c>
      <c r="F54" s="96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97"/>
      <c r="AW54" s="1397"/>
    </row>
    <row r="55" spans="1:49" x14ac:dyDescent="0.3">
      <c r="A55" s="1390"/>
      <c r="B55" s="53"/>
      <c r="C55" s="50"/>
      <c r="D55" s="98"/>
      <c r="E55" s="1393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97"/>
      <c r="AW55" s="1397"/>
    </row>
    <row r="56" spans="1:49" x14ac:dyDescent="0.3">
      <c r="A56" s="1390"/>
      <c r="B56" s="53"/>
      <c r="C56" s="50"/>
      <c r="D56" s="98"/>
      <c r="E56" s="1393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97"/>
      <c r="AW56" s="1397"/>
    </row>
    <row r="57" spans="1:49" x14ac:dyDescent="0.3">
      <c r="A57" s="1390"/>
      <c r="B57" s="54"/>
      <c r="C57" s="50"/>
      <c r="D57" s="98"/>
      <c r="E57" s="1394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95"/>
      <c r="AW57" s="1395"/>
    </row>
    <row r="58" spans="1:49" x14ac:dyDescent="0.3">
      <c r="A58" s="1390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98"/>
      <c r="AW58" s="1398"/>
    </row>
    <row r="59" spans="1:49" x14ac:dyDescent="0.3">
      <c r="A59" s="1390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97"/>
      <c r="AW59" s="1397"/>
    </row>
    <row r="60" spans="1:49" x14ac:dyDescent="0.3">
      <c r="A60" s="1390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97"/>
      <c r="AW60" s="1397"/>
    </row>
    <row r="61" spans="1:49" x14ac:dyDescent="0.3">
      <c r="A61" s="1390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97"/>
      <c r="AW61" s="1397"/>
    </row>
    <row r="62" spans="1:49" x14ac:dyDescent="0.3">
      <c r="A62" s="1390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97"/>
      <c r="AW62" s="1397"/>
    </row>
    <row r="63" spans="1:49" x14ac:dyDescent="0.3">
      <c r="A63" s="1390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97"/>
      <c r="AW63" s="1397"/>
    </row>
    <row r="64" spans="1:49" x14ac:dyDescent="0.3">
      <c r="A64" s="1390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97"/>
      <c r="AW64" s="1397"/>
    </row>
    <row r="65" spans="1:49" x14ac:dyDescent="0.3">
      <c r="A65" s="1390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95"/>
      <c r="AW65" s="1395"/>
    </row>
    <row r="66" spans="1:49" x14ac:dyDescent="0.3">
      <c r="A66" s="1390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98"/>
      <c r="AW66" s="1398"/>
    </row>
    <row r="67" spans="1:49" x14ac:dyDescent="0.3">
      <c r="A67" s="1390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97"/>
      <c r="AW67" s="1397"/>
    </row>
    <row r="68" spans="1:49" x14ac:dyDescent="0.3">
      <c r="A68" s="1390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97"/>
      <c r="AW68" s="1397"/>
    </row>
    <row r="69" spans="1:49" x14ac:dyDescent="0.3">
      <c r="A69" s="1390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97"/>
      <c r="AW69" s="1397"/>
    </row>
    <row r="70" spans="1:49" x14ac:dyDescent="0.3">
      <c r="A70" s="1390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97"/>
      <c r="AW70" s="1397"/>
    </row>
    <row r="71" spans="1:49" x14ac:dyDescent="0.3">
      <c r="A71" s="1390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97"/>
      <c r="AW71" s="1397"/>
    </row>
    <row r="72" spans="1:49" x14ac:dyDescent="0.3">
      <c r="A72" s="1390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97"/>
      <c r="AW72" s="1397"/>
    </row>
    <row r="73" spans="1:49" x14ac:dyDescent="0.3">
      <c r="A73" s="1390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95"/>
      <c r="AW73" s="1395"/>
    </row>
    <row r="74" spans="1:49" x14ac:dyDescent="0.3">
      <c r="A74" s="1390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98"/>
      <c r="AW74" s="1398"/>
    </row>
    <row r="75" spans="1:49" x14ac:dyDescent="0.3">
      <c r="A75" s="1390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97"/>
      <c r="AW75" s="1397"/>
    </row>
    <row r="76" spans="1:49" x14ac:dyDescent="0.3">
      <c r="A76" s="1390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97"/>
      <c r="AW76" s="1397"/>
    </row>
    <row r="77" spans="1:49" x14ac:dyDescent="0.3">
      <c r="A77" s="1390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97"/>
      <c r="AW77" s="1397"/>
    </row>
    <row r="78" spans="1:49" x14ac:dyDescent="0.3">
      <c r="A78" s="1390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97"/>
      <c r="AW78" s="1397"/>
    </row>
    <row r="79" spans="1:49" x14ac:dyDescent="0.3">
      <c r="A79" s="1390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97"/>
      <c r="AW79" s="1397"/>
    </row>
    <row r="80" spans="1:49" x14ac:dyDescent="0.3">
      <c r="A80" s="1390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97"/>
      <c r="AW80" s="1397"/>
    </row>
    <row r="81" spans="1:49" x14ac:dyDescent="0.3">
      <c r="A81" s="1390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95"/>
      <c r="AW81" s="1395"/>
    </row>
    <row r="82" spans="1:49" x14ac:dyDescent="0.3">
      <c r="A82" s="1390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98"/>
      <c r="AW82" s="1398"/>
    </row>
    <row r="83" spans="1:49" x14ac:dyDescent="0.3">
      <c r="A83" s="1390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97"/>
      <c r="AW83" s="1397"/>
    </row>
    <row r="84" spans="1:49" x14ac:dyDescent="0.3">
      <c r="A84" s="1390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97"/>
      <c r="AW84" s="1397"/>
    </row>
    <row r="85" spans="1:49" x14ac:dyDescent="0.3">
      <c r="A85" s="1390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97"/>
      <c r="AW85" s="1397"/>
    </row>
    <row r="86" spans="1:49" x14ac:dyDescent="0.3">
      <c r="A86" s="1390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97"/>
      <c r="AW86" s="1397"/>
    </row>
    <row r="87" spans="1:49" x14ac:dyDescent="0.3">
      <c r="A87" s="1390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97"/>
      <c r="AW87" s="1397"/>
    </row>
    <row r="88" spans="1:49" x14ac:dyDescent="0.3">
      <c r="A88" s="1390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97"/>
      <c r="AW88" s="1397"/>
    </row>
    <row r="89" spans="1:49" x14ac:dyDescent="0.3">
      <c r="A89" s="1390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95"/>
      <c r="AW89" s="1395"/>
    </row>
    <row r="90" spans="1:49" x14ac:dyDescent="0.3">
      <c r="A90" s="1390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98"/>
      <c r="AW90" s="1398"/>
    </row>
    <row r="91" spans="1:49" x14ac:dyDescent="0.3">
      <c r="A91" s="1390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97"/>
      <c r="AW91" s="1397"/>
    </row>
    <row r="92" spans="1:49" x14ac:dyDescent="0.3">
      <c r="A92" s="1390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97"/>
      <c r="AW92" s="1397"/>
    </row>
    <row r="93" spans="1:49" x14ac:dyDescent="0.3">
      <c r="A93" s="1390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97"/>
      <c r="AW93" s="1397"/>
    </row>
    <row r="94" spans="1:49" x14ac:dyDescent="0.3">
      <c r="A94" s="1390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97"/>
      <c r="AW94" s="1397"/>
    </row>
    <row r="95" spans="1:49" x14ac:dyDescent="0.3">
      <c r="A95" s="1390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97"/>
      <c r="AW95" s="1397"/>
    </row>
    <row r="96" spans="1:49" x14ac:dyDescent="0.3">
      <c r="A96" s="1390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97"/>
      <c r="AW96" s="1397"/>
    </row>
    <row r="97" spans="1:49" x14ac:dyDescent="0.3">
      <c r="A97" s="1390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95"/>
      <c r="AW97" s="1395"/>
    </row>
    <row r="98" spans="1:49" x14ac:dyDescent="0.3">
      <c r="A98" s="1390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98"/>
      <c r="AW98" s="1398"/>
    </row>
    <row r="99" spans="1:49" x14ac:dyDescent="0.3">
      <c r="A99" s="1390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97"/>
      <c r="AW99" s="1397"/>
    </row>
    <row r="100" spans="1:49" x14ac:dyDescent="0.3">
      <c r="A100" s="1390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97"/>
      <c r="AW100" s="1397"/>
    </row>
    <row r="101" spans="1:49" x14ac:dyDescent="0.3">
      <c r="A101" s="1390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97"/>
      <c r="AW101" s="1397"/>
    </row>
    <row r="102" spans="1:49" x14ac:dyDescent="0.3">
      <c r="A102" s="1390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97"/>
      <c r="AW102" s="1397"/>
    </row>
    <row r="103" spans="1:49" x14ac:dyDescent="0.3">
      <c r="A103" s="1390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97"/>
      <c r="AW103" s="1397"/>
    </row>
    <row r="104" spans="1:49" x14ac:dyDescent="0.3">
      <c r="A104" s="1390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97"/>
      <c r="AW104" s="1397"/>
    </row>
    <row r="105" spans="1:49" x14ac:dyDescent="0.3">
      <c r="A105" s="1390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95"/>
      <c r="AW105" s="1395"/>
    </row>
    <row r="106" spans="1:49" x14ac:dyDescent="0.3">
      <c r="A106" s="1390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98"/>
      <c r="AW106" s="1398"/>
    </row>
    <row r="107" spans="1:49" x14ac:dyDescent="0.3">
      <c r="A107" s="1390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97"/>
      <c r="AW107" s="1397"/>
    </row>
    <row r="108" spans="1:49" x14ac:dyDescent="0.3">
      <c r="A108" s="1390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97"/>
      <c r="AW108" s="1397"/>
    </row>
    <row r="109" spans="1:49" x14ac:dyDescent="0.3">
      <c r="A109" s="1390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97"/>
      <c r="AW109" s="1397"/>
    </row>
    <row r="110" spans="1:49" x14ac:dyDescent="0.3">
      <c r="A110" s="1390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97"/>
      <c r="AW110" s="1397"/>
    </row>
    <row r="111" spans="1:49" x14ac:dyDescent="0.3">
      <c r="A111" s="1390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97"/>
      <c r="AW111" s="1397"/>
    </row>
    <row r="112" spans="1:49" x14ac:dyDescent="0.3">
      <c r="A112" s="1390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97"/>
      <c r="AW112" s="1397"/>
    </row>
    <row r="113" spans="1:49" x14ac:dyDescent="0.3">
      <c r="A113" s="1390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95"/>
      <c r="AW113" s="1395"/>
    </row>
    <row r="114" spans="1:49" x14ac:dyDescent="0.3">
      <c r="A114" s="1390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98"/>
      <c r="AW114" s="1398"/>
    </row>
    <row r="115" spans="1:49" x14ac:dyDescent="0.3">
      <c r="A115" s="1390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97"/>
      <c r="AW115" s="1397"/>
    </row>
    <row r="116" spans="1:49" x14ac:dyDescent="0.3">
      <c r="A116" s="1390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97"/>
      <c r="AW116" s="1397"/>
    </row>
    <row r="117" spans="1:49" x14ac:dyDescent="0.3">
      <c r="A117" s="1390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97"/>
      <c r="AW117" s="1397"/>
    </row>
    <row r="118" spans="1:49" x14ac:dyDescent="0.3">
      <c r="A118" s="1390">
        <v>46175</v>
      </c>
      <c r="B118" s="52"/>
      <c r="C118" s="50"/>
      <c r="D118" s="1375"/>
      <c r="E118" s="1381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97"/>
      <c r="AW118" s="1397"/>
    </row>
    <row r="119" spans="1:49" x14ac:dyDescent="0.3">
      <c r="A119" s="1390"/>
      <c r="B119" s="53"/>
      <c r="C119" s="50"/>
      <c r="D119" s="1376"/>
      <c r="E119" s="1382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97"/>
      <c r="AW119" s="1397"/>
    </row>
    <row r="120" spans="1:49" x14ac:dyDescent="0.3">
      <c r="A120" s="1390"/>
      <c r="B120" s="53"/>
      <c r="C120" s="50"/>
      <c r="D120" s="1376"/>
      <c r="E120" s="1382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97"/>
      <c r="AW120" s="1397"/>
    </row>
    <row r="121" spans="1:49" x14ac:dyDescent="0.3">
      <c r="A121" s="1390"/>
      <c r="B121" s="54"/>
      <c r="C121" s="50"/>
      <c r="D121" s="1377"/>
      <c r="E121" s="1383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95"/>
      <c r="AW121" s="1395"/>
    </row>
    <row r="122" spans="1:49" x14ac:dyDescent="0.3">
      <c r="A122" s="1390">
        <v>46176</v>
      </c>
      <c r="B122" s="52"/>
      <c r="C122" s="50"/>
      <c r="D122" s="1375"/>
      <c r="E122" s="1381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98"/>
      <c r="AW122" s="1398"/>
    </row>
    <row r="123" spans="1:49" x14ac:dyDescent="0.3">
      <c r="A123" s="1390"/>
      <c r="B123" s="53"/>
      <c r="C123" s="50"/>
      <c r="D123" s="1376"/>
      <c r="E123" s="1382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97"/>
      <c r="AW123" s="1397"/>
    </row>
    <row r="124" spans="1:49" x14ac:dyDescent="0.3">
      <c r="A124" s="1390"/>
      <c r="B124" s="53"/>
      <c r="C124" s="50"/>
      <c r="D124" s="1376"/>
      <c r="E124" s="1382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97"/>
      <c r="AW124" s="1397"/>
    </row>
    <row r="125" spans="1:49" x14ac:dyDescent="0.3">
      <c r="A125" s="1390"/>
      <c r="B125" s="54"/>
      <c r="C125" s="50"/>
      <c r="D125" s="1377"/>
      <c r="E125" s="1383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97"/>
      <c r="AW125" s="1397"/>
    </row>
    <row r="126" spans="1:49" x14ac:dyDescent="0.3">
      <c r="A126" s="1390">
        <v>46177</v>
      </c>
      <c r="B126" s="52"/>
      <c r="C126" s="50"/>
      <c r="D126" s="1375"/>
      <c r="E126" s="1381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97"/>
      <c r="AW126" s="1397"/>
    </row>
    <row r="127" spans="1:49" x14ac:dyDescent="0.3">
      <c r="A127" s="1390"/>
      <c r="B127" s="53"/>
      <c r="C127" s="50"/>
      <c r="D127" s="1376"/>
      <c r="E127" s="1382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97"/>
      <c r="AW127" s="1397"/>
    </row>
    <row r="128" spans="1:49" x14ac:dyDescent="0.3">
      <c r="A128" s="1390"/>
      <c r="B128" s="53"/>
      <c r="C128" s="50"/>
      <c r="D128" s="1376"/>
      <c r="E128" s="1382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97"/>
      <c r="AW128" s="1397"/>
    </row>
    <row r="129" spans="1:49" x14ac:dyDescent="0.3">
      <c r="A129" s="1390"/>
      <c r="B129" s="54"/>
      <c r="C129" s="50"/>
      <c r="D129" s="1377"/>
      <c r="E129" s="1383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95"/>
      <c r="AW129" s="1395"/>
    </row>
    <row r="130" spans="1:49" x14ac:dyDescent="0.3">
      <c r="A130" s="19"/>
      <c r="B130" s="19"/>
      <c r="C130" s="19"/>
      <c r="D130" s="1390"/>
      <c r="E130" s="1396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98"/>
      <c r="AW130" s="1398"/>
    </row>
    <row r="131" spans="1:49" x14ac:dyDescent="0.3">
      <c r="A131" s="19"/>
      <c r="B131" s="19"/>
      <c r="C131" s="19"/>
      <c r="D131" s="1395"/>
      <c r="E131" s="1397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97"/>
      <c r="AW131" s="1397"/>
    </row>
    <row r="132" spans="1:49" x14ac:dyDescent="0.3">
      <c r="A132" s="19"/>
      <c r="B132" s="19"/>
      <c r="C132" s="19"/>
      <c r="D132" s="1395"/>
      <c r="E132" s="1397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97"/>
      <c r="AW132" s="1397"/>
    </row>
    <row r="133" spans="1:49" x14ac:dyDescent="0.3">
      <c r="A133" s="19"/>
      <c r="B133" s="19"/>
      <c r="C133" s="19"/>
      <c r="D133" s="1395"/>
      <c r="E133" s="1397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97"/>
      <c r="AW133" s="1397"/>
    </row>
    <row r="134" spans="1:49" x14ac:dyDescent="0.3">
      <c r="A134" s="19"/>
      <c r="B134" s="19"/>
      <c r="C134" s="19"/>
      <c r="D134" s="1395"/>
      <c r="E134" s="1397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97"/>
      <c r="AW134" s="1397"/>
    </row>
    <row r="135" spans="1:49" x14ac:dyDescent="0.3">
      <c r="A135" s="19"/>
      <c r="B135" s="19"/>
      <c r="C135" s="19"/>
      <c r="D135" s="1395"/>
      <c r="E135" s="1397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97"/>
      <c r="AW135" s="1397"/>
    </row>
    <row r="136" spans="1:49" x14ac:dyDescent="0.3">
      <c r="A136" s="19"/>
      <c r="B136" s="19"/>
      <c r="C136" s="19"/>
      <c r="D136" s="1395"/>
      <c r="E136" s="1397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97"/>
      <c r="AW136" s="1397"/>
    </row>
    <row r="137" spans="1:49" x14ac:dyDescent="0.3">
      <c r="A137" s="19"/>
      <c r="B137" s="19"/>
      <c r="C137" s="19"/>
      <c r="D137" s="1395"/>
      <c r="E137" s="1395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95"/>
      <c r="AW137" s="1395"/>
    </row>
    <row r="138" spans="1:49" x14ac:dyDescent="0.3">
      <c r="A138" s="19"/>
      <c r="B138" s="19"/>
      <c r="C138" s="19"/>
      <c r="D138" s="1390"/>
      <c r="E138" s="1396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98"/>
      <c r="AW138" s="1398"/>
    </row>
    <row r="139" spans="1:49" x14ac:dyDescent="0.3">
      <c r="A139" s="19"/>
      <c r="B139" s="19"/>
      <c r="C139" s="19"/>
      <c r="D139" s="1395"/>
      <c r="E139" s="1397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97"/>
      <c r="AW139" s="1397"/>
    </row>
    <row r="140" spans="1:49" x14ac:dyDescent="0.3">
      <c r="A140" s="19"/>
      <c r="B140" s="19"/>
      <c r="C140" s="19"/>
      <c r="D140" s="1395"/>
      <c r="E140" s="1397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97"/>
      <c r="AW140" s="1397"/>
    </row>
    <row r="141" spans="1:49" x14ac:dyDescent="0.3">
      <c r="A141" s="19"/>
      <c r="B141" s="19"/>
      <c r="C141" s="19"/>
      <c r="D141" s="1395"/>
      <c r="E141" s="1397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97"/>
      <c r="AW141" s="1397"/>
    </row>
    <row r="142" spans="1:49" x14ac:dyDescent="0.3">
      <c r="A142" s="19"/>
      <c r="B142" s="19"/>
      <c r="C142" s="19"/>
      <c r="D142" s="1395"/>
      <c r="E142" s="1397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97"/>
      <c r="AW142" s="1397"/>
    </row>
    <row r="143" spans="1:49" x14ac:dyDescent="0.3">
      <c r="A143" s="19"/>
      <c r="B143" s="19"/>
      <c r="C143" s="19"/>
      <c r="D143" s="1395"/>
      <c r="E143" s="1397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97"/>
      <c r="AW143" s="1397"/>
    </row>
    <row r="144" spans="1:49" x14ac:dyDescent="0.3">
      <c r="A144" s="19"/>
      <c r="B144" s="19"/>
      <c r="C144" s="19"/>
      <c r="D144" s="1395"/>
      <c r="E144" s="1397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97"/>
      <c r="AW144" s="1397"/>
    </row>
    <row r="145" spans="1:49" x14ac:dyDescent="0.3">
      <c r="A145" s="19"/>
      <c r="B145" s="19"/>
      <c r="C145" s="19"/>
      <c r="D145" s="1395"/>
      <c r="E145" s="1395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95"/>
      <c r="AW145" s="1395"/>
    </row>
    <row r="146" spans="1:49" x14ac:dyDescent="0.3">
      <c r="A146" s="19"/>
      <c r="B146" s="19"/>
      <c r="C146" s="19"/>
      <c r="D146" s="1390"/>
      <c r="E146" s="1396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98"/>
      <c r="AW146" s="1398"/>
    </row>
    <row r="147" spans="1:49" x14ac:dyDescent="0.3">
      <c r="A147" s="19"/>
      <c r="B147" s="19"/>
      <c r="C147" s="19"/>
      <c r="D147" s="1395"/>
      <c r="E147" s="1397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97"/>
      <c r="AW147" s="1397"/>
    </row>
    <row r="148" spans="1:49" x14ac:dyDescent="0.3">
      <c r="A148" s="19"/>
      <c r="B148" s="19"/>
      <c r="C148" s="19"/>
      <c r="D148" s="1395"/>
      <c r="E148" s="1397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97"/>
      <c r="AW148" s="1397"/>
    </row>
    <row r="149" spans="1:49" x14ac:dyDescent="0.3">
      <c r="A149" s="19"/>
      <c r="B149" s="19"/>
      <c r="C149" s="19"/>
      <c r="D149" s="1395"/>
      <c r="E149" s="1397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97"/>
      <c r="AW149" s="1397"/>
    </row>
    <row r="150" spans="1:49" x14ac:dyDescent="0.3">
      <c r="A150" s="19"/>
      <c r="B150" s="19"/>
      <c r="C150" s="19"/>
      <c r="D150" s="1395"/>
      <c r="E150" s="1397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97"/>
      <c r="AW150" s="1397"/>
    </row>
    <row r="151" spans="1:49" x14ac:dyDescent="0.3">
      <c r="A151" s="19"/>
      <c r="B151" s="19"/>
      <c r="C151" s="19"/>
      <c r="D151" s="1395"/>
      <c r="E151" s="1397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97"/>
      <c r="AW151" s="1397"/>
    </row>
    <row r="152" spans="1:49" x14ac:dyDescent="0.3">
      <c r="A152" s="19"/>
      <c r="B152" s="19"/>
      <c r="C152" s="19"/>
      <c r="D152" s="1395"/>
      <c r="E152" s="1397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97"/>
      <c r="AW152" s="1397"/>
    </row>
    <row r="153" spans="1:49" x14ac:dyDescent="0.3">
      <c r="A153" s="19"/>
      <c r="B153" s="19"/>
      <c r="C153" s="19"/>
      <c r="D153" s="1395"/>
      <c r="E153" s="1395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95"/>
      <c r="AW153" s="1395"/>
    </row>
    <row r="154" spans="1:49" x14ac:dyDescent="0.3">
      <c r="A154" s="19"/>
      <c r="B154" s="19"/>
      <c r="C154" s="19"/>
      <c r="D154" s="1390"/>
      <c r="E154" s="1396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98"/>
      <c r="AW154" s="1398"/>
    </row>
    <row r="155" spans="1:49" x14ac:dyDescent="0.3">
      <c r="A155" s="19"/>
      <c r="B155" s="19"/>
      <c r="C155" s="19"/>
      <c r="D155" s="1395"/>
      <c r="E155" s="1397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97"/>
      <c r="AW155" s="1397"/>
    </row>
    <row r="156" spans="1:49" x14ac:dyDescent="0.3">
      <c r="A156" s="19"/>
      <c r="B156" s="19"/>
      <c r="C156" s="19"/>
      <c r="D156" s="1395"/>
      <c r="E156" s="1397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97"/>
      <c r="AW156" s="1397"/>
    </row>
    <row r="157" spans="1:49" x14ac:dyDescent="0.3">
      <c r="A157" s="19"/>
      <c r="B157" s="19"/>
      <c r="C157" s="19"/>
      <c r="D157" s="1395"/>
      <c r="E157" s="1397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97"/>
      <c r="AW157" s="1397"/>
    </row>
    <row r="158" spans="1:49" x14ac:dyDescent="0.3">
      <c r="A158" s="19"/>
      <c r="B158" s="19"/>
      <c r="C158" s="19"/>
      <c r="D158" s="1395"/>
      <c r="E158" s="1397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97"/>
      <c r="AW158" s="1397"/>
    </row>
    <row r="159" spans="1:49" x14ac:dyDescent="0.3">
      <c r="A159" s="19"/>
      <c r="B159" s="19"/>
      <c r="C159" s="19"/>
      <c r="D159" s="1395"/>
      <c r="E159" s="1397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97"/>
      <c r="AW159" s="1397"/>
    </row>
    <row r="160" spans="1:49" x14ac:dyDescent="0.3">
      <c r="A160" s="19"/>
      <c r="B160" s="19"/>
      <c r="C160" s="19"/>
      <c r="D160" s="1395"/>
      <c r="E160" s="1397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97"/>
      <c r="AW160" s="1397"/>
    </row>
    <row r="161" spans="1:49" x14ac:dyDescent="0.3">
      <c r="A161" s="19"/>
      <c r="B161" s="19"/>
      <c r="C161" s="19"/>
      <c r="D161" s="1395"/>
      <c r="E161" s="1395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95"/>
      <c r="AW161" s="1395"/>
    </row>
    <row r="162" spans="1:49" x14ac:dyDescent="0.3">
      <c r="A162" s="19"/>
      <c r="B162" s="19"/>
      <c r="C162" s="19"/>
      <c r="D162" s="1390"/>
      <c r="E162" s="1396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98"/>
      <c r="AW162" s="1398"/>
    </row>
    <row r="163" spans="1:49" x14ac:dyDescent="0.3">
      <c r="A163" s="19"/>
      <c r="B163" s="19"/>
      <c r="C163" s="19"/>
      <c r="D163" s="1395"/>
      <c r="E163" s="1397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97"/>
      <c r="AW163" s="1397"/>
    </row>
    <row r="164" spans="1:49" x14ac:dyDescent="0.3">
      <c r="A164" s="19"/>
      <c r="B164" s="19"/>
      <c r="C164" s="19"/>
      <c r="D164" s="1395"/>
      <c r="E164" s="1397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97"/>
      <c r="AW164" s="1397"/>
    </row>
    <row r="165" spans="1:49" x14ac:dyDescent="0.3">
      <c r="A165" s="19"/>
      <c r="B165" s="19"/>
      <c r="C165" s="19"/>
      <c r="D165" s="1395"/>
      <c r="E165" s="1397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97"/>
      <c r="AW165" s="1397"/>
    </row>
    <row r="166" spans="1:49" x14ac:dyDescent="0.3">
      <c r="A166" s="19"/>
      <c r="B166" s="19"/>
      <c r="C166" s="19"/>
      <c r="D166" s="1395"/>
      <c r="E166" s="1397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97"/>
      <c r="AW166" s="1397"/>
    </row>
    <row r="167" spans="1:49" x14ac:dyDescent="0.3">
      <c r="A167" s="19"/>
      <c r="B167" s="19"/>
      <c r="C167" s="19"/>
      <c r="D167" s="1395"/>
      <c r="E167" s="1397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97"/>
      <c r="AW167" s="1397"/>
    </row>
    <row r="168" spans="1:49" x14ac:dyDescent="0.3">
      <c r="A168" s="19"/>
      <c r="B168" s="19"/>
      <c r="C168" s="19"/>
      <c r="D168" s="1395"/>
      <c r="E168" s="1397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97"/>
      <c r="AW168" s="1397"/>
    </row>
    <row r="169" spans="1:49" x14ac:dyDescent="0.3">
      <c r="A169" s="19"/>
      <c r="B169" s="19"/>
      <c r="C169" s="19"/>
      <c r="D169" s="1395"/>
      <c r="E169" s="1395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95"/>
      <c r="AW169" s="1395"/>
    </row>
    <row r="170" spans="1:49" x14ac:dyDescent="0.3">
      <c r="A170" s="19"/>
      <c r="B170" s="19"/>
      <c r="C170" s="19"/>
      <c r="D170" s="1390"/>
      <c r="E170" s="1396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98"/>
      <c r="AW170" s="1398"/>
    </row>
    <row r="171" spans="1:49" x14ac:dyDescent="0.3">
      <c r="A171" s="19"/>
      <c r="B171" s="19"/>
      <c r="C171" s="19"/>
      <c r="D171" s="1395"/>
      <c r="E171" s="1397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97"/>
      <c r="AW171" s="1397"/>
    </row>
    <row r="172" spans="1:49" x14ac:dyDescent="0.3">
      <c r="A172" s="19"/>
      <c r="B172" s="19"/>
      <c r="C172" s="19"/>
      <c r="D172" s="1395"/>
      <c r="E172" s="1397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97"/>
      <c r="AW172" s="1397"/>
    </row>
    <row r="173" spans="1:49" x14ac:dyDescent="0.3">
      <c r="A173" s="19"/>
      <c r="B173" s="19"/>
      <c r="C173" s="19"/>
      <c r="D173" s="1395"/>
      <c r="E173" s="1397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97"/>
      <c r="AW173" s="1397"/>
    </row>
    <row r="174" spans="1:49" x14ac:dyDescent="0.3">
      <c r="A174" s="19"/>
      <c r="B174" s="19"/>
      <c r="C174" s="19"/>
      <c r="D174" s="1395"/>
      <c r="E174" s="1397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97"/>
      <c r="AW174" s="1397"/>
    </row>
    <row r="175" spans="1:49" x14ac:dyDescent="0.3">
      <c r="A175" s="19"/>
      <c r="B175" s="19"/>
      <c r="C175" s="19"/>
      <c r="D175" s="1395"/>
      <c r="E175" s="1397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97"/>
      <c r="AW175" s="1397"/>
    </row>
    <row r="176" spans="1:49" x14ac:dyDescent="0.3">
      <c r="A176" s="19"/>
      <c r="B176" s="19"/>
      <c r="C176" s="19"/>
      <c r="D176" s="1395"/>
      <c r="E176" s="1397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97"/>
      <c r="AW176" s="1397"/>
    </row>
    <row r="177" spans="1:49" x14ac:dyDescent="0.3">
      <c r="A177" s="19"/>
      <c r="B177" s="19"/>
      <c r="C177" s="19"/>
      <c r="D177" s="1395"/>
      <c r="E177" s="1395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95"/>
      <c r="AW177" s="1395"/>
    </row>
    <row r="178" spans="1:49" x14ac:dyDescent="0.3">
      <c r="A178" s="19"/>
      <c r="B178" s="19"/>
      <c r="C178" s="19"/>
      <c r="D178" s="1390"/>
      <c r="E178" s="1396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98"/>
      <c r="AW178" s="1398"/>
    </row>
    <row r="179" spans="1:49" x14ac:dyDescent="0.3">
      <c r="A179" s="19"/>
      <c r="B179" s="19"/>
      <c r="C179" s="19"/>
      <c r="D179" s="1395"/>
      <c r="E179" s="1397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97"/>
      <c r="AW179" s="1397"/>
    </row>
    <row r="180" spans="1:49" x14ac:dyDescent="0.3">
      <c r="A180" s="19"/>
      <c r="B180" s="19"/>
      <c r="C180" s="19"/>
      <c r="D180" s="1395"/>
      <c r="E180" s="1397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97"/>
      <c r="AW180" s="1397"/>
    </row>
    <row r="181" spans="1:49" x14ac:dyDescent="0.3">
      <c r="A181" s="19"/>
      <c r="B181" s="19"/>
      <c r="C181" s="19"/>
      <c r="D181" s="1395"/>
      <c r="E181" s="1397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97"/>
      <c r="AW181" s="1397"/>
    </row>
    <row r="182" spans="1:49" x14ac:dyDescent="0.3">
      <c r="A182" s="19"/>
      <c r="B182" s="19"/>
      <c r="C182" s="19"/>
      <c r="D182" s="1395"/>
      <c r="E182" s="1397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97"/>
      <c r="AW182" s="1397"/>
    </row>
    <row r="183" spans="1:49" x14ac:dyDescent="0.3">
      <c r="A183" s="19"/>
      <c r="B183" s="19"/>
      <c r="C183" s="19"/>
      <c r="D183" s="1395"/>
      <c r="E183" s="1397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97"/>
      <c r="AW183" s="1397"/>
    </row>
    <row r="184" spans="1:49" x14ac:dyDescent="0.3">
      <c r="A184" s="19"/>
      <c r="B184" s="19"/>
      <c r="C184" s="19"/>
      <c r="D184" s="1395"/>
      <c r="E184" s="1397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97"/>
      <c r="AW184" s="1397"/>
    </row>
    <row r="185" spans="1:49" x14ac:dyDescent="0.3">
      <c r="A185" s="19"/>
      <c r="B185" s="19"/>
      <c r="C185" s="19"/>
      <c r="D185" s="1395"/>
      <c r="E185" s="1395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95"/>
      <c r="AW185" s="1395"/>
    </row>
    <row r="186" spans="1:49" x14ac:dyDescent="0.3">
      <c r="A186" s="19"/>
      <c r="B186" s="19"/>
      <c r="C186" s="19"/>
      <c r="D186" s="1390"/>
      <c r="E186" s="1396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98"/>
      <c r="AW186" s="1398"/>
    </row>
    <row r="187" spans="1:49" x14ac:dyDescent="0.3">
      <c r="A187" s="19"/>
      <c r="B187" s="19"/>
      <c r="C187" s="19"/>
      <c r="D187" s="1395"/>
      <c r="E187" s="1397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97"/>
      <c r="AW187" s="1397"/>
    </row>
    <row r="188" spans="1:49" x14ac:dyDescent="0.3">
      <c r="A188" s="19"/>
      <c r="B188" s="19"/>
      <c r="C188" s="19"/>
      <c r="D188" s="1395"/>
      <c r="E188" s="1397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97"/>
      <c r="AW188" s="1397"/>
    </row>
    <row r="189" spans="1:49" x14ac:dyDescent="0.3">
      <c r="A189" s="19"/>
      <c r="B189" s="19"/>
      <c r="C189" s="19"/>
      <c r="D189" s="1395"/>
      <c r="E189" s="1397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97"/>
      <c r="AW189" s="1397"/>
    </row>
    <row r="190" spans="1:49" x14ac:dyDescent="0.3">
      <c r="A190" s="19"/>
      <c r="B190" s="19"/>
      <c r="C190" s="19"/>
      <c r="D190" s="1395"/>
      <c r="E190" s="1397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97"/>
      <c r="AW190" s="1397"/>
    </row>
    <row r="191" spans="1:49" x14ac:dyDescent="0.3">
      <c r="A191" s="19"/>
      <c r="B191" s="19"/>
      <c r="C191" s="19"/>
      <c r="D191" s="1395"/>
      <c r="E191" s="1397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97"/>
      <c r="AW191" s="1397"/>
    </row>
    <row r="192" spans="1:49" x14ac:dyDescent="0.3">
      <c r="A192" s="19"/>
      <c r="B192" s="19"/>
      <c r="C192" s="19"/>
      <c r="D192" s="1395"/>
      <c r="E192" s="1397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97"/>
      <c r="AW192" s="1397"/>
    </row>
    <row r="193" spans="1:49" x14ac:dyDescent="0.3">
      <c r="A193" s="19"/>
      <c r="B193" s="19"/>
      <c r="C193" s="19"/>
      <c r="D193" s="1395"/>
      <c r="E193" s="1395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95"/>
      <c r="AW193" s="1395"/>
    </row>
    <row r="194" spans="1:49" x14ac:dyDescent="0.3">
      <c r="A194" s="19"/>
      <c r="B194" s="19"/>
      <c r="C194" s="19"/>
      <c r="D194" s="1390"/>
      <c r="E194" s="1396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98"/>
      <c r="AW194" s="1398"/>
    </row>
    <row r="195" spans="1:49" x14ac:dyDescent="0.3">
      <c r="A195" s="19"/>
      <c r="B195" s="19"/>
      <c r="C195" s="19"/>
      <c r="D195" s="1395"/>
      <c r="E195" s="1397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97"/>
      <c r="AW195" s="1397"/>
    </row>
    <row r="196" spans="1:49" x14ac:dyDescent="0.3">
      <c r="A196" s="19"/>
      <c r="B196" s="19"/>
      <c r="C196" s="19"/>
      <c r="D196" s="1395"/>
      <c r="E196" s="1397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97"/>
      <c r="AW196" s="1397"/>
    </row>
    <row r="197" spans="1:49" x14ac:dyDescent="0.3">
      <c r="A197" s="19"/>
      <c r="B197" s="19"/>
      <c r="C197" s="19"/>
      <c r="D197" s="1395"/>
      <c r="E197" s="1397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97"/>
      <c r="AW197" s="1397"/>
    </row>
    <row r="198" spans="1:49" x14ac:dyDescent="0.3">
      <c r="A198" s="19"/>
      <c r="B198" s="19"/>
      <c r="C198" s="19"/>
      <c r="D198" s="1395"/>
      <c r="E198" s="1397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97"/>
      <c r="AW198" s="1397"/>
    </row>
    <row r="199" spans="1:49" x14ac:dyDescent="0.3">
      <c r="A199" s="19"/>
      <c r="B199" s="19"/>
      <c r="C199" s="19"/>
      <c r="D199" s="1395"/>
      <c r="E199" s="1397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97"/>
      <c r="AW199" s="1397"/>
    </row>
    <row r="200" spans="1:49" x14ac:dyDescent="0.3">
      <c r="A200" s="19"/>
      <c r="B200" s="19"/>
      <c r="C200" s="19"/>
      <c r="D200" s="1395"/>
      <c r="E200" s="1397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97"/>
      <c r="AW200" s="1397"/>
    </row>
    <row r="201" spans="1:49" x14ac:dyDescent="0.3">
      <c r="A201" s="19"/>
      <c r="B201" s="19"/>
      <c r="C201" s="19"/>
      <c r="D201" s="1395"/>
      <c r="E201" s="1395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95"/>
      <c r="AW201" s="1395"/>
    </row>
    <row r="202" spans="1:49" x14ac:dyDescent="0.3">
      <c r="A202" s="19"/>
      <c r="B202" s="19"/>
      <c r="C202" s="19"/>
      <c r="D202" s="1390"/>
      <c r="E202" s="1396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98"/>
      <c r="AW202" s="1398"/>
    </row>
    <row r="203" spans="1:49" x14ac:dyDescent="0.3">
      <c r="A203" s="19"/>
      <c r="B203" s="19"/>
      <c r="C203" s="19"/>
      <c r="D203" s="1395"/>
      <c r="E203" s="1397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97"/>
      <c r="AW203" s="1397"/>
    </row>
    <row r="204" spans="1:49" x14ac:dyDescent="0.3">
      <c r="A204" s="19"/>
      <c r="B204" s="19"/>
      <c r="C204" s="19"/>
      <c r="D204" s="1395"/>
      <c r="E204" s="1397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97"/>
      <c r="AW204" s="1397"/>
    </row>
    <row r="205" spans="1:49" x14ac:dyDescent="0.3">
      <c r="A205" s="19"/>
      <c r="B205" s="19"/>
      <c r="C205" s="19"/>
      <c r="D205" s="1395"/>
      <c r="E205" s="1397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97"/>
      <c r="AW205" s="1397"/>
    </row>
    <row r="206" spans="1:49" x14ac:dyDescent="0.3">
      <c r="A206" s="19"/>
      <c r="B206" s="19"/>
      <c r="C206" s="19"/>
      <c r="D206" s="1395"/>
      <c r="E206" s="1397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97"/>
      <c r="AW206" s="1397"/>
    </row>
    <row r="207" spans="1:49" x14ac:dyDescent="0.3">
      <c r="A207" s="19"/>
      <c r="B207" s="19"/>
      <c r="C207" s="19"/>
      <c r="D207" s="1395"/>
      <c r="E207" s="1397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97"/>
      <c r="AW207" s="1397"/>
    </row>
    <row r="208" spans="1:49" x14ac:dyDescent="0.3">
      <c r="A208" s="19"/>
      <c r="B208" s="19"/>
      <c r="C208" s="19"/>
      <c r="D208" s="1395"/>
      <c r="E208" s="1397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97"/>
      <c r="AW208" s="1397"/>
    </row>
    <row r="209" spans="1:49" x14ac:dyDescent="0.3">
      <c r="A209" s="19"/>
      <c r="B209" s="19"/>
      <c r="C209" s="19"/>
      <c r="D209" s="1395"/>
      <c r="E209" s="1395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95"/>
      <c r="AW209" s="1395"/>
    </row>
    <row r="210" spans="1:49" x14ac:dyDescent="0.3">
      <c r="A210" s="19"/>
      <c r="B210" s="19"/>
      <c r="C210" s="19"/>
      <c r="D210" s="1390"/>
      <c r="E210" s="1396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98"/>
      <c r="AW210" s="1398"/>
    </row>
    <row r="211" spans="1:49" x14ac:dyDescent="0.3">
      <c r="A211" s="19"/>
      <c r="B211" s="19"/>
      <c r="C211" s="19"/>
      <c r="D211" s="1395"/>
      <c r="E211" s="1397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97"/>
      <c r="AW211" s="1397"/>
    </row>
    <row r="212" spans="1:49" x14ac:dyDescent="0.3">
      <c r="A212" s="19"/>
      <c r="B212" s="19"/>
      <c r="C212" s="19"/>
      <c r="D212" s="1395"/>
      <c r="E212" s="1397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97"/>
      <c r="AW212" s="1397"/>
    </row>
    <row r="213" spans="1:49" x14ac:dyDescent="0.3">
      <c r="A213" s="19"/>
      <c r="B213" s="19"/>
      <c r="C213" s="19"/>
      <c r="D213" s="1395"/>
      <c r="E213" s="1397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97"/>
      <c r="AW213" s="1397"/>
    </row>
    <row r="214" spans="1:49" x14ac:dyDescent="0.3">
      <c r="A214" s="19"/>
      <c r="B214" s="19"/>
      <c r="C214" s="19"/>
      <c r="D214" s="1395"/>
      <c r="E214" s="1397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97"/>
      <c r="AW214" s="1397"/>
    </row>
    <row r="215" spans="1:49" x14ac:dyDescent="0.3">
      <c r="A215" s="19"/>
      <c r="B215" s="19"/>
      <c r="C215" s="19"/>
      <c r="D215" s="1395"/>
      <c r="E215" s="1397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97"/>
      <c r="AW215" s="1397"/>
    </row>
    <row r="216" spans="1:49" x14ac:dyDescent="0.3">
      <c r="A216" s="19"/>
      <c r="B216" s="19"/>
      <c r="C216" s="19"/>
      <c r="D216" s="1395"/>
      <c r="E216" s="1397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97"/>
      <c r="AW216" s="1397"/>
    </row>
    <row r="217" spans="1:49" x14ac:dyDescent="0.3">
      <c r="A217" s="19"/>
      <c r="B217" s="19"/>
      <c r="C217" s="19"/>
      <c r="D217" s="1395"/>
      <c r="E217" s="1395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95"/>
      <c r="AW217" s="1395"/>
    </row>
    <row r="218" spans="1:49" x14ac:dyDescent="0.3">
      <c r="A218" s="19"/>
      <c r="B218" s="19"/>
      <c r="C218" s="19"/>
      <c r="D218" s="1390"/>
      <c r="E218" s="1396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98"/>
      <c r="AW218" s="1398"/>
    </row>
    <row r="219" spans="1:49" x14ac:dyDescent="0.3">
      <c r="A219" s="19"/>
      <c r="B219" s="19"/>
      <c r="C219" s="19"/>
      <c r="D219" s="1395"/>
      <c r="E219" s="1397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97"/>
      <c r="AW219" s="1397"/>
    </row>
    <row r="220" spans="1:49" x14ac:dyDescent="0.3">
      <c r="A220" s="19"/>
      <c r="B220" s="19"/>
      <c r="C220" s="19"/>
      <c r="D220" s="1395"/>
      <c r="E220" s="1397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97"/>
      <c r="AW220" s="1397"/>
    </row>
    <row r="221" spans="1:49" x14ac:dyDescent="0.3">
      <c r="A221" s="19"/>
      <c r="B221" s="19"/>
      <c r="C221" s="19"/>
      <c r="D221" s="1395"/>
      <c r="E221" s="1397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97"/>
      <c r="AW221" s="1397"/>
    </row>
    <row r="222" spans="1:49" x14ac:dyDescent="0.3">
      <c r="A222" s="19"/>
      <c r="B222" s="19"/>
      <c r="C222" s="19"/>
      <c r="D222" s="1395"/>
      <c r="E222" s="1397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97"/>
      <c r="AW222" s="1397"/>
    </row>
    <row r="223" spans="1:49" x14ac:dyDescent="0.3">
      <c r="A223" s="19"/>
      <c r="B223" s="19"/>
      <c r="C223" s="19"/>
      <c r="D223" s="1395"/>
      <c r="E223" s="1397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97"/>
      <c r="AW223" s="1397"/>
    </row>
    <row r="224" spans="1:49" x14ac:dyDescent="0.3">
      <c r="A224" s="19"/>
      <c r="B224" s="19"/>
      <c r="C224" s="19"/>
      <c r="D224" s="1395"/>
      <c r="E224" s="1397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97"/>
      <c r="AW224" s="1397"/>
    </row>
    <row r="225" spans="1:49" x14ac:dyDescent="0.3">
      <c r="A225" s="19"/>
      <c r="B225" s="19"/>
      <c r="C225" s="19"/>
      <c r="D225" s="1395"/>
      <c r="E225" s="1395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95"/>
      <c r="AW225" s="1395"/>
    </row>
    <row r="226" spans="1:49" x14ac:dyDescent="0.3">
      <c r="A226" s="19"/>
      <c r="B226" s="19"/>
      <c r="C226" s="19"/>
      <c r="D226" s="1390"/>
      <c r="E226" s="1396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98"/>
      <c r="AW226" s="1398"/>
    </row>
    <row r="227" spans="1:49" x14ac:dyDescent="0.3">
      <c r="A227" s="19"/>
      <c r="B227" s="19"/>
      <c r="C227" s="19"/>
      <c r="D227" s="1395"/>
      <c r="E227" s="1397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97"/>
      <c r="AW227" s="1397"/>
    </row>
    <row r="228" spans="1:49" x14ac:dyDescent="0.3">
      <c r="A228" s="19"/>
      <c r="B228" s="19"/>
      <c r="C228" s="19"/>
      <c r="D228" s="1395"/>
      <c r="E228" s="1397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97"/>
      <c r="AW228" s="1397"/>
    </row>
    <row r="229" spans="1:49" x14ac:dyDescent="0.3">
      <c r="A229" s="19"/>
      <c r="B229" s="19"/>
      <c r="C229" s="19"/>
      <c r="D229" s="1395"/>
      <c r="E229" s="1397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97"/>
      <c r="AW229" s="1397"/>
    </row>
    <row r="230" spans="1:49" x14ac:dyDescent="0.3">
      <c r="A230" s="19"/>
      <c r="B230" s="19"/>
      <c r="C230" s="19"/>
      <c r="D230" s="1395"/>
      <c r="E230" s="1397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97"/>
      <c r="AW230" s="1397"/>
    </row>
    <row r="231" spans="1:49" x14ac:dyDescent="0.3">
      <c r="A231" s="19"/>
      <c r="B231" s="19"/>
      <c r="C231" s="19"/>
      <c r="D231" s="1395"/>
      <c r="E231" s="1397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97"/>
      <c r="AW231" s="1397"/>
    </row>
    <row r="232" spans="1:49" x14ac:dyDescent="0.3">
      <c r="A232" s="19"/>
      <c r="B232" s="19"/>
      <c r="C232" s="19"/>
      <c r="D232" s="1395"/>
      <c r="E232" s="1397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97"/>
      <c r="AW232" s="1397"/>
    </row>
    <row r="233" spans="1:49" x14ac:dyDescent="0.3">
      <c r="A233" s="19"/>
      <c r="B233" s="19"/>
      <c r="C233" s="19"/>
      <c r="D233" s="1395"/>
      <c r="E233" s="1395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95"/>
      <c r="AW233" s="1395"/>
    </row>
    <row r="234" spans="1:49" x14ac:dyDescent="0.3">
      <c r="A234" s="19"/>
      <c r="B234" s="19"/>
      <c r="C234" s="19"/>
      <c r="D234" s="1390"/>
      <c r="E234" s="1396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98"/>
      <c r="AW234" s="1398"/>
    </row>
    <row r="235" spans="1:49" x14ac:dyDescent="0.3">
      <c r="A235" s="19"/>
      <c r="B235" s="19"/>
      <c r="C235" s="19"/>
      <c r="D235" s="1395"/>
      <c r="E235" s="1397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97"/>
      <c r="AW235" s="1397"/>
    </row>
    <row r="236" spans="1:49" x14ac:dyDescent="0.3">
      <c r="A236" s="19"/>
      <c r="B236" s="19"/>
      <c r="C236" s="19"/>
      <c r="D236" s="1395"/>
      <c r="E236" s="1397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97"/>
      <c r="AW236" s="1397"/>
    </row>
    <row r="237" spans="1:49" x14ac:dyDescent="0.3">
      <c r="A237" s="19"/>
      <c r="B237" s="19"/>
      <c r="C237" s="19"/>
      <c r="D237" s="1395"/>
      <c r="E237" s="1397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97"/>
      <c r="AW237" s="1397"/>
    </row>
    <row r="238" spans="1:49" x14ac:dyDescent="0.3">
      <c r="A238" s="19"/>
      <c r="B238" s="19"/>
      <c r="C238" s="19"/>
      <c r="D238" s="1395"/>
      <c r="E238" s="1397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97"/>
      <c r="AW238" s="1397"/>
    </row>
    <row r="239" spans="1:49" x14ac:dyDescent="0.3">
      <c r="A239" s="19"/>
      <c r="B239" s="19"/>
      <c r="C239" s="19"/>
      <c r="D239" s="1395"/>
      <c r="E239" s="1397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97"/>
      <c r="AW239" s="1397"/>
    </row>
    <row r="240" spans="1:49" x14ac:dyDescent="0.3">
      <c r="A240" s="19"/>
      <c r="B240" s="19"/>
      <c r="C240" s="19"/>
      <c r="D240" s="1395"/>
      <c r="E240" s="1397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97"/>
      <c r="AW240" s="1397"/>
    </row>
    <row r="241" spans="1:49" x14ac:dyDescent="0.3">
      <c r="A241" s="19"/>
      <c r="B241" s="19"/>
      <c r="C241" s="19"/>
      <c r="D241" s="1395"/>
      <c r="E241" s="1395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95"/>
      <c r="AW241" s="1395"/>
    </row>
    <row r="242" spans="1:49" x14ac:dyDescent="0.3">
      <c r="A242" s="19"/>
      <c r="B242" s="19"/>
      <c r="C242" s="19"/>
      <c r="D242" s="1390"/>
      <c r="E242" s="1396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98"/>
      <c r="AW242" s="1398"/>
    </row>
    <row r="243" spans="1:49" x14ac:dyDescent="0.3">
      <c r="A243" s="19"/>
      <c r="B243" s="19"/>
      <c r="C243" s="19"/>
      <c r="D243" s="1395"/>
      <c r="E243" s="1397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97"/>
      <c r="AW243" s="1397"/>
    </row>
    <row r="244" spans="1:49" x14ac:dyDescent="0.3">
      <c r="A244" s="19"/>
      <c r="B244" s="19"/>
      <c r="C244" s="19"/>
      <c r="D244" s="1395"/>
      <c r="E244" s="1397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97"/>
      <c r="AW244" s="1397"/>
    </row>
    <row r="245" spans="1:49" x14ac:dyDescent="0.3">
      <c r="A245" s="19"/>
      <c r="B245" s="19"/>
      <c r="C245" s="19"/>
      <c r="D245" s="1395"/>
      <c r="E245" s="1397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97"/>
      <c r="AW245" s="1397"/>
    </row>
    <row r="246" spans="1:49" x14ac:dyDescent="0.3">
      <c r="A246" s="19"/>
      <c r="B246" s="19"/>
      <c r="C246" s="19"/>
      <c r="D246" s="1395"/>
      <c r="E246" s="1397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97"/>
      <c r="AW246" s="1397"/>
    </row>
    <row r="247" spans="1:49" x14ac:dyDescent="0.3">
      <c r="A247" s="19"/>
      <c r="B247" s="19"/>
      <c r="C247" s="19"/>
      <c r="D247" s="1395"/>
      <c r="E247" s="1397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97"/>
      <c r="AW247" s="1397"/>
    </row>
    <row r="248" spans="1:49" x14ac:dyDescent="0.3">
      <c r="A248" s="19"/>
      <c r="B248" s="19"/>
      <c r="C248" s="19"/>
      <c r="D248" s="1395"/>
      <c r="E248" s="1397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97"/>
      <c r="AW248" s="1397"/>
    </row>
    <row r="249" spans="1:49" x14ac:dyDescent="0.3">
      <c r="A249" s="19"/>
      <c r="B249" s="19"/>
      <c r="C249" s="19"/>
      <c r="D249" s="1395"/>
      <c r="E249" s="1395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95"/>
      <c r="AW249" s="1395"/>
    </row>
    <row r="250" spans="1:49" x14ac:dyDescent="0.3">
      <c r="A250" s="19"/>
      <c r="B250" s="19"/>
      <c r="C250" s="19"/>
      <c r="D250" s="1390"/>
      <c r="E250" s="1396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98"/>
      <c r="AW250" s="1398"/>
    </row>
    <row r="251" spans="1:49" x14ac:dyDescent="0.3">
      <c r="A251" s="19"/>
      <c r="B251" s="19"/>
      <c r="C251" s="19"/>
      <c r="D251" s="1395"/>
      <c r="E251" s="1397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97"/>
      <c r="AW251" s="1397"/>
    </row>
    <row r="252" spans="1:49" x14ac:dyDescent="0.3">
      <c r="A252" s="19"/>
      <c r="B252" s="19"/>
      <c r="C252" s="19"/>
      <c r="D252" s="1395"/>
      <c r="E252" s="1397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97"/>
      <c r="AW252" s="1397"/>
    </row>
    <row r="253" spans="1:49" x14ac:dyDescent="0.3">
      <c r="A253" s="19"/>
      <c r="B253" s="19"/>
      <c r="C253" s="19"/>
      <c r="D253" s="1395"/>
      <c r="E253" s="1397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97"/>
      <c r="AW253" s="1397"/>
    </row>
    <row r="254" spans="1:49" x14ac:dyDescent="0.3">
      <c r="A254" s="19"/>
      <c r="B254" s="19"/>
      <c r="C254" s="19"/>
      <c r="D254" s="1395"/>
      <c r="E254" s="1397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97"/>
      <c r="AW254" s="1397"/>
    </row>
    <row r="255" spans="1:49" x14ac:dyDescent="0.3">
      <c r="A255" s="19"/>
      <c r="B255" s="19"/>
      <c r="C255" s="19"/>
      <c r="D255" s="1395"/>
      <c r="E255" s="1397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97"/>
      <c r="AW255" s="1397"/>
    </row>
    <row r="256" spans="1:49" x14ac:dyDescent="0.3">
      <c r="A256" s="19"/>
      <c r="B256" s="19"/>
      <c r="C256" s="19"/>
      <c r="D256" s="1395"/>
      <c r="E256" s="1397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97"/>
      <c r="AW256" s="1397"/>
    </row>
    <row r="257" spans="1:49" x14ac:dyDescent="0.3">
      <c r="A257" s="19"/>
      <c r="B257" s="19"/>
      <c r="C257" s="19"/>
      <c r="D257" s="1395"/>
      <c r="E257" s="1395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95"/>
      <c r="AW257" s="1395"/>
    </row>
    <row r="258" spans="1:49" x14ac:dyDescent="0.3">
      <c r="A258" s="19"/>
      <c r="B258" s="19"/>
      <c r="C258" s="19"/>
      <c r="D258" s="1390"/>
      <c r="E258" s="1396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98"/>
      <c r="AW258" s="1398"/>
    </row>
    <row r="259" spans="1:49" x14ac:dyDescent="0.3">
      <c r="A259" s="19"/>
      <c r="B259" s="19"/>
      <c r="C259" s="19"/>
      <c r="D259" s="1395"/>
      <c r="E259" s="1397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97"/>
      <c r="AW259" s="1397"/>
    </row>
    <row r="260" spans="1:49" x14ac:dyDescent="0.3">
      <c r="A260" s="19"/>
      <c r="B260" s="19"/>
      <c r="C260" s="19"/>
      <c r="D260" s="1395"/>
      <c r="E260" s="1397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97"/>
      <c r="AW260" s="1397"/>
    </row>
    <row r="261" spans="1:49" x14ac:dyDescent="0.3">
      <c r="A261" s="19"/>
      <c r="B261" s="19"/>
      <c r="C261" s="19"/>
      <c r="D261" s="1395"/>
      <c r="E261" s="1397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97"/>
      <c r="AW261" s="1397"/>
    </row>
    <row r="262" spans="1:49" x14ac:dyDescent="0.3">
      <c r="A262" s="19"/>
      <c r="B262" s="19"/>
      <c r="C262" s="19"/>
      <c r="D262" s="1395"/>
      <c r="E262" s="1397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97"/>
      <c r="AW262" s="1397"/>
    </row>
    <row r="263" spans="1:49" x14ac:dyDescent="0.3">
      <c r="A263" s="19"/>
      <c r="B263" s="19"/>
      <c r="C263" s="19"/>
      <c r="D263" s="1395"/>
      <c r="E263" s="1397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97"/>
      <c r="AW263" s="1397"/>
    </row>
    <row r="264" spans="1:49" x14ac:dyDescent="0.3">
      <c r="A264" s="19"/>
      <c r="B264" s="19"/>
      <c r="C264" s="19"/>
      <c r="D264" s="1395"/>
      <c r="E264" s="1397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97"/>
      <c r="AW264" s="1397"/>
    </row>
    <row r="265" spans="1:49" x14ac:dyDescent="0.3">
      <c r="A265" s="19"/>
      <c r="B265" s="19"/>
      <c r="C265" s="19"/>
      <c r="D265" s="1395"/>
      <c r="E265" s="1395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95"/>
      <c r="AW265" s="1395"/>
    </row>
    <row r="266" spans="1:49" x14ac:dyDescent="0.3">
      <c r="A266" s="19"/>
      <c r="B266" s="19"/>
      <c r="C266" s="19"/>
      <c r="D266" s="1390"/>
      <c r="E266" s="1396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98"/>
      <c r="AW266" s="1398"/>
    </row>
    <row r="267" spans="1:49" x14ac:dyDescent="0.3">
      <c r="A267" s="19"/>
      <c r="B267" s="19"/>
      <c r="C267" s="19"/>
      <c r="D267" s="1395"/>
      <c r="E267" s="1397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97"/>
      <c r="AW267" s="1397"/>
    </row>
    <row r="268" spans="1:49" x14ac:dyDescent="0.3">
      <c r="A268" s="19"/>
      <c r="B268" s="19"/>
      <c r="C268" s="19"/>
      <c r="D268" s="1395"/>
      <c r="E268" s="1397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97"/>
      <c r="AW268" s="1397"/>
    </row>
    <row r="269" spans="1:49" x14ac:dyDescent="0.3">
      <c r="A269" s="19"/>
      <c r="B269" s="19"/>
      <c r="C269" s="19"/>
      <c r="D269" s="1395"/>
      <c r="E269" s="1397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97"/>
      <c r="AW269" s="1397"/>
    </row>
    <row r="270" spans="1:49" x14ac:dyDescent="0.3">
      <c r="A270" s="19"/>
      <c r="B270" s="19"/>
      <c r="C270" s="19"/>
      <c r="D270" s="1395"/>
      <c r="E270" s="1397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97"/>
      <c r="AW270" s="1397"/>
    </row>
    <row r="271" spans="1:49" x14ac:dyDescent="0.3">
      <c r="A271" s="19"/>
      <c r="B271" s="19"/>
      <c r="C271" s="19"/>
      <c r="D271" s="1395"/>
      <c r="E271" s="1397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97"/>
      <c r="AW271" s="1397"/>
    </row>
    <row r="272" spans="1:49" x14ac:dyDescent="0.3">
      <c r="A272" s="19"/>
      <c r="B272" s="19"/>
      <c r="C272" s="19"/>
      <c r="D272" s="1395"/>
      <c r="E272" s="1397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97"/>
      <c r="AW272" s="1397"/>
    </row>
    <row r="273" spans="1:49" x14ac:dyDescent="0.3">
      <c r="A273" s="19"/>
      <c r="B273" s="19"/>
      <c r="C273" s="19"/>
      <c r="D273" s="1395"/>
      <c r="E273" s="1395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95"/>
      <c r="AW273" s="1395"/>
    </row>
    <row r="274" spans="1:49" x14ac:dyDescent="0.3">
      <c r="A274" s="19"/>
      <c r="B274" s="19"/>
      <c r="C274" s="19"/>
      <c r="D274" s="1390"/>
      <c r="E274" s="1396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98"/>
      <c r="AW274" s="1398"/>
    </row>
    <row r="275" spans="1:49" x14ac:dyDescent="0.3">
      <c r="A275" s="19"/>
      <c r="B275" s="19"/>
      <c r="C275" s="19"/>
      <c r="D275" s="1395"/>
      <c r="E275" s="1397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97"/>
      <c r="AW275" s="1397"/>
    </row>
    <row r="276" spans="1:49" x14ac:dyDescent="0.3">
      <c r="A276" s="19"/>
      <c r="B276" s="19"/>
      <c r="C276" s="19"/>
      <c r="D276" s="1395"/>
      <c r="E276" s="1397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97"/>
      <c r="AW276" s="1397"/>
    </row>
    <row r="277" spans="1:49" x14ac:dyDescent="0.3">
      <c r="A277" s="19"/>
      <c r="B277" s="19"/>
      <c r="C277" s="19"/>
      <c r="D277" s="1395"/>
      <c r="E277" s="1397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97"/>
      <c r="AW277" s="1397"/>
    </row>
    <row r="278" spans="1:49" x14ac:dyDescent="0.3">
      <c r="A278" s="19"/>
      <c r="B278" s="19"/>
      <c r="C278" s="19"/>
      <c r="D278" s="1395"/>
      <c r="E278" s="1397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97"/>
      <c r="AW278" s="1397"/>
    </row>
    <row r="279" spans="1:49" x14ac:dyDescent="0.3">
      <c r="A279" s="19"/>
      <c r="B279" s="19"/>
      <c r="C279" s="19"/>
      <c r="D279" s="1395"/>
      <c r="E279" s="1397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97"/>
      <c r="AW279" s="1397"/>
    </row>
    <row r="280" spans="1:49" x14ac:dyDescent="0.3">
      <c r="A280" s="19"/>
      <c r="B280" s="19"/>
      <c r="C280" s="19"/>
      <c r="D280" s="1395"/>
      <c r="E280" s="1397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97"/>
      <c r="AW280" s="1397"/>
    </row>
    <row r="281" spans="1:49" x14ac:dyDescent="0.3">
      <c r="A281" s="19"/>
      <c r="B281" s="19"/>
      <c r="C281" s="19"/>
      <c r="D281" s="1395"/>
      <c r="E281" s="1395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95"/>
      <c r="AW281" s="1395"/>
    </row>
    <row r="282" spans="1:49" x14ac:dyDescent="0.3">
      <c r="A282" s="19"/>
      <c r="B282" s="19"/>
      <c r="C282" s="19"/>
      <c r="D282" s="1390"/>
      <c r="E282" s="1396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98"/>
      <c r="AW282" s="1398"/>
    </row>
    <row r="283" spans="1:49" x14ac:dyDescent="0.3">
      <c r="A283" s="19"/>
      <c r="B283" s="19"/>
      <c r="C283" s="19"/>
      <c r="D283" s="1395"/>
      <c r="E283" s="1397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97"/>
      <c r="AW283" s="1397"/>
    </row>
    <row r="284" spans="1:49" x14ac:dyDescent="0.3">
      <c r="A284" s="19"/>
      <c r="B284" s="19"/>
      <c r="C284" s="19"/>
      <c r="D284" s="1395"/>
      <c r="E284" s="1397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97"/>
      <c r="AW284" s="1397"/>
    </row>
    <row r="285" spans="1:49" x14ac:dyDescent="0.3">
      <c r="A285" s="19"/>
      <c r="B285" s="19"/>
      <c r="C285" s="19"/>
      <c r="D285" s="1395"/>
      <c r="E285" s="1397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97"/>
      <c r="AW285" s="1397"/>
    </row>
    <row r="286" spans="1:49" x14ac:dyDescent="0.3">
      <c r="A286" s="19"/>
      <c r="B286" s="19"/>
      <c r="C286" s="19"/>
      <c r="D286" s="1395"/>
      <c r="E286" s="1397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97"/>
      <c r="AW286" s="1397"/>
    </row>
    <row r="287" spans="1:49" x14ac:dyDescent="0.3">
      <c r="A287" s="19"/>
      <c r="B287" s="19"/>
      <c r="C287" s="19"/>
      <c r="D287" s="1395"/>
      <c r="E287" s="1397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97"/>
      <c r="AW287" s="1397"/>
    </row>
    <row r="288" spans="1:49" x14ac:dyDescent="0.3">
      <c r="A288" s="19"/>
      <c r="B288" s="19"/>
      <c r="C288" s="19"/>
      <c r="D288" s="1395"/>
      <c r="E288" s="1397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97"/>
      <c r="AW288" s="1397"/>
    </row>
    <row r="289" spans="1:49" x14ac:dyDescent="0.3">
      <c r="A289" s="19"/>
      <c r="B289" s="19"/>
      <c r="C289" s="19"/>
      <c r="D289" s="1395"/>
      <c r="E289" s="1395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95"/>
      <c r="AW289" s="139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abSelected="1" topLeftCell="A5" zoomScale="78" workbookViewId="0">
      <selection activeCell="D44" sqref="D44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12" t="s">
        <v>72</v>
      </c>
      <c r="E1" s="1412"/>
      <c r="F1" s="1412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01"/>
      <c r="O4" s="1002"/>
    </row>
    <row r="5" spans="2:15" x14ac:dyDescent="0.3">
      <c r="B5" s="14">
        <v>2</v>
      </c>
      <c r="C5" s="74">
        <v>46253</v>
      </c>
      <c r="D5" s="14">
        <v>320</v>
      </c>
      <c r="N5" s="1001"/>
      <c r="O5" s="1002"/>
    </row>
    <row r="6" spans="2:15" x14ac:dyDescent="0.3">
      <c r="B6" s="14">
        <v>3</v>
      </c>
      <c r="C6" s="74">
        <v>46254</v>
      </c>
      <c r="D6" s="14">
        <v>388</v>
      </c>
      <c r="N6" s="1001"/>
      <c r="O6" s="1002"/>
    </row>
    <row r="7" spans="2:15" x14ac:dyDescent="0.3">
      <c r="B7" s="14">
        <v>4</v>
      </c>
      <c r="C7" s="74">
        <v>46255</v>
      </c>
      <c r="D7" s="14">
        <v>425</v>
      </c>
      <c r="N7" s="1001"/>
      <c r="O7" s="1002"/>
    </row>
    <row r="8" spans="2:15" x14ac:dyDescent="0.3">
      <c r="B8" s="14">
        <v>5</v>
      </c>
      <c r="C8" s="74">
        <v>46256</v>
      </c>
      <c r="D8" s="14">
        <v>452</v>
      </c>
      <c r="N8" s="1001"/>
      <c r="O8" s="1002"/>
    </row>
    <row r="9" spans="2:15" x14ac:dyDescent="0.3">
      <c r="B9" s="14">
        <v>6</v>
      </c>
      <c r="C9" s="74">
        <v>46257</v>
      </c>
      <c r="D9" s="14">
        <v>397</v>
      </c>
      <c r="N9" s="1001"/>
      <c r="O9" s="1002"/>
    </row>
    <row r="10" spans="2:15" x14ac:dyDescent="0.3">
      <c r="B10" s="14">
        <v>7</v>
      </c>
      <c r="C10" s="74">
        <v>46258</v>
      </c>
      <c r="D10" s="14">
        <v>283</v>
      </c>
      <c r="N10" s="1001"/>
      <c r="O10" s="1002"/>
    </row>
    <row r="11" spans="2:15" x14ac:dyDescent="0.3">
      <c r="B11" s="14">
        <v>8</v>
      </c>
      <c r="C11" s="74">
        <v>46259</v>
      </c>
      <c r="D11" s="14">
        <v>347</v>
      </c>
      <c r="N11" s="1001"/>
      <c r="O11" s="1002"/>
    </row>
    <row r="12" spans="2:15" x14ac:dyDescent="0.3">
      <c r="B12" s="14">
        <v>9</v>
      </c>
      <c r="C12" s="74">
        <v>46260</v>
      </c>
      <c r="D12" s="14">
        <v>346</v>
      </c>
      <c r="N12" s="1001"/>
      <c r="O12" s="1002"/>
    </row>
    <row r="13" spans="2:15" x14ac:dyDescent="0.3">
      <c r="B13" s="14">
        <v>10</v>
      </c>
      <c r="C13" s="74">
        <v>46261</v>
      </c>
      <c r="D13" s="14">
        <v>297</v>
      </c>
      <c r="N13" s="1001"/>
      <c r="O13" s="1002"/>
    </row>
    <row r="14" spans="2:15" x14ac:dyDescent="0.3">
      <c r="B14" s="14">
        <v>11</v>
      </c>
      <c r="C14" s="74">
        <v>46262</v>
      </c>
      <c r="D14" s="14">
        <v>304</v>
      </c>
      <c r="N14" s="1001"/>
      <c r="O14" s="1002"/>
    </row>
    <row r="15" spans="2:15" x14ac:dyDescent="0.3">
      <c r="B15" s="14">
        <v>12</v>
      </c>
      <c r="C15" s="74">
        <v>46263</v>
      </c>
      <c r="D15" s="14">
        <v>510</v>
      </c>
      <c r="N15" s="1001"/>
      <c r="O15" s="1002"/>
    </row>
    <row r="16" spans="2:15" x14ac:dyDescent="0.3">
      <c r="B16" s="14">
        <v>13</v>
      </c>
      <c r="C16" s="74">
        <v>46264</v>
      </c>
      <c r="D16" s="14">
        <v>524</v>
      </c>
      <c r="N16" s="1001"/>
      <c r="O16" s="1002"/>
    </row>
    <row r="17" spans="2:15" x14ac:dyDescent="0.3">
      <c r="B17" s="14">
        <v>14</v>
      </c>
      <c r="C17" s="74">
        <v>46265</v>
      </c>
      <c r="D17" s="14">
        <v>300</v>
      </c>
      <c r="N17" s="1001"/>
      <c r="O17" s="1002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650</v>
      </c>
      <c r="D59" s="1003">
        <f>D58*E58</f>
        <v>936005000</v>
      </c>
    </row>
    <row r="60" spans="2:5" x14ac:dyDescent="0.3">
      <c r="B60" s="14"/>
      <c r="C60" s="6" t="s">
        <v>651</v>
      </c>
      <c r="D60" s="40">
        <f>D58/'Au Cal Leaching Tank'!$K$61</f>
        <v>13.932336066074738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4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168</v>
      </c>
      <c r="C2" s="129" t="s">
        <v>169</v>
      </c>
      <c r="D2" s="518"/>
      <c r="E2" s="518"/>
      <c r="H2" s="1154" t="s">
        <v>594</v>
      </c>
      <c r="I2" s="1154"/>
      <c r="J2" s="1154"/>
      <c r="K2" s="1154"/>
      <c r="O2" s="1">
        <f>720+180</f>
        <v>900</v>
      </c>
    </row>
    <row r="4" spans="1:33" ht="29.4" thickBot="1" x14ac:dyDescent="0.35">
      <c r="A4" s="595" t="s">
        <v>551</v>
      </c>
      <c r="B4" s="1171" t="s">
        <v>1</v>
      </c>
      <c r="C4" s="1173"/>
      <c r="D4" s="23" t="s">
        <v>2</v>
      </c>
      <c r="E4" s="23" t="s">
        <v>177</v>
      </c>
      <c r="F4" s="24" t="s">
        <v>27</v>
      </c>
      <c r="G4" s="24" t="s">
        <v>34</v>
      </c>
      <c r="H4" s="429" t="s">
        <v>279</v>
      </c>
      <c r="I4" s="429" t="s">
        <v>445</v>
      </c>
      <c r="J4" s="429" t="s">
        <v>450</v>
      </c>
      <c r="K4" s="24" t="s">
        <v>35</v>
      </c>
      <c r="L4" s="429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3" t="s">
        <v>156</v>
      </c>
      <c r="W4" s="16" t="s">
        <v>220</v>
      </c>
      <c r="X4" s="16" t="s">
        <v>221</v>
      </c>
      <c r="Y4" s="16" t="s">
        <v>222</v>
      </c>
      <c r="Z4" s="362" t="s">
        <v>519</v>
      </c>
    </row>
    <row r="5" spans="1:33" ht="16.2" thickBot="1" x14ac:dyDescent="0.35">
      <c r="A5" s="1325">
        <v>1</v>
      </c>
      <c r="B5" s="1291">
        <v>46265</v>
      </c>
      <c r="C5" s="1292"/>
      <c r="D5" s="527" t="s">
        <v>447</v>
      </c>
      <c r="E5" s="527" t="s">
        <v>446</v>
      </c>
      <c r="F5" s="569" t="s">
        <v>13</v>
      </c>
      <c r="G5" s="528">
        <v>0.2271</v>
      </c>
      <c r="H5" s="529">
        <v>116.84</v>
      </c>
      <c r="I5" s="471">
        <f t="shared" ref="I5:I11" si="0">H5/((720-R5)/60)</f>
        <v>11.198722044728434</v>
      </c>
      <c r="J5" s="471">
        <f>H5</f>
        <v>116.84</v>
      </c>
      <c r="K5" s="530">
        <v>1.135</v>
      </c>
      <c r="L5" s="470">
        <v>0.68</v>
      </c>
      <c r="M5" s="471">
        <f>H5*K5*G5</f>
        <v>30.116503140000003</v>
      </c>
      <c r="N5" s="1415">
        <f>SUM(M5:M6)</f>
        <v>74.069659139999999</v>
      </c>
      <c r="O5" s="471">
        <f t="shared" ref="O5:O11" si="1">M5/((720-R5)/60)</f>
        <v>2.8865657961661344</v>
      </c>
      <c r="P5" s="1326">
        <f>'Milling Down Time Hours'!Q5</f>
        <v>22.433333333333334</v>
      </c>
      <c r="Q5" s="493"/>
      <c r="R5" s="476">
        <f>'Milling Down Time Hours'!P5</f>
        <v>94</v>
      </c>
      <c r="S5" s="1415">
        <f>SUM(M5:M8)</f>
        <v>292.31360000000001</v>
      </c>
      <c r="T5" s="478">
        <f>AVERAGE('LT Ball Mill'!F4:F6)</f>
        <v>0.96699999999999997</v>
      </c>
      <c r="U5" s="478">
        <f>AVERAGE('LT Ball Mill'!G4:G6)</f>
        <v>0.41</v>
      </c>
      <c r="V5" s="478">
        <f>AVERAGE('LT Ball Mill'!H4:H6)</f>
        <v>6.1096666666666666</v>
      </c>
      <c r="W5" s="479">
        <f t="shared" ref="W5:W46" si="2">T5*M5</f>
        <v>29.122658536380001</v>
      </c>
      <c r="X5" s="563">
        <f t="shared" ref="X5:X46" si="3">M5*U5</f>
        <v>12.347766287400001</v>
      </c>
      <c r="Y5" s="563">
        <f t="shared" ref="Y5:Y46" si="4">M5*V5</f>
        <v>184.00179535102001</v>
      </c>
      <c r="Z5" s="45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325"/>
      <c r="B6" s="1293"/>
      <c r="C6" s="1294"/>
      <c r="D6" s="531" t="s">
        <v>448</v>
      </c>
      <c r="E6" s="527" t="s">
        <v>446</v>
      </c>
      <c r="F6" s="570" t="s">
        <v>14</v>
      </c>
      <c r="G6" s="515">
        <v>0.36</v>
      </c>
      <c r="H6" s="532">
        <f>J6-H5</f>
        <v>98.859999999999985</v>
      </c>
      <c r="I6" s="471">
        <f t="shared" si="0"/>
        <v>8.2383333333333315</v>
      </c>
      <c r="J6" s="514">
        <v>215.7</v>
      </c>
      <c r="K6" s="533">
        <v>1.2350000000000001</v>
      </c>
      <c r="L6" s="473">
        <v>0.68</v>
      </c>
      <c r="M6" s="471">
        <f>H6*K6*G6</f>
        <v>43.953155999999993</v>
      </c>
      <c r="N6" s="1416"/>
      <c r="O6" s="471">
        <f t="shared" si="1"/>
        <v>3.6627629999999995</v>
      </c>
      <c r="P6" s="1433"/>
      <c r="Q6" s="534"/>
      <c r="R6" s="476">
        <v>0</v>
      </c>
      <c r="S6" s="1419"/>
      <c r="T6" s="480">
        <f>AVERAGE('LT Ball Mill'!F7:F9)</f>
        <v>0.60899999999999999</v>
      </c>
      <c r="U6" s="480">
        <f>AVERAGE('LT Ball Mill'!G7:G9)</f>
        <v>0.52833333333333343</v>
      </c>
      <c r="V6" s="480">
        <f>AVERAGE('LT Ball Mill'!H7:H9)</f>
        <v>7.623333333333334</v>
      </c>
      <c r="W6" s="479">
        <f t="shared" si="2"/>
        <v>26.767472003999995</v>
      </c>
      <c r="X6" s="563">
        <f t="shared" si="3"/>
        <v>23.22191742</v>
      </c>
      <c r="Y6" s="563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4" customFormat="1" ht="16.2" thickBot="1" x14ac:dyDescent="0.35">
      <c r="A7" s="1325"/>
      <c r="B7" s="1291">
        <v>46266</v>
      </c>
      <c r="C7" s="1292"/>
      <c r="D7" s="527" t="s">
        <v>447</v>
      </c>
      <c r="E7" s="527" t="s">
        <v>446</v>
      </c>
      <c r="F7" s="569" t="s">
        <v>13</v>
      </c>
      <c r="G7" s="470">
        <v>0.38790000000000002</v>
      </c>
      <c r="H7" s="535">
        <f>J7-SUM(H5:H6)</f>
        <v>143.30000000000001</v>
      </c>
      <c r="I7" s="471">
        <f t="shared" si="0"/>
        <v>12.371223021582734</v>
      </c>
      <c r="J7" s="471">
        <v>359</v>
      </c>
      <c r="K7" s="472">
        <v>1.2549999999999999</v>
      </c>
      <c r="L7" s="470">
        <v>0.7</v>
      </c>
      <c r="M7" s="471">
        <f>(K7*J7*G7)-(SUM(M5:M6))</f>
        <v>100.69674635999999</v>
      </c>
      <c r="N7" s="1415">
        <f>SUM(M7:M8)</f>
        <v>218.24394086000001</v>
      </c>
      <c r="O7" s="471">
        <f t="shared" si="1"/>
        <v>8.6932442900719415</v>
      </c>
      <c r="P7" s="1431">
        <f>'Milling Down Time Hours'!Q6</f>
        <v>22.9</v>
      </c>
      <c r="Q7" s="514"/>
      <c r="R7" s="476">
        <v>25</v>
      </c>
      <c r="S7" s="1419"/>
      <c r="T7" s="478">
        <f>AVERAGE('LT Ball Mill'!F10:F12)</f>
        <v>0.64699999999999991</v>
      </c>
      <c r="U7" s="478">
        <f>AVERAGE('LT Ball Mill'!G10:G12)</f>
        <v>0.67433333333333334</v>
      </c>
      <c r="V7" s="478">
        <f>AVERAGE('LT Ball Mill'!H10:H12)</f>
        <v>7.5333333333333341</v>
      </c>
      <c r="W7" s="479">
        <f t="shared" si="2"/>
        <v>65.150794894919983</v>
      </c>
      <c r="X7" s="563">
        <f t="shared" si="3"/>
        <v>67.903172628759989</v>
      </c>
      <c r="Y7" s="563">
        <f t="shared" si="4"/>
        <v>758.58215591199996</v>
      </c>
      <c r="Z7" s="158">
        <f>W7*$AF$6</f>
        <v>162876987.23729995</v>
      </c>
      <c r="AA7" s="433"/>
      <c r="AB7" s="433"/>
      <c r="AC7" s="433"/>
      <c r="AD7" s="433"/>
    </row>
    <row r="8" spans="1:33" s="434" customFormat="1" ht="16.2" thickBot="1" x14ac:dyDescent="0.35">
      <c r="A8" s="1325"/>
      <c r="B8" s="1293"/>
      <c r="C8" s="1294"/>
      <c r="D8" s="520" t="s">
        <v>448</v>
      </c>
      <c r="E8" s="519" t="s">
        <v>449</v>
      </c>
      <c r="F8" s="570" t="s">
        <v>14</v>
      </c>
      <c r="G8" s="473">
        <v>0.41</v>
      </c>
      <c r="H8" s="536">
        <f>J8-SUM(H5:H7)</f>
        <v>198</v>
      </c>
      <c r="I8" s="471">
        <f t="shared" si="0"/>
        <v>17.496318114874818</v>
      </c>
      <c r="J8" s="514">
        <v>557</v>
      </c>
      <c r="K8" s="474">
        <v>1.28</v>
      </c>
      <c r="L8" s="473">
        <v>0.7</v>
      </c>
      <c r="M8" s="471">
        <f>(K8*J8*G8)-(SUM(M5:M7))</f>
        <v>117.54719450000002</v>
      </c>
      <c r="N8" s="1416"/>
      <c r="O8" s="471">
        <f t="shared" si="1"/>
        <v>10.387086406480119</v>
      </c>
      <c r="P8" s="1432"/>
      <c r="Q8" s="514"/>
      <c r="R8" s="476">
        <v>41</v>
      </c>
      <c r="S8" s="1416"/>
      <c r="T8" s="480">
        <f>AVERAGE('LT Ball Mill'!F13:F15)</f>
        <v>0.60899999999999999</v>
      </c>
      <c r="U8" s="480">
        <f>AVERAGE('LT Ball Mill'!G13:G15)</f>
        <v>0.52833333333333343</v>
      </c>
      <c r="V8" s="480">
        <f>AVERAGE('LT Ball Mill'!H13:H15)</f>
        <v>7.623333333333334</v>
      </c>
      <c r="W8" s="479">
        <f t="shared" si="2"/>
        <v>71.586241450500012</v>
      </c>
      <c r="X8" s="563">
        <f t="shared" si="3"/>
        <v>62.104101094166687</v>
      </c>
      <c r="Y8" s="563">
        <f t="shared" si="4"/>
        <v>896.10144607166683</v>
      </c>
      <c r="Z8" s="158">
        <f>W8*$AF$6</f>
        <v>178965603.62625003</v>
      </c>
      <c r="AA8" s="433"/>
      <c r="AB8" s="433" t="s">
        <v>40</v>
      </c>
      <c r="AC8" s="435">
        <v>1250</v>
      </c>
      <c r="AD8" s="433" t="s">
        <v>41</v>
      </c>
      <c r="AF8" s="448"/>
    </row>
    <row r="9" spans="1:33" ht="16.2" thickBot="1" x14ac:dyDescent="0.35">
      <c r="A9" s="1324">
        <v>2</v>
      </c>
      <c r="B9" s="1286">
        <v>46267</v>
      </c>
      <c r="C9" s="1287"/>
      <c r="D9" s="523" t="s">
        <v>447</v>
      </c>
      <c r="E9" s="523" t="s">
        <v>452</v>
      </c>
      <c r="F9" s="571" t="s">
        <v>13</v>
      </c>
      <c r="G9" s="489">
        <v>0.39</v>
      </c>
      <c r="H9" s="490">
        <f>J9</f>
        <v>215</v>
      </c>
      <c r="I9" s="487">
        <f t="shared" si="0"/>
        <v>21.5</v>
      </c>
      <c r="J9" s="490">
        <v>215</v>
      </c>
      <c r="K9" s="490">
        <v>1.26</v>
      </c>
      <c r="L9" s="489">
        <v>0.72</v>
      </c>
      <c r="M9" s="486">
        <f>H9*K9*G9</f>
        <v>105.651</v>
      </c>
      <c r="N9" s="1424">
        <f>SUM(M9:M10)</f>
        <v>209.804</v>
      </c>
      <c r="O9" s="487">
        <f t="shared" si="1"/>
        <v>10.565099999999999</v>
      </c>
      <c r="P9" s="1417">
        <f>'Milling Down Time Hours'!Q7</f>
        <v>22</v>
      </c>
      <c r="Q9" s="502"/>
      <c r="R9" s="481">
        <f>'Milling Down Time Hours'!P7</f>
        <v>120.00000000000001</v>
      </c>
      <c r="S9" s="1424">
        <f>SUM(M9:M11)</f>
        <v>300.14215000000002</v>
      </c>
      <c r="T9" s="537">
        <f>AVERAGE('LT Ball Mill'!F16:F18)</f>
        <v>0.7446666666666667</v>
      </c>
      <c r="U9" s="537">
        <f>AVERAGE('LT Ball Mill'!G16:G18)</f>
        <v>0.59</v>
      </c>
      <c r="V9" s="537">
        <f>AVERAGE('LT Ball Mill'!H16:H18)</f>
        <v>9.8400000000000016</v>
      </c>
      <c r="W9" s="482">
        <f t="shared" si="2"/>
        <v>78.674778000000003</v>
      </c>
      <c r="X9" s="495">
        <f t="shared" si="3"/>
        <v>62.334089999999996</v>
      </c>
      <c r="Y9" s="495">
        <f t="shared" si="4"/>
        <v>1039.6058400000002</v>
      </c>
      <c r="Z9" s="158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324"/>
      <c r="B10" s="1288"/>
      <c r="C10" s="1289"/>
      <c r="D10" s="525" t="s">
        <v>451</v>
      </c>
      <c r="E10" s="526"/>
      <c r="F10" s="572" t="s">
        <v>14</v>
      </c>
      <c r="G10" s="485">
        <v>0.4</v>
      </c>
      <c r="H10" s="488">
        <f>J10-H9</f>
        <v>198</v>
      </c>
      <c r="I10" s="487">
        <f t="shared" si="0"/>
        <v>16.5</v>
      </c>
      <c r="J10" s="488">
        <v>413</v>
      </c>
      <c r="K10" s="488">
        <v>1.27</v>
      </c>
      <c r="L10" s="489">
        <v>0.72</v>
      </c>
      <c r="M10" s="486">
        <f>K10*J10*G10-SUM(M9)</f>
        <v>104.15300000000001</v>
      </c>
      <c r="N10" s="1426"/>
      <c r="O10" s="487">
        <f t="shared" si="1"/>
        <v>8.6794166666666666</v>
      </c>
      <c r="P10" s="1418"/>
      <c r="Q10" s="502"/>
      <c r="R10" s="481">
        <v>0</v>
      </c>
      <c r="S10" s="1425"/>
      <c r="T10" s="484">
        <f>AVERAGE('LT Ball Mill'!F19:F21)</f>
        <v>0.64600000000000002</v>
      </c>
      <c r="U10" s="484">
        <f>AVERAGE('LT Ball Mill'!G19:G21)</f>
        <v>1.0666666666666667</v>
      </c>
      <c r="V10" s="484">
        <f>AVERAGE('LT Ball Mill'!H19:H21)</f>
        <v>9.2566666666666659</v>
      </c>
      <c r="W10" s="482">
        <f t="shared" si="2"/>
        <v>67.282838000000012</v>
      </c>
      <c r="X10" s="495">
        <f t="shared" si="3"/>
        <v>111.09653333333334</v>
      </c>
      <c r="Y10" s="495">
        <f t="shared" si="4"/>
        <v>964.10960333333333</v>
      </c>
      <c r="Z10" s="158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4" customFormat="1" ht="16.2" thickBot="1" x14ac:dyDescent="0.35">
      <c r="A11" s="1324"/>
      <c r="B11" s="1286">
        <v>46268</v>
      </c>
      <c r="C11" s="1287"/>
      <c r="D11" s="523" t="s">
        <v>447</v>
      </c>
      <c r="E11" s="538" t="s">
        <v>478</v>
      </c>
      <c r="F11" s="571" t="s">
        <v>13</v>
      </c>
      <c r="G11" s="489">
        <v>0.43</v>
      </c>
      <c r="H11" s="488">
        <f>J11-H10-H9</f>
        <v>126</v>
      </c>
      <c r="I11" s="487">
        <f t="shared" si="0"/>
        <v>11.454545454545455</v>
      </c>
      <c r="J11" s="490">
        <v>539</v>
      </c>
      <c r="K11" s="490">
        <v>1.2949999999999999</v>
      </c>
      <c r="L11" s="489">
        <v>0.71</v>
      </c>
      <c r="M11" s="486">
        <f>J11*K11*G11-SUM(M9:M10)</f>
        <v>90.338150000000013</v>
      </c>
      <c r="N11" s="1424">
        <f>SUM(M11:M12)</f>
        <v>90.338150000000013</v>
      </c>
      <c r="O11" s="487">
        <f t="shared" si="1"/>
        <v>8.2125590909090924</v>
      </c>
      <c r="P11" s="1427">
        <f>'Milling Down Time Hours'!Q8</f>
        <v>23</v>
      </c>
      <c r="Q11" s="539"/>
      <c r="R11" s="502">
        <v>60</v>
      </c>
      <c r="S11" s="1425"/>
      <c r="T11" s="537">
        <f>AVERAGE('LT Ball Mill'!F22:F24)</f>
        <v>0.66133333333333333</v>
      </c>
      <c r="U11" s="537">
        <f>AVERAGE('LT Ball Mill'!G22:G24)</f>
        <v>0.72333333333333327</v>
      </c>
      <c r="V11" s="537">
        <f>AVERAGE('LT Ball Mill'!H22:H24)</f>
        <v>8.0566666666666666</v>
      </c>
      <c r="W11" s="482">
        <f t="shared" si="2"/>
        <v>59.743629866666673</v>
      </c>
      <c r="X11" s="495">
        <f t="shared" si="3"/>
        <v>65.344595166666664</v>
      </c>
      <c r="Y11" s="495">
        <f t="shared" si="4"/>
        <v>727.82436183333346</v>
      </c>
      <c r="Z11" s="158">
        <f t="shared" si="5"/>
        <v>149359074.66666669</v>
      </c>
      <c r="AA11" s="433"/>
      <c r="AB11" s="433" t="s">
        <v>46</v>
      </c>
      <c r="AC11" s="443">
        <f>2.1</f>
        <v>2.1</v>
      </c>
      <c r="AD11" s="433" t="s">
        <v>45</v>
      </c>
    </row>
    <row r="12" spans="1:33" s="434" customFormat="1" ht="16.2" thickBot="1" x14ac:dyDescent="0.35">
      <c r="A12" s="1324"/>
      <c r="B12" s="1288"/>
      <c r="C12" s="1289"/>
      <c r="D12" s="525" t="s">
        <v>451</v>
      </c>
      <c r="E12" s="540" t="s">
        <v>474</v>
      </c>
      <c r="F12" s="572" t="s">
        <v>14</v>
      </c>
      <c r="G12" s="501"/>
      <c r="H12" s="488"/>
      <c r="I12" s="487"/>
      <c r="J12" s="488"/>
      <c r="K12" s="488"/>
      <c r="L12" s="485"/>
      <c r="M12" s="486">
        <f t="shared" ref="M12:M41" si="6">H12*K12*G12</f>
        <v>0</v>
      </c>
      <c r="N12" s="1426"/>
      <c r="O12" s="487"/>
      <c r="P12" s="1428"/>
      <c r="Q12" s="541"/>
      <c r="R12" s="500">
        <v>720</v>
      </c>
      <c r="S12" s="1300"/>
      <c r="T12" s="543"/>
      <c r="U12" s="543"/>
      <c r="V12" s="544"/>
      <c r="W12" s="482">
        <f t="shared" si="2"/>
        <v>0</v>
      </c>
      <c r="X12" s="495">
        <f t="shared" si="3"/>
        <v>0</v>
      </c>
      <c r="Y12" s="495">
        <f t="shared" si="4"/>
        <v>0</v>
      </c>
      <c r="Z12" s="158">
        <f t="shared" si="5"/>
        <v>0</v>
      </c>
      <c r="AA12" s="433"/>
      <c r="AB12" s="433" t="s">
        <v>47</v>
      </c>
      <c r="AC12" s="443">
        <v>1</v>
      </c>
      <c r="AD12" s="433" t="s">
        <v>45</v>
      </c>
    </row>
    <row r="13" spans="1:33" ht="16.2" thickBot="1" x14ac:dyDescent="0.35">
      <c r="A13" s="1324"/>
      <c r="B13" s="1286">
        <v>46269</v>
      </c>
      <c r="C13" s="1287"/>
      <c r="D13" s="1434" t="s">
        <v>491</v>
      </c>
      <c r="E13" s="545"/>
      <c r="F13" s="573" t="s">
        <v>13</v>
      </c>
      <c r="G13" s="498"/>
      <c r="H13" s="499"/>
      <c r="I13" s="487"/>
      <c r="J13" s="499"/>
      <c r="K13" s="499"/>
      <c r="L13" s="499"/>
      <c r="M13" s="486">
        <f t="shared" si="6"/>
        <v>0</v>
      </c>
      <c r="N13" s="486"/>
      <c r="O13" s="499"/>
      <c r="P13" s="1417">
        <f>'Milling Down Time Hours'!Q9</f>
        <v>0</v>
      </c>
      <c r="Q13" s="524"/>
      <c r="R13" s="1417">
        <f>'Milling Down Time Hours'!P9</f>
        <v>1440</v>
      </c>
      <c r="S13" s="481"/>
      <c r="T13" s="537"/>
      <c r="U13" s="537"/>
      <c r="V13" s="546"/>
      <c r="W13" s="482">
        <f t="shared" si="2"/>
        <v>0</v>
      </c>
      <c r="X13" s="495">
        <f t="shared" si="3"/>
        <v>0</v>
      </c>
      <c r="Y13" s="495">
        <f t="shared" si="4"/>
        <v>0</v>
      </c>
      <c r="Z13" s="158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24"/>
      <c r="B14" s="1413"/>
      <c r="C14" s="1414"/>
      <c r="D14" s="1435"/>
      <c r="E14" s="547"/>
      <c r="F14" s="574" t="s">
        <v>14</v>
      </c>
      <c r="G14" s="548"/>
      <c r="H14" s="549"/>
      <c r="I14" s="524"/>
      <c r="J14" s="549"/>
      <c r="K14" s="549"/>
      <c r="L14" s="548"/>
      <c r="M14" s="503">
        <f t="shared" si="6"/>
        <v>0</v>
      </c>
      <c r="N14" s="503"/>
      <c r="O14" s="503">
        <f>(N14/SUM(P5:P14))</f>
        <v>0</v>
      </c>
      <c r="P14" s="1429"/>
      <c r="Q14" s="502"/>
      <c r="R14" s="1430"/>
      <c r="S14" s="549"/>
      <c r="T14" s="551"/>
      <c r="U14" s="551"/>
      <c r="V14" s="552"/>
      <c r="W14" s="553">
        <f t="shared" si="2"/>
        <v>0</v>
      </c>
      <c r="X14" s="564">
        <f t="shared" si="3"/>
        <v>0</v>
      </c>
      <c r="Y14" s="564">
        <f t="shared" si="4"/>
        <v>0</v>
      </c>
      <c r="Z14" s="158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422">
        <v>46270</v>
      </c>
      <c r="C15" s="1423"/>
      <c r="D15" s="521"/>
      <c r="E15" s="521" t="s">
        <v>492</v>
      </c>
      <c r="F15" s="425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5"/>
      <c r="U15" s="455"/>
      <c r="V15" s="455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444">
        <v>3</v>
      </c>
      <c r="B16" s="1195">
        <v>46270</v>
      </c>
      <c r="C16" s="1195"/>
      <c r="D16" s="554" t="s">
        <v>448</v>
      </c>
      <c r="E16" s="580" t="s">
        <v>493</v>
      </c>
      <c r="F16" s="575" t="s">
        <v>14</v>
      </c>
      <c r="G16" s="491">
        <v>0.38</v>
      </c>
      <c r="H16" s="476">
        <f>J16-'Au Cal Leaching Tank'!$Q$10</f>
        <v>62.150000000000006</v>
      </c>
      <c r="I16" s="476">
        <v>5.57</v>
      </c>
      <c r="J16" s="492">
        <v>170</v>
      </c>
      <c r="K16" s="492">
        <v>1.25</v>
      </c>
      <c r="L16" s="491"/>
      <c r="M16" s="476">
        <f>(J16*K16*G16)-'Au Cal Leaching Tank'!$R$10</f>
        <v>26.314330250000005</v>
      </c>
      <c r="N16" s="494">
        <f>SUM(M15:M16)</f>
        <v>26.314330250000005</v>
      </c>
      <c r="O16" s="476">
        <f t="shared" ref="O16:O23" si="7">M16/P16</f>
        <v>2.325272187039765</v>
      </c>
      <c r="P16" s="563">
        <f>Q16/60</f>
        <v>11.316666666666666</v>
      </c>
      <c r="Q16" s="563">
        <f>720-R16</f>
        <v>679</v>
      </c>
      <c r="R16" s="476">
        <v>41</v>
      </c>
      <c r="S16" s="1326">
        <f>SUM(M16:M19)</f>
        <v>326.97083025000006</v>
      </c>
      <c r="T16" s="565">
        <f>AVERAGE('LT Ball Mill'!F25:F27)</f>
        <v>1.087</v>
      </c>
      <c r="U16" s="565">
        <f>AVERAGE('LT Ball Mill'!G25:G27)</f>
        <v>0.77333333333333332</v>
      </c>
      <c r="V16" s="565">
        <f>AVERAGE('LT Ball Mill'!H25:H27)</f>
        <v>8.1166666666666671</v>
      </c>
      <c r="W16" s="479">
        <f t="shared" ref="W16:W24" si="8">T16*M16</f>
        <v>28.603676981750006</v>
      </c>
      <c r="X16" s="563">
        <f t="shared" ref="X16:X24" si="9">M16*U16</f>
        <v>20.349748726666668</v>
      </c>
      <c r="Y16" s="563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44"/>
      <c r="B17" s="1195">
        <v>46271</v>
      </c>
      <c r="C17" s="1195"/>
      <c r="D17" s="609" t="s">
        <v>448</v>
      </c>
      <c r="E17" s="609" t="s">
        <v>513</v>
      </c>
      <c r="F17" s="576" t="s">
        <v>13</v>
      </c>
      <c r="G17" s="516">
        <v>0.47</v>
      </c>
      <c r="H17" s="476">
        <f>J17-SUM(H16)-'Au Cal Leaching Tank'!$Q$10</f>
        <v>45</v>
      </c>
      <c r="I17" s="556">
        <f t="shared" ref="I17:I22" si="11">H17/((720-R17)/60)</f>
        <v>4.5762711864406773</v>
      </c>
      <c r="J17" s="517">
        <v>215</v>
      </c>
      <c r="K17" s="517">
        <v>1.33</v>
      </c>
      <c r="L17" s="516">
        <v>0.65</v>
      </c>
      <c r="M17" s="477">
        <f>J17*K17*G17-SUM(M16)-'Au Cal Leaching Tank'!$R$10</f>
        <v>53.646499999999968</v>
      </c>
      <c r="N17" s="1436">
        <f>SUM(M17:M18)</f>
        <v>173.32450000000003</v>
      </c>
      <c r="O17" s="476">
        <f t="shared" si="7"/>
        <v>5.4555762711864366</v>
      </c>
      <c r="P17" s="476">
        <f>(720-R17)/60</f>
        <v>9.8333333333333339</v>
      </c>
      <c r="Q17" s="563">
        <f t="shared" ref="Q17" si="12">720-R17</f>
        <v>590</v>
      </c>
      <c r="R17" s="476">
        <f>'Milling Down Time Hours'!P11</f>
        <v>130</v>
      </c>
      <c r="S17" s="1327"/>
      <c r="T17" s="566">
        <f>AVERAGE('LT Ball Mill'!F28:F30)</f>
        <v>0.90233333333333332</v>
      </c>
      <c r="U17" s="566">
        <f>AVERAGE('LT Ball Mill'!G28:G30)</f>
        <v>0.56999999999999995</v>
      </c>
      <c r="V17" s="566">
        <f>AVERAGE('LT Ball Mill'!H28:H30)</f>
        <v>9.6533333333333342</v>
      </c>
      <c r="W17" s="567">
        <f t="shared" si="8"/>
        <v>48.407025166666635</v>
      </c>
      <c r="X17" s="534">
        <f t="shared" si="9"/>
        <v>30.578504999999979</v>
      </c>
      <c r="Y17" s="534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44"/>
      <c r="B18" s="1195"/>
      <c r="C18" s="1195"/>
      <c r="D18" s="609" t="s">
        <v>447</v>
      </c>
      <c r="E18" s="610"/>
      <c r="F18" s="570" t="s">
        <v>14</v>
      </c>
      <c r="G18" s="515">
        <v>0.45</v>
      </c>
      <c r="H18" s="476">
        <f>J18-SUM(H16:H17)-'Au Cal Leaching Tank'!$Q$10</f>
        <v>216.00000000000003</v>
      </c>
      <c r="I18" s="471">
        <f t="shared" si="11"/>
        <v>18.000000000000004</v>
      </c>
      <c r="J18" s="474">
        <v>431</v>
      </c>
      <c r="K18" s="474">
        <v>1.31</v>
      </c>
      <c r="L18" s="473">
        <v>0.65</v>
      </c>
      <c r="M18" s="477">
        <f>J18*K18*G18-SUM(M16:M17)-'Au Cal Leaching Tank'!$R$10</f>
        <v>119.67800000000005</v>
      </c>
      <c r="N18" s="1436"/>
      <c r="O18" s="476">
        <f t="shared" si="7"/>
        <v>9.9731666666666712</v>
      </c>
      <c r="P18" s="476">
        <f>(720-R18)/60</f>
        <v>12</v>
      </c>
      <c r="Q18" s="563">
        <f>720-R18</f>
        <v>720</v>
      </c>
      <c r="R18" s="476">
        <v>0</v>
      </c>
      <c r="S18" s="1327"/>
      <c r="T18" s="480">
        <f>AVERAGE('LT Ball Mill'!F31:F33)</f>
        <v>0.81433333333333335</v>
      </c>
      <c r="U18" s="480">
        <f>AVERAGE('LT Ball Mill'!G31:G33)</f>
        <v>0.6333333333333333</v>
      </c>
      <c r="V18" s="480">
        <f>AVERAGE('LT Ball Mill'!H31:H33)</f>
        <v>9.4366666666666674</v>
      </c>
      <c r="W18" s="479">
        <f t="shared" si="8"/>
        <v>97.457784666666711</v>
      </c>
      <c r="X18" s="563">
        <f t="shared" si="9"/>
        <v>75.796066666666704</v>
      </c>
      <c r="Y18" s="563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44"/>
      <c r="B19" s="1293">
        <v>46272</v>
      </c>
      <c r="C19" s="1294"/>
      <c r="D19" s="555" t="s">
        <v>170</v>
      </c>
      <c r="E19" s="557" t="s">
        <v>525</v>
      </c>
      <c r="F19" s="576" t="s">
        <v>13</v>
      </c>
      <c r="G19" s="516">
        <v>0.45</v>
      </c>
      <c r="H19" s="476">
        <f>J19-SUM(H16:H18)-'Au Cal Leaching Tank'!$Q$10</f>
        <v>215.99999999999997</v>
      </c>
      <c r="I19" s="471">
        <f t="shared" si="11"/>
        <v>19.31445603576751</v>
      </c>
      <c r="J19" s="517">
        <v>647</v>
      </c>
      <c r="K19" s="517">
        <v>1.31</v>
      </c>
      <c r="L19" s="516">
        <v>0.73</v>
      </c>
      <c r="M19" s="477">
        <f>J19*K19*G19-SUM(M16:M18)-'Au Cal Leaching Tank'!$R$10</f>
        <v>127.33200000000005</v>
      </c>
      <c r="N19" s="1256">
        <f>SUM(M19:M20)</f>
        <v>185.59190000000007</v>
      </c>
      <c r="O19" s="476">
        <f t="shared" si="7"/>
        <v>8.9775793184488872</v>
      </c>
      <c r="P19" s="476">
        <f>(900-R19)/60</f>
        <v>14.183333333333334</v>
      </c>
      <c r="Q19" s="476">
        <f>900-R19</f>
        <v>851</v>
      </c>
      <c r="R19" s="476">
        <f>'Milling Down Time Hours'!G19+30</f>
        <v>49</v>
      </c>
      <c r="S19" s="1328"/>
      <c r="T19" s="566">
        <f>AVERAGE('LT Ball Mill'!F34:F36)</f>
        <v>0.91199999999999992</v>
      </c>
      <c r="U19" s="566">
        <f>AVERAGE('LT Ball Mill'!G34:G36)</f>
        <v>0.95333333333333325</v>
      </c>
      <c r="V19" s="566">
        <f>AVERAGE('LT Ball Mill'!H34:H36)</f>
        <v>9.3966666666666665</v>
      </c>
      <c r="W19" s="479">
        <f t="shared" si="8"/>
        <v>116.12678400000003</v>
      </c>
      <c r="X19" s="563">
        <f t="shared" si="9"/>
        <v>121.38984000000004</v>
      </c>
      <c r="Y19" s="563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24">
        <v>4</v>
      </c>
      <c r="B20" s="1420">
        <v>46272</v>
      </c>
      <c r="C20" s="1421"/>
      <c r="D20" s="558" t="s">
        <v>516</v>
      </c>
      <c r="E20" s="633" t="s">
        <v>556</v>
      </c>
      <c r="F20" s="577" t="s">
        <v>14</v>
      </c>
      <c r="G20" s="496">
        <v>0.41</v>
      </c>
      <c r="H20" s="481">
        <f>J20-'Au Cal Leaching Tank'!$Q$11</f>
        <v>107.15</v>
      </c>
      <c r="I20" s="487">
        <f>H20/((720-R20)/60)</f>
        <v>9.5103550295857993</v>
      </c>
      <c r="J20" s="497">
        <v>215</v>
      </c>
      <c r="K20" s="497">
        <v>1.28</v>
      </c>
      <c r="L20" s="496">
        <v>0.73</v>
      </c>
      <c r="M20" s="486">
        <f>J20*K20*G20-'Au Cal Leaching Tank'!$R$11</f>
        <v>58.259900000000002</v>
      </c>
      <c r="N20" s="1328"/>
      <c r="O20" s="481">
        <f t="shared" si="7"/>
        <v>6.2870395683453237</v>
      </c>
      <c r="P20" s="481">
        <f>(600-R20)/60</f>
        <v>9.2666666666666675</v>
      </c>
      <c r="Q20" s="481">
        <f>600-R20</f>
        <v>556</v>
      </c>
      <c r="R20" s="481">
        <f>'Milling Down Time Hours'!G20-30</f>
        <v>44</v>
      </c>
      <c r="S20" s="1315">
        <f>SUM(M20:M23)</f>
        <v>316.93529999999998</v>
      </c>
      <c r="T20" s="593">
        <f>AVERAGE('LT Ball Mill'!F37:F39)</f>
        <v>0.53033333333333343</v>
      </c>
      <c r="U20" s="593">
        <f>AVERAGE('LT Ball Mill'!G37:G39)</f>
        <v>1.07</v>
      </c>
      <c r="V20" s="593">
        <f>AVERAGE('LT Ball Mill'!H37:H39)</f>
        <v>8.9266666666666676</v>
      </c>
      <c r="W20" s="482">
        <f t="shared" si="8"/>
        <v>30.897166966666674</v>
      </c>
      <c r="X20" s="495">
        <f t="shared" si="9"/>
        <v>62.338093000000008</v>
      </c>
      <c r="Y20" s="495">
        <f t="shared" si="10"/>
        <v>520.0667073333334</v>
      </c>
    </row>
    <row r="21" spans="1:32" ht="15" thickBot="1" x14ac:dyDescent="0.35">
      <c r="A21" s="1324"/>
      <c r="B21" s="1286">
        <v>46273</v>
      </c>
      <c r="C21" s="1287"/>
      <c r="D21" s="559" t="s">
        <v>170</v>
      </c>
      <c r="E21" s="559" t="s">
        <v>526</v>
      </c>
      <c r="F21" s="577" t="s">
        <v>13</v>
      </c>
      <c r="G21" s="496">
        <v>0.42</v>
      </c>
      <c r="H21" s="481">
        <f>J21-'Au Cal Leaching Tank'!$Q$11-SUM(H20)</f>
        <v>188.99999999999997</v>
      </c>
      <c r="I21" s="487">
        <f t="shared" si="11"/>
        <v>18.290322580645157</v>
      </c>
      <c r="J21" s="497">
        <v>404</v>
      </c>
      <c r="K21" s="497">
        <v>1.29</v>
      </c>
      <c r="L21" s="496">
        <v>0.75</v>
      </c>
      <c r="M21" s="486">
        <f>J21*K21*G21-'Au Cal Leaching Tank'!$R$11-SUM(M20)</f>
        <v>106.05519999999997</v>
      </c>
      <c r="N21" s="1424">
        <f>SUM(M21:M22)</f>
        <v>193.82679999999999</v>
      </c>
      <c r="O21" s="481">
        <f t="shared" si="7"/>
        <v>10.2634064516129</v>
      </c>
      <c r="P21" s="481">
        <f>(720-R21)/60</f>
        <v>10.333333333333334</v>
      </c>
      <c r="Q21" s="481">
        <f>720-R21</f>
        <v>620</v>
      </c>
      <c r="R21" s="481">
        <f>'Milling Down Time Hours'!G21</f>
        <v>100</v>
      </c>
      <c r="S21" s="1315"/>
      <c r="T21" s="593">
        <f>AVERAGE('LT Ball Mill'!F40:F42)</f>
        <v>0.64666666666666672</v>
      </c>
      <c r="U21" s="593">
        <f>AVERAGE('LT Ball Mill'!G40:G42)</f>
        <v>0.96333333333333326</v>
      </c>
      <c r="V21" s="593">
        <f>AVERAGE('LT Ball Mill'!H40:H42)</f>
        <v>9.1033333333333335</v>
      </c>
      <c r="W21" s="482">
        <f t="shared" si="8"/>
        <v>68.582362666666654</v>
      </c>
      <c r="X21" s="495">
        <f t="shared" si="9"/>
        <v>102.16650933333329</v>
      </c>
      <c r="Y21" s="495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324"/>
      <c r="B22" s="1288"/>
      <c r="C22" s="1289"/>
      <c r="D22" s="560" t="s">
        <v>530</v>
      </c>
      <c r="E22" s="561" t="s">
        <v>536</v>
      </c>
      <c r="F22" s="574" t="s">
        <v>14</v>
      </c>
      <c r="G22" s="548">
        <v>0.42</v>
      </c>
      <c r="H22" s="481">
        <f>J22-'Au Cal Leaching Tank'!$Q$11-SUM(H20:H21)</f>
        <v>162</v>
      </c>
      <c r="I22" s="487">
        <f t="shared" si="11"/>
        <v>17.142857142857146</v>
      </c>
      <c r="J22" s="549">
        <v>566</v>
      </c>
      <c r="K22" s="549">
        <v>1.29</v>
      </c>
      <c r="L22" s="548">
        <v>0.75</v>
      </c>
      <c r="M22" s="486">
        <f>J22*K22*G22-'Au Cal Leaching Tank'!$R$11-SUM(M20:M21)</f>
        <v>87.771600000000035</v>
      </c>
      <c r="N22" s="1334"/>
      <c r="O22" s="481">
        <f t="shared" si="7"/>
        <v>9.2880000000000038</v>
      </c>
      <c r="P22" s="481">
        <f>(720-R22)/60</f>
        <v>9.4499999999999993</v>
      </c>
      <c r="Q22" s="481">
        <f>720-R22</f>
        <v>567</v>
      </c>
      <c r="R22" s="481">
        <f>'Milling Down Time Hours'!G22</f>
        <v>153</v>
      </c>
      <c r="S22" s="1315"/>
      <c r="T22" s="593">
        <f>AVERAGE('LT Ball Mill'!F43:F45)</f>
        <v>0.6349999999999999</v>
      </c>
      <c r="U22" s="593">
        <f>AVERAGE('LT Ball Mill'!G43:G45)</f>
        <v>1.0333333333333334</v>
      </c>
      <c r="V22" s="593">
        <f>AVERAGE('LT Ball Mill'!H43:H45)</f>
        <v>7.81</v>
      </c>
      <c r="W22" s="482">
        <f t="shared" si="8"/>
        <v>55.734966000000014</v>
      </c>
      <c r="X22" s="495">
        <f t="shared" si="9"/>
        <v>90.697320000000047</v>
      </c>
      <c r="Y22" s="495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324"/>
      <c r="B23" s="1286">
        <v>46274</v>
      </c>
      <c r="C23" s="1287"/>
      <c r="D23" s="562" t="s">
        <v>170</v>
      </c>
      <c r="E23" s="581" t="s">
        <v>528</v>
      </c>
      <c r="F23" s="571" t="s">
        <v>13</v>
      </c>
      <c r="G23" s="489">
        <v>0.44</v>
      </c>
      <c r="H23" s="481">
        <f>J23-'Au Cal Leaching Tank'!$Q$11-SUM(H20:H22)</f>
        <v>81</v>
      </c>
      <c r="I23" s="487">
        <f>H23/((720-R23)/60)</f>
        <v>27</v>
      </c>
      <c r="J23" s="490">
        <v>647</v>
      </c>
      <c r="K23" s="490">
        <v>1.3049999999999999</v>
      </c>
      <c r="L23" s="489">
        <v>0.75</v>
      </c>
      <c r="M23" s="486">
        <f>J23*K23*G23-'Au Cal Leaching Tank'!$R$11-SUM(M20:M22)</f>
        <v>64.848599999999976</v>
      </c>
      <c r="N23" s="495">
        <f>SUM(M23:M24)</f>
        <v>64.848599999999976</v>
      </c>
      <c r="O23" s="481">
        <f t="shared" si="7"/>
        <v>21.616199999999992</v>
      </c>
      <c r="P23" s="481">
        <f>(720-R23)/60</f>
        <v>3</v>
      </c>
      <c r="Q23" s="481">
        <f>720-R23</f>
        <v>180</v>
      </c>
      <c r="R23" s="481">
        <f>'Milling Down Time Hours'!G23</f>
        <v>540</v>
      </c>
      <c r="S23" s="1315"/>
      <c r="T23" s="593">
        <f>AVERAGE('LT Ball Mill'!F46:F48)</f>
        <v>0.59233333333333327</v>
      </c>
      <c r="U23" s="593">
        <f>AVERAGE('LT Ball Mill'!G46:G48)</f>
        <v>0.66666666666666663</v>
      </c>
      <c r="V23" s="593">
        <f>AVERAGE('LT Ball Mill'!H46:H48)</f>
        <v>7.2399999999999993</v>
      </c>
      <c r="W23" s="482">
        <f t="shared" si="8"/>
        <v>38.41198739999998</v>
      </c>
      <c r="X23" s="495">
        <f t="shared" si="9"/>
        <v>43.232399999999984</v>
      </c>
      <c r="Y23" s="495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270">
        <v>46274</v>
      </c>
      <c r="C24" s="1271"/>
      <c r="D24" s="465" t="s">
        <v>530</v>
      </c>
      <c r="E24" s="632" t="s">
        <v>555</v>
      </c>
      <c r="F24" s="578" t="s">
        <v>14</v>
      </c>
      <c r="G24" s="210"/>
      <c r="H24" s="96"/>
      <c r="I24" s="236"/>
      <c r="J24" s="96"/>
      <c r="K24" s="96"/>
      <c r="L24" s="210"/>
      <c r="M24" s="211">
        <f>H24*K24*G24</f>
        <v>0</v>
      </c>
      <c r="N24" s="582"/>
      <c r="O24" s="431" t="str">
        <f>IFERROR(M24/P24,"")</f>
        <v/>
      </c>
      <c r="P24" s="431">
        <f>(720-R24)/60</f>
        <v>0</v>
      </c>
      <c r="Q24" s="431">
        <f>720-R24</f>
        <v>0</v>
      </c>
      <c r="R24" s="431">
        <f>'Milling Down Time Hours'!G24</f>
        <v>720</v>
      </c>
      <c r="S24" s="468"/>
      <c r="T24" s="590"/>
      <c r="U24" s="590"/>
      <c r="V24" s="591"/>
      <c r="W24" s="592">
        <f t="shared" si="8"/>
        <v>0</v>
      </c>
      <c r="X24" s="468">
        <f t="shared" si="9"/>
        <v>0</v>
      </c>
      <c r="Y24" s="468">
        <f t="shared" si="10"/>
        <v>0</v>
      </c>
      <c r="AA24" s="14" t="s">
        <v>219</v>
      </c>
      <c r="AB24" s="427">
        <f>3.14*AB23*AB23*AB22</f>
        <v>287.59887999999995</v>
      </c>
      <c r="AC24" s="6"/>
    </row>
    <row r="25" spans="1:32" x14ac:dyDescent="0.3">
      <c r="A25" s="1325">
        <v>5</v>
      </c>
      <c r="B25" s="1291">
        <v>46275</v>
      </c>
      <c r="C25" s="1292"/>
      <c r="D25" s="585" t="s">
        <v>170</v>
      </c>
      <c r="E25" s="586" t="s">
        <v>529</v>
      </c>
      <c r="F25" s="575" t="s">
        <v>13</v>
      </c>
      <c r="G25" s="491">
        <v>0.44</v>
      </c>
      <c r="H25" s="476">
        <f>J25-'Au Cal Leaching Tank'!$Q$14</f>
        <v>215.15</v>
      </c>
      <c r="I25" s="476">
        <f t="shared" ref="I25:I42" si="13">H25/((720-R25)/60)</f>
        <v>20.361198738170348</v>
      </c>
      <c r="J25" s="492">
        <v>323</v>
      </c>
      <c r="K25" s="492">
        <v>1.3</v>
      </c>
      <c r="L25" s="491">
        <v>0.75</v>
      </c>
      <c r="M25" s="476">
        <f>J25*K25*G25-'Au Cal Leaching Tank'!$R$12</f>
        <v>123.06580000000004</v>
      </c>
      <c r="N25" s="1308">
        <f>SUM(M25:M26)</f>
        <v>262.08779999999996</v>
      </c>
      <c r="O25" s="476">
        <f t="shared" ref="O25:O26" si="14">M25/P25</f>
        <v>11.646605678233442</v>
      </c>
      <c r="P25" s="476">
        <f t="shared" ref="P25:P26" si="15">(720-R25)/60</f>
        <v>10.566666666666666</v>
      </c>
      <c r="Q25" s="476">
        <f t="shared" ref="Q25:Q26" si="16">720-R25</f>
        <v>634</v>
      </c>
      <c r="R25" s="476">
        <f>'Milling Down Time Hours'!G25</f>
        <v>86</v>
      </c>
      <c r="S25" s="1308">
        <f>SUM(N25:N27)</f>
        <v>327.09421250000003</v>
      </c>
      <c r="T25" s="565">
        <f>AVERAGE('LT Ball Mill'!F54)</f>
        <v>0.73</v>
      </c>
      <c r="U25" s="565">
        <f>AVERAGE('LT Ball Mill'!G54)</f>
        <v>0.63</v>
      </c>
      <c r="V25" s="565">
        <f>AVERAGE('LT Ball Mill'!H54)</f>
        <v>8.57</v>
      </c>
      <c r="W25" s="479">
        <f t="shared" si="2"/>
        <v>89.838034000000022</v>
      </c>
      <c r="X25" s="563">
        <f t="shared" si="3"/>
        <v>77.531454000000025</v>
      </c>
      <c r="Y25" s="563">
        <f t="shared" si="4"/>
        <v>1054.6739060000004</v>
      </c>
      <c r="AA25" s="13" t="s">
        <v>443</v>
      </c>
      <c r="AB25" s="223">
        <f>AB24*AC10*AC13</f>
        <v>137.26310181818181</v>
      </c>
    </row>
    <row r="26" spans="1:32" ht="15" thickBot="1" x14ac:dyDescent="0.35">
      <c r="A26" s="1325"/>
      <c r="B26" s="1293"/>
      <c r="C26" s="1294"/>
      <c r="D26" s="587" t="s">
        <v>548</v>
      </c>
      <c r="E26" s="588"/>
      <c r="F26" s="575" t="s">
        <v>14</v>
      </c>
      <c r="G26" s="491">
        <v>0.42</v>
      </c>
      <c r="H26" s="476">
        <f>J26-'Au Cal Leaching Tank'!$Q$14-SUM(H25)</f>
        <v>270</v>
      </c>
      <c r="I26" s="476">
        <f t="shared" si="13"/>
        <v>25.796178343949045</v>
      </c>
      <c r="J26" s="492">
        <v>593</v>
      </c>
      <c r="K26" s="492">
        <v>1.3</v>
      </c>
      <c r="L26" s="491">
        <v>0.75</v>
      </c>
      <c r="M26" s="476">
        <f>(J26*K26*G26-'Au Cal Leaching Tank'!$R$12)-M25</f>
        <v>139.02199999999993</v>
      </c>
      <c r="N26" s="1312"/>
      <c r="O26" s="476">
        <f t="shared" si="14"/>
        <v>13.282356687898083</v>
      </c>
      <c r="P26" s="476">
        <f t="shared" si="15"/>
        <v>10.466666666666667</v>
      </c>
      <c r="Q26" s="476">
        <f t="shared" si="16"/>
        <v>628</v>
      </c>
      <c r="R26" s="476">
        <f>'Milling Down Time Hours'!G26</f>
        <v>92.000000000000014</v>
      </c>
      <c r="S26" s="1308"/>
      <c r="T26" s="565">
        <f>AVERAGE('LT Ball Mill'!F55:F57)</f>
        <v>0.51600000000000001</v>
      </c>
      <c r="U26" s="565">
        <f>AVERAGE('LT Ball Mill'!G55:G57)</f>
        <v>0.43</v>
      </c>
      <c r="V26" s="565">
        <f>AVERAGE('LT Ball Mill'!H55:H57)</f>
        <v>9.2766666666666655</v>
      </c>
      <c r="W26" s="479">
        <f t="shared" si="2"/>
        <v>71.735351999999963</v>
      </c>
      <c r="X26" s="563">
        <f t="shared" si="3"/>
        <v>59.779459999999972</v>
      </c>
      <c r="Y26" s="563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25"/>
      <c r="B27" s="1291">
        <v>46276</v>
      </c>
      <c r="C27" s="1292"/>
      <c r="D27" s="691" t="s">
        <v>547</v>
      </c>
      <c r="E27" s="649" t="s">
        <v>561</v>
      </c>
      <c r="F27" s="575" t="s">
        <v>13</v>
      </c>
      <c r="G27" s="491">
        <v>0.4</v>
      </c>
      <c r="H27" s="476">
        <f>J27-'Au Cal Leaching Tank'!$Q$14-SUM(H25:H26)</f>
        <v>54</v>
      </c>
      <c r="I27" s="476">
        <f t="shared" si="13"/>
        <v>4.9165402124430964</v>
      </c>
      <c r="J27" s="476">
        <v>647</v>
      </c>
      <c r="K27" s="492">
        <v>1.27</v>
      </c>
      <c r="L27" s="491">
        <v>0.75</v>
      </c>
      <c r="M27" s="476">
        <f>(J27*K27*G27-'Au Cal Leaching Tank'!$R$12)-SUM(M25:M26)</f>
        <v>4.8980000000000814</v>
      </c>
      <c r="N27" s="1326">
        <f>SUM(M27:M28)</f>
        <v>65.006412500000096</v>
      </c>
      <c r="O27" s="476">
        <f>M27/P27</f>
        <v>0.9828762541806183</v>
      </c>
      <c r="P27" s="476">
        <f>(360-R27)/60</f>
        <v>4.9833333333333334</v>
      </c>
      <c r="Q27" s="476">
        <f>360-R27</f>
        <v>299</v>
      </c>
      <c r="R27" s="476">
        <f>'Milling Down Time Hours'!G27</f>
        <v>61</v>
      </c>
      <c r="S27" s="1308"/>
      <c r="T27" s="565">
        <f>AVERAGE('LT Ball Mill'!F55:F57)</f>
        <v>0.51600000000000001</v>
      </c>
      <c r="U27" s="565">
        <f>AVERAGE('LT Ball Mill'!G55:G57)</f>
        <v>0.43</v>
      </c>
      <c r="V27" s="565">
        <f>AVERAGE('LT Ball Mill'!H55:H57)</f>
        <v>9.2766666666666655</v>
      </c>
      <c r="W27" s="479">
        <f>T27*M27</f>
        <v>2.5273680000000422</v>
      </c>
      <c r="X27" s="563">
        <f>M27*U27</f>
        <v>2.106140000000035</v>
      </c>
      <c r="Y27" s="563">
        <f>M27*V27</f>
        <v>45.437113333334082</v>
      </c>
      <c r="AD27" s="454"/>
    </row>
    <row r="28" spans="1:32" x14ac:dyDescent="0.3">
      <c r="A28" s="690"/>
      <c r="B28" s="1200">
        <v>46276</v>
      </c>
      <c r="C28" s="1200"/>
      <c r="D28" s="692" t="s">
        <v>547</v>
      </c>
      <c r="E28" s="710" t="s">
        <v>589</v>
      </c>
      <c r="F28" s="684" t="s">
        <v>13</v>
      </c>
      <c r="G28" s="685">
        <v>0.42</v>
      </c>
      <c r="H28" s="686">
        <f>J28-'Au Cal Leaching Tank'!$Q$15</f>
        <v>107.15</v>
      </c>
      <c r="I28" s="687">
        <f>H28/((360-R28)/60)</f>
        <v>17.858333333333334</v>
      </c>
      <c r="J28" s="686">
        <v>215</v>
      </c>
      <c r="K28" s="688">
        <v>1.29</v>
      </c>
      <c r="L28" s="685">
        <v>0.75</v>
      </c>
      <c r="M28" s="687">
        <f>(J28*K28*G28)-'Au Cal Leaching Tank'!$R$13</f>
        <v>60.108412500000014</v>
      </c>
      <c r="N28" s="1419"/>
      <c r="O28" s="687">
        <f>M28/P28</f>
        <v>10.018068750000003</v>
      </c>
      <c r="P28" s="687">
        <f>(360-R28)/60</f>
        <v>6</v>
      </c>
      <c r="Q28" s="686">
        <v>360</v>
      </c>
      <c r="R28" s="686">
        <v>0</v>
      </c>
      <c r="S28" s="1299">
        <f>SUM(M28:M31)</f>
        <v>277.03691250000003</v>
      </c>
      <c r="T28" s="709">
        <f>AVERAGE('LT Ball Mill'!F58:F60)</f>
        <v>1.4286666666666665</v>
      </c>
      <c r="U28" s="709">
        <f>AVERAGE('LT Ball Mill'!G58:G60)</f>
        <v>0.99333333333333329</v>
      </c>
      <c r="V28" s="709">
        <f>AVERAGE('LT Ball Mill'!H58:H60)</f>
        <v>9.1333333333333329</v>
      </c>
      <c r="W28" s="482">
        <f>T28*M28</f>
        <v>85.874885325000008</v>
      </c>
      <c r="X28" s="495">
        <f>M28*U28</f>
        <v>59.707689750000014</v>
      </c>
      <c r="Y28" s="495">
        <f>M28*V28</f>
        <v>548.9901675000001</v>
      </c>
      <c r="AD28" s="454"/>
    </row>
    <row r="29" spans="1:32" ht="43.8" thickBot="1" x14ac:dyDescent="0.35">
      <c r="A29" s="1324">
        <v>6</v>
      </c>
      <c r="B29" s="1413">
        <v>46276</v>
      </c>
      <c r="C29" s="1414"/>
      <c r="D29" s="703" t="s">
        <v>557</v>
      </c>
      <c r="E29" s="704" t="s">
        <v>554</v>
      </c>
      <c r="F29" s="705" t="s">
        <v>14</v>
      </c>
      <c r="G29" s="498">
        <v>0.45</v>
      </c>
      <c r="H29" s="550">
        <f>J29-'Au Cal Leaching Tank'!$Q$15-SUM(H28)</f>
        <v>72</v>
      </c>
      <c r="I29" s="550">
        <f t="shared" si="13"/>
        <v>36</v>
      </c>
      <c r="J29" s="499">
        <v>287</v>
      </c>
      <c r="K29" s="499">
        <v>1.29</v>
      </c>
      <c r="L29" s="498">
        <v>0.75</v>
      </c>
      <c r="M29" s="481">
        <f>(J29*K29*G29)-'Au Cal Leaching Tank'!$R$13-SUM(M28)</f>
        <v>50.116500000000016</v>
      </c>
      <c r="N29" s="483">
        <f>M29</f>
        <v>50.116500000000016</v>
      </c>
      <c r="O29" s="550">
        <f>M29/P29</f>
        <v>25.058250000000008</v>
      </c>
      <c r="P29" s="550">
        <f>(720-R29)/60</f>
        <v>2</v>
      </c>
      <c r="Q29" s="550">
        <f>720-R29</f>
        <v>120</v>
      </c>
      <c r="R29" s="550">
        <f>'Milling Down Time Hours'!G28</f>
        <v>600</v>
      </c>
      <c r="S29" s="1425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584">
        <f>T29*M29</f>
        <v>13.280872500000003</v>
      </c>
      <c r="X29" s="542">
        <f>M29*U29</f>
        <v>28.733460000000012</v>
      </c>
      <c r="Y29" s="542">
        <f>M29*V29</f>
        <v>380.55129000000017</v>
      </c>
      <c r="AB29" s="30">
        <f>AB25-62</f>
        <v>75.263101818181809</v>
      </c>
    </row>
    <row r="30" spans="1:32" ht="29.4" thickBot="1" x14ac:dyDescent="0.35">
      <c r="A30" s="1324"/>
      <c r="B30" s="1286">
        <v>46277</v>
      </c>
      <c r="C30" s="1287"/>
      <c r="D30" s="706" t="s">
        <v>558</v>
      </c>
      <c r="E30" s="707" t="s">
        <v>559</v>
      </c>
      <c r="F30" s="571" t="s">
        <v>13</v>
      </c>
      <c r="G30" s="485">
        <v>0.33</v>
      </c>
      <c r="H30" s="550">
        <f>J30-'Au Cal Leaching Tank'!$Q$15-SUM(H28:H29)</f>
        <v>432</v>
      </c>
      <c r="I30" s="550" t="str">
        <f>IFERROR(H30/((720-R30)/60),"")</f>
        <v/>
      </c>
      <c r="J30" s="488">
        <v>719</v>
      </c>
      <c r="K30" s="488">
        <v>1.21</v>
      </c>
      <c r="L30" s="485">
        <v>0.75</v>
      </c>
      <c r="M30" s="481">
        <f>(J30*K30*G30)-'Au Cal Leaching Tank'!$R$13-SUM(M28:M29)</f>
        <v>120.49319999999999</v>
      </c>
      <c r="N30" s="1424">
        <f>SUM(M30:M31)</f>
        <v>166.81200000000001</v>
      </c>
      <c r="O30" s="550" t="str">
        <f>IFERROR(M30/P30,"")</f>
        <v/>
      </c>
      <c r="P30" s="550">
        <f t="shared" ref="P30:P33" si="17">(720-R30)/60</f>
        <v>0</v>
      </c>
      <c r="Q30" s="502">
        <f>720-R30</f>
        <v>0</v>
      </c>
      <c r="R30" s="550">
        <f>'Milling Down Time Hours'!G29</f>
        <v>720</v>
      </c>
      <c r="S30" s="1425"/>
      <c r="T30" s="484">
        <f>AVERAGE('LT Ball Mill'!F64:F66)</f>
        <v>0.30533333333333329</v>
      </c>
      <c r="U30" s="484">
        <f>AVERAGE('LT Ball Mill'!G64:G66)</f>
        <v>0.55333333333333334</v>
      </c>
      <c r="V30" s="484">
        <f>AVERAGE('LT Ball Mill'!H64:H66)</f>
        <v>6.7966666666666669</v>
      </c>
      <c r="W30" s="482">
        <f t="shared" si="2"/>
        <v>36.790590399999992</v>
      </c>
      <c r="X30" s="495">
        <f t="shared" si="3"/>
        <v>66.672903999999988</v>
      </c>
      <c r="Y30" s="495">
        <f t="shared" si="4"/>
        <v>818.95211599999993</v>
      </c>
    </row>
    <row r="31" spans="1:32" ht="29.4" thickBot="1" x14ac:dyDescent="0.35">
      <c r="A31" s="1324"/>
      <c r="B31" s="1288"/>
      <c r="C31" s="1289"/>
      <c r="D31" s="708" t="s">
        <v>577</v>
      </c>
      <c r="E31" s="797" t="s">
        <v>593</v>
      </c>
      <c r="F31" s="574" t="s">
        <v>14</v>
      </c>
      <c r="G31" s="489">
        <v>0.33</v>
      </c>
      <c r="H31" s="550">
        <f>J31-'Au Cal Leaching Tank'!$Q$15-SUM(H28:H30)</f>
        <v>116</v>
      </c>
      <c r="I31" s="550" t="str">
        <f>IFERROR(H31/((720-R31)/60),"")</f>
        <v/>
      </c>
      <c r="J31" s="490">
        <v>835</v>
      </c>
      <c r="K31" s="490">
        <v>1.21</v>
      </c>
      <c r="L31" s="489">
        <v>0.75</v>
      </c>
      <c r="M31" s="481">
        <f>(J31*K31*G31)-'Au Cal Leaching Tank'!$R$13-SUM(M28:M30)</f>
        <v>46.31880000000001</v>
      </c>
      <c r="N31" s="1426"/>
      <c r="O31" s="550" t="str">
        <f t="shared" ref="O31:O43" si="18">IFERROR(M31/P31,"")</f>
        <v/>
      </c>
      <c r="P31" s="550">
        <f t="shared" si="17"/>
        <v>0</v>
      </c>
      <c r="Q31" s="502">
        <f>720-R31</f>
        <v>0</v>
      </c>
      <c r="R31" s="550">
        <f>'Milling Down Time Hours'!G30</f>
        <v>720</v>
      </c>
      <c r="S31" s="1300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82">
        <f t="shared" si="2"/>
        <v>14.142673600000002</v>
      </c>
      <c r="X31" s="495">
        <f t="shared" si="3"/>
        <v>25.629736000000005</v>
      </c>
      <c r="Y31" s="495">
        <f t="shared" si="4"/>
        <v>314.81344400000006</v>
      </c>
      <c r="AA31" s="137"/>
      <c r="AB31" s="30"/>
    </row>
    <row r="32" spans="1:32" ht="15" thickBot="1" x14ac:dyDescent="0.35">
      <c r="B32" s="1268">
        <v>46278</v>
      </c>
      <c r="C32" s="1269"/>
      <c r="D32" s="689" t="s">
        <v>579</v>
      </c>
      <c r="E32" s="689" t="s">
        <v>578</v>
      </c>
      <c r="F32" s="579" t="s">
        <v>13</v>
      </c>
      <c r="G32" s="32"/>
      <c r="H32" s="29"/>
      <c r="I32" s="624"/>
      <c r="J32" s="29"/>
      <c r="K32" s="29"/>
      <c r="L32" s="32"/>
      <c r="M32" s="28">
        <f t="shared" si="6"/>
        <v>0</v>
      </c>
      <c r="N32" s="1255">
        <f>SUM(M32:M33)</f>
        <v>28.496569999999998</v>
      </c>
      <c r="O32" s="624" t="str">
        <f t="shared" si="18"/>
        <v/>
      </c>
      <c r="P32" s="624">
        <f>(720-R32)/60</f>
        <v>0</v>
      </c>
      <c r="Q32" s="431">
        <f t="shared" ref="Q32:Q33" si="19">720-R32</f>
        <v>0</v>
      </c>
      <c r="R32" s="431">
        <f>'Milling Down Time Hours'!G31</f>
        <v>720</v>
      </c>
      <c r="S32" s="504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82" customFormat="1" ht="15" thickBot="1" x14ac:dyDescent="0.35">
      <c r="A33" s="702">
        <v>7</v>
      </c>
      <c r="B33" s="1270"/>
      <c r="C33" s="1271"/>
      <c r="D33" s="711" t="s">
        <v>170</v>
      </c>
      <c r="E33" s="798" t="s">
        <v>595</v>
      </c>
      <c r="F33" s="712" t="s">
        <v>14</v>
      </c>
      <c r="G33" s="516">
        <v>0.38</v>
      </c>
      <c r="H33" s="556">
        <f>J33-'Au Cal Leaching Tank'!$Q$14</f>
        <v>179.15</v>
      </c>
      <c r="I33" s="556">
        <f t="shared" si="13"/>
        <v>17.914999999999999</v>
      </c>
      <c r="J33" s="517">
        <v>287</v>
      </c>
      <c r="K33" s="517">
        <v>1.25</v>
      </c>
      <c r="L33" s="473">
        <v>0.75</v>
      </c>
      <c r="M33" s="713">
        <f>(H33*K33*G33)-'Au Cal Leaching Tank'!$R$14</f>
        <v>28.496569999999998</v>
      </c>
      <c r="N33" s="1261"/>
      <c r="O33" s="778">
        <f t="shared" si="18"/>
        <v>2.8496569999999997</v>
      </c>
      <c r="P33" s="556">
        <f t="shared" si="17"/>
        <v>10</v>
      </c>
      <c r="Q33" s="514">
        <f t="shared" si="19"/>
        <v>600</v>
      </c>
      <c r="R33" s="514">
        <f>'Milling Down Time Hours'!G34</f>
        <v>120.00000000000001</v>
      </c>
      <c r="S33" s="780"/>
      <c r="T33" s="478"/>
      <c r="U33" s="478"/>
      <c r="V33" s="781"/>
      <c r="W33" s="479">
        <f t="shared" si="2"/>
        <v>0</v>
      </c>
      <c r="X33" s="563">
        <f t="shared" si="3"/>
        <v>0</v>
      </c>
      <c r="Y33" s="563">
        <f t="shared" si="4"/>
        <v>0</v>
      </c>
      <c r="AA33" s="782">
        <f>125.82*1.28*41.76%</f>
        <v>67.254312959999993</v>
      </c>
      <c r="AC33" s="782">
        <f>215.7*1.29*42.92%</f>
        <v>119.42618760000001</v>
      </c>
    </row>
    <row r="34" spans="1:32" s="782" customFormat="1" ht="15" thickBot="1" x14ac:dyDescent="0.35">
      <c r="A34" s="702"/>
      <c r="B34" s="1291">
        <v>46279</v>
      </c>
      <c r="C34" s="1292"/>
      <c r="D34" s="510"/>
      <c r="E34" s="510"/>
      <c r="F34" s="569" t="s">
        <v>13</v>
      </c>
      <c r="G34" s="491"/>
      <c r="H34" s="556">
        <f>J34-'Au Cal Leaching Tank'!$Q$14-SUM(H33)</f>
        <v>-287</v>
      </c>
      <c r="I34" s="556">
        <f t="shared" si="13"/>
        <v>-23.916666666666668</v>
      </c>
      <c r="J34" s="492"/>
      <c r="K34" s="492"/>
      <c r="L34" s="473"/>
      <c r="M34" s="713">
        <f>(H34*K34*G34)-'Au Cal Leaching Tank'!$R$14-SUM(M33)</f>
        <v>-85.096249999999998</v>
      </c>
      <c r="N34" s="1415">
        <f>SUM(M34:M35)</f>
        <v>-85.096249999999998</v>
      </c>
      <c r="O34" s="778" t="str">
        <f t="shared" si="18"/>
        <v/>
      </c>
      <c r="P34" s="779"/>
      <c r="Q34" s="779"/>
      <c r="R34" s="514">
        <f>'Milling Down Time Hours'!G35</f>
        <v>0</v>
      </c>
      <c r="S34" s="783"/>
      <c r="T34" s="480"/>
      <c r="U34" s="480"/>
      <c r="V34" s="784"/>
      <c r="W34" s="479">
        <f t="shared" si="2"/>
        <v>0</v>
      </c>
      <c r="X34" s="563">
        <f t="shared" si="3"/>
        <v>0</v>
      </c>
      <c r="Y34" s="563">
        <f t="shared" si="4"/>
        <v>0</v>
      </c>
      <c r="AA34" s="782">
        <f>170.76*1.27*40.59%</f>
        <v>88.025584680000009</v>
      </c>
      <c r="AC34" s="782">
        <f>AC33-AC32</f>
        <v>80.307698400000007</v>
      </c>
    </row>
    <row r="35" spans="1:32" s="782" customFormat="1" ht="15" thickBot="1" x14ac:dyDescent="0.35">
      <c r="A35" s="702"/>
      <c r="B35" s="1293"/>
      <c r="C35" s="1294"/>
      <c r="D35" s="510"/>
      <c r="E35" s="510"/>
      <c r="F35" s="712" t="s">
        <v>14</v>
      </c>
      <c r="G35" s="491"/>
      <c r="H35" s="556">
        <f>J35-'Au Cal Leaching Tank'!$Q$14-SUM(H33:H34)</f>
        <v>0</v>
      </c>
      <c r="I35" s="556">
        <f t="shared" si="13"/>
        <v>0</v>
      </c>
      <c r="J35" s="492"/>
      <c r="K35" s="492"/>
      <c r="L35" s="473"/>
      <c r="M35" s="713">
        <f t="shared" si="6"/>
        <v>0</v>
      </c>
      <c r="N35" s="1416"/>
      <c r="O35" s="556">
        <f t="shared" si="18"/>
        <v>0</v>
      </c>
      <c r="P35" s="476">
        <f>'Milling Down Time Hours'!Q21</f>
        <v>22.933333333333334</v>
      </c>
      <c r="Q35" s="476"/>
      <c r="R35" s="476">
        <f>'Milling Down Time Hours'!P21</f>
        <v>64</v>
      </c>
      <c r="S35" s="492"/>
      <c r="T35" s="478"/>
      <c r="U35" s="478"/>
      <c r="V35" s="781"/>
      <c r="W35" s="479">
        <f t="shared" si="2"/>
        <v>0</v>
      </c>
      <c r="X35" s="563">
        <f t="shared" si="3"/>
        <v>0</v>
      </c>
      <c r="Y35" s="563">
        <f t="shared" si="4"/>
        <v>0</v>
      </c>
      <c r="AA35" s="785">
        <f>AA34-AA33</f>
        <v>20.771271720000016</v>
      </c>
    </row>
    <row r="36" spans="1:32" s="782" customFormat="1" ht="15" thickBot="1" x14ac:dyDescent="0.35">
      <c r="A36" s="702"/>
      <c r="B36" s="1291">
        <v>46280</v>
      </c>
      <c r="C36" s="1292"/>
      <c r="D36" s="510"/>
      <c r="E36" s="786"/>
      <c r="F36" s="569" t="s">
        <v>13</v>
      </c>
      <c r="G36" s="491"/>
      <c r="H36" s="492"/>
      <c r="I36" s="556">
        <f t="shared" si="13"/>
        <v>0</v>
      </c>
      <c r="J36" s="492"/>
      <c r="K36" s="492"/>
      <c r="L36" s="491"/>
      <c r="M36" s="713">
        <f t="shared" si="6"/>
        <v>0</v>
      </c>
      <c r="N36" s="714"/>
      <c r="O36" s="556" t="str">
        <f t="shared" si="18"/>
        <v/>
      </c>
      <c r="P36" s="476"/>
      <c r="Q36" s="476"/>
      <c r="R36" s="476"/>
      <c r="S36" s="492"/>
      <c r="T36" s="480"/>
      <c r="U36" s="480"/>
      <c r="V36" s="784"/>
      <c r="W36" s="479">
        <f t="shared" si="2"/>
        <v>0</v>
      </c>
      <c r="X36" s="563">
        <f t="shared" si="3"/>
        <v>0</v>
      </c>
      <c r="Y36" s="563">
        <f t="shared" si="4"/>
        <v>0</v>
      </c>
      <c r="AA36" s="785"/>
    </row>
    <row r="37" spans="1:32" s="782" customFormat="1" ht="15" thickBot="1" x14ac:dyDescent="0.35">
      <c r="A37" s="702"/>
      <c r="B37" s="1293"/>
      <c r="C37" s="1294"/>
      <c r="D37" s="787"/>
      <c r="E37" s="787"/>
      <c r="F37" s="712" t="s">
        <v>14</v>
      </c>
      <c r="G37" s="788"/>
      <c r="H37" s="575"/>
      <c r="I37" s="556">
        <f t="shared" si="13"/>
        <v>0</v>
      </c>
      <c r="J37" s="575"/>
      <c r="K37" s="575"/>
      <c r="L37" s="788"/>
      <c r="M37" s="713">
        <f t="shared" si="6"/>
        <v>0</v>
      </c>
      <c r="N37" s="789"/>
      <c r="O37" s="556">
        <f t="shared" si="18"/>
        <v>0</v>
      </c>
      <c r="P37" s="790">
        <f>'Milling Down Time Hours'!Q22</f>
        <v>24</v>
      </c>
      <c r="Q37" s="790"/>
      <c r="R37" s="790">
        <f>'Milling Down Time Hours'!P22</f>
        <v>0</v>
      </c>
      <c r="S37" s="575"/>
      <c r="T37" s="791"/>
      <c r="U37" s="791"/>
      <c r="V37" s="792"/>
      <c r="W37" s="479">
        <f t="shared" si="2"/>
        <v>0</v>
      </c>
      <c r="X37" s="563">
        <f t="shared" si="3"/>
        <v>0</v>
      </c>
      <c r="Y37" s="563">
        <f t="shared" si="4"/>
        <v>0</v>
      </c>
      <c r="AA37" s="782">
        <f>269.92*1.28*41.76%</f>
        <v>144.27979776000001</v>
      </c>
    </row>
    <row r="38" spans="1:32" s="782" customFormat="1" ht="15" thickBot="1" x14ac:dyDescent="0.35">
      <c r="A38" s="702"/>
      <c r="B38" s="1291">
        <v>46281</v>
      </c>
      <c r="C38" s="1292"/>
      <c r="D38" s="787"/>
      <c r="E38" s="787"/>
      <c r="F38" s="569" t="s">
        <v>13</v>
      </c>
      <c r="G38" s="788"/>
      <c r="H38" s="575"/>
      <c r="I38" s="556">
        <f t="shared" si="13"/>
        <v>0</v>
      </c>
      <c r="J38" s="575"/>
      <c r="K38" s="575"/>
      <c r="L38" s="788"/>
      <c r="M38" s="713">
        <f t="shared" si="6"/>
        <v>0</v>
      </c>
      <c r="N38" s="789"/>
      <c r="O38" s="556" t="str">
        <f t="shared" si="18"/>
        <v/>
      </c>
      <c r="P38" s="790"/>
      <c r="Q38" s="790"/>
      <c r="R38" s="790"/>
      <c r="S38" s="575"/>
      <c r="T38" s="793"/>
      <c r="U38" s="793"/>
      <c r="V38" s="794"/>
      <c r="W38" s="479">
        <f t="shared" si="2"/>
        <v>0</v>
      </c>
      <c r="X38" s="563">
        <f t="shared" si="3"/>
        <v>0</v>
      </c>
      <c r="Y38" s="563">
        <f t="shared" si="4"/>
        <v>0</v>
      </c>
      <c r="AA38" s="782">
        <f>323.55*1.29*42.92%</f>
        <v>179.13928140000002</v>
      </c>
    </row>
    <row r="39" spans="1:32" s="782" customFormat="1" ht="15" thickBot="1" x14ac:dyDescent="0.35">
      <c r="A39" s="702"/>
      <c r="B39" s="1293"/>
      <c r="C39" s="1294"/>
      <c r="D39" s="510"/>
      <c r="E39" s="795"/>
      <c r="F39" s="712" t="s">
        <v>14</v>
      </c>
      <c r="G39" s="625"/>
      <c r="H39" s="625"/>
      <c r="I39" s="556">
        <f t="shared" si="13"/>
        <v>0</v>
      </c>
      <c r="J39" s="625"/>
      <c r="K39" s="625"/>
      <c r="L39" s="492"/>
      <c r="M39" s="713">
        <f t="shared" si="6"/>
        <v>0</v>
      </c>
      <c r="N39" s="492"/>
      <c r="O39" s="556">
        <f t="shared" si="18"/>
        <v>0</v>
      </c>
      <c r="P39" s="476">
        <f>'Milling Down Time Hours'!Q23</f>
        <v>21.083333333333332</v>
      </c>
      <c r="Q39" s="476"/>
      <c r="R39" s="476">
        <f>'Milling Down Time Hours'!P23</f>
        <v>175</v>
      </c>
      <c r="S39" s="492"/>
      <c r="T39" s="1437"/>
      <c r="U39" s="1437"/>
      <c r="V39" s="1439"/>
      <c r="W39" s="479">
        <f t="shared" si="2"/>
        <v>0</v>
      </c>
      <c r="X39" s="563">
        <f t="shared" si="3"/>
        <v>0</v>
      </c>
      <c r="Y39" s="563">
        <f t="shared" si="4"/>
        <v>0</v>
      </c>
      <c r="AA39" s="782">
        <f>AA38-AA37</f>
        <v>34.859483640000008</v>
      </c>
    </row>
    <row r="40" spans="1:32" s="782" customFormat="1" ht="15" thickBot="1" x14ac:dyDescent="0.35">
      <c r="A40" s="702"/>
      <c r="B40" s="1268">
        <v>46282</v>
      </c>
      <c r="C40" s="1269"/>
      <c r="D40" s="492"/>
      <c r="E40" s="492"/>
      <c r="F40" s="569" t="s">
        <v>13</v>
      </c>
      <c r="G40" s="625"/>
      <c r="H40" s="625"/>
      <c r="I40" s="556">
        <f t="shared" si="13"/>
        <v>0</v>
      </c>
      <c r="J40" s="625"/>
      <c r="K40" s="625"/>
      <c r="L40" s="492"/>
      <c r="M40" s="713">
        <f t="shared" si="6"/>
        <v>0</v>
      </c>
      <c r="N40" s="492"/>
      <c r="O40" s="556" t="str">
        <f t="shared" si="18"/>
        <v/>
      </c>
      <c r="P40" s="476"/>
      <c r="Q40" s="476"/>
      <c r="R40" s="476"/>
      <c r="S40" s="492"/>
      <c r="T40" s="1438"/>
      <c r="U40" s="1438"/>
      <c r="V40" s="1440"/>
      <c r="W40" s="479">
        <f t="shared" si="2"/>
        <v>0</v>
      </c>
      <c r="X40" s="563">
        <f t="shared" si="3"/>
        <v>0</v>
      </c>
      <c r="Y40" s="563">
        <f t="shared" si="4"/>
        <v>0</v>
      </c>
      <c r="AA40" s="796" t="s">
        <v>514</v>
      </c>
      <c r="AF40" s="782">
        <f>53-6-17</f>
        <v>30</v>
      </c>
    </row>
    <row r="41" spans="1:32" s="782" customFormat="1" ht="15" thickBot="1" x14ac:dyDescent="0.35">
      <c r="A41" s="702"/>
      <c r="B41" s="1270"/>
      <c r="C41" s="1271"/>
      <c r="D41" s="510"/>
      <c r="E41" s="795"/>
      <c r="F41" s="712" t="s">
        <v>14</v>
      </c>
      <c r="G41" s="491"/>
      <c r="H41" s="476"/>
      <c r="I41" s="556">
        <f t="shared" si="13"/>
        <v>0</v>
      </c>
      <c r="J41" s="476"/>
      <c r="K41" s="492"/>
      <c r="L41" s="491"/>
      <c r="M41" s="713">
        <f t="shared" si="6"/>
        <v>0</v>
      </c>
      <c r="N41" s="476"/>
      <c r="O41" s="556">
        <f t="shared" si="18"/>
        <v>0</v>
      </c>
      <c r="P41" s="476">
        <f>'Milling Down Time Hours'!Q24</f>
        <v>18</v>
      </c>
      <c r="Q41" s="476"/>
      <c r="R41" s="476">
        <f>'Milling Down Time Hours'!P24</f>
        <v>360</v>
      </c>
      <c r="S41" s="492"/>
      <c r="T41" s="478"/>
      <c r="U41" s="478"/>
      <c r="V41" s="781"/>
      <c r="W41" s="479">
        <f t="shared" si="2"/>
        <v>0</v>
      </c>
      <c r="X41" s="563">
        <f t="shared" si="3"/>
        <v>0</v>
      </c>
      <c r="Y41" s="563">
        <f t="shared" si="4"/>
        <v>0</v>
      </c>
      <c r="AA41" s="796"/>
      <c r="AD41" s="796"/>
      <c r="AE41" s="796"/>
    </row>
    <row r="42" spans="1:32" ht="15" thickBot="1" x14ac:dyDescent="0.35">
      <c r="B42" s="1268">
        <v>46283</v>
      </c>
      <c r="C42" s="1269"/>
      <c r="D42" s="14"/>
      <c r="E42" s="14"/>
      <c r="F42" s="579" t="s">
        <v>13</v>
      </c>
      <c r="G42" s="41"/>
      <c r="H42" s="14"/>
      <c r="I42" s="624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4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270"/>
      <c r="C43" s="1271"/>
      <c r="D43" s="37"/>
      <c r="E43" s="37"/>
      <c r="F43" s="578" t="s">
        <v>14</v>
      </c>
      <c r="G43" s="41"/>
      <c r="H43" s="14"/>
      <c r="I43" s="624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4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268">
        <v>46284</v>
      </c>
      <c r="C44" s="1269"/>
      <c r="D44" s="14"/>
      <c r="E44" s="14"/>
      <c r="F44" s="579" t="s">
        <v>13</v>
      </c>
      <c r="G44" s="41"/>
      <c r="H44" s="14"/>
      <c r="I44" s="624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270"/>
      <c r="C45" s="1271"/>
      <c r="D45" s="37"/>
      <c r="E45" s="37"/>
      <c r="F45" s="578" t="s">
        <v>14</v>
      </c>
      <c r="G45" s="41"/>
      <c r="H45" s="14"/>
      <c r="I45" s="624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268">
        <v>46285</v>
      </c>
      <c r="C46" s="1269"/>
      <c r="D46" s="14"/>
      <c r="E46" s="14"/>
      <c r="F46" s="579" t="s">
        <v>13</v>
      </c>
      <c r="G46" s="6"/>
      <c r="H46" s="6"/>
      <c r="I46" s="624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270"/>
      <c r="C47" s="1271"/>
      <c r="D47" s="37"/>
      <c r="E47" s="37"/>
      <c r="F47" s="578" t="s">
        <v>14</v>
      </c>
      <c r="G47" s="244"/>
      <c r="H47" s="14"/>
      <c r="I47" s="624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258"/>
      <c r="U47" s="1258"/>
      <c r="V47" s="1253"/>
      <c r="W47" s="160"/>
      <c r="X47" s="155"/>
      <c r="Y47" s="155"/>
    </row>
    <row r="48" spans="1:32" ht="15" thickBot="1" x14ac:dyDescent="0.35">
      <c r="B48" s="1268">
        <v>46286</v>
      </c>
      <c r="C48" s="1269"/>
      <c r="D48" s="14"/>
      <c r="E48" s="14"/>
      <c r="F48" s="579" t="s">
        <v>13</v>
      </c>
      <c r="G48" s="6"/>
      <c r="H48" s="6"/>
      <c r="I48" s="624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62"/>
      <c r="U48" s="1262"/>
      <c r="V48" s="1254"/>
      <c r="W48" s="160"/>
      <c r="X48" s="155"/>
      <c r="Y48" s="155"/>
    </row>
    <row r="49" spans="2:28" ht="15" thickBot="1" x14ac:dyDescent="0.35">
      <c r="B49" s="1270"/>
      <c r="C49" s="1271"/>
      <c r="D49" s="37"/>
      <c r="E49" s="247"/>
      <c r="F49" s="578" t="s">
        <v>14</v>
      </c>
      <c r="G49" s="6"/>
      <c r="H49" s="6"/>
      <c r="I49" s="624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258"/>
      <c r="U49" s="1258"/>
      <c r="V49" s="1253"/>
      <c r="W49" s="160"/>
      <c r="X49" s="155"/>
      <c r="Y49" s="155"/>
    </row>
    <row r="50" spans="2:28" ht="15" thickBot="1" x14ac:dyDescent="0.35">
      <c r="B50" s="1268">
        <v>46287</v>
      </c>
      <c r="C50" s="1269"/>
      <c r="D50" s="14"/>
      <c r="E50" s="14"/>
      <c r="F50" s="579" t="s">
        <v>13</v>
      </c>
      <c r="G50" s="6"/>
      <c r="H50" s="6"/>
      <c r="I50" s="624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62"/>
      <c r="U50" s="1262"/>
      <c r="V50" s="1254"/>
      <c r="W50" s="160"/>
      <c r="X50" s="155"/>
      <c r="Y50" s="155"/>
    </row>
    <row r="51" spans="2:28" ht="15" thickBot="1" x14ac:dyDescent="0.35">
      <c r="B51" s="1270"/>
      <c r="C51" s="1271"/>
      <c r="D51" s="37"/>
      <c r="E51" s="247"/>
      <c r="F51" s="578" t="s">
        <v>14</v>
      </c>
      <c r="G51" s="6"/>
      <c r="H51" s="6"/>
      <c r="I51" s="624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258"/>
      <c r="U51" s="1258"/>
      <c r="V51" s="1253"/>
      <c r="W51" s="160"/>
      <c r="X51" s="155"/>
      <c r="Y51" s="155"/>
    </row>
    <row r="52" spans="2:28" ht="15" thickBot="1" x14ac:dyDescent="0.35">
      <c r="B52" s="1268">
        <v>46288</v>
      </c>
      <c r="C52" s="1269"/>
      <c r="D52" s="14"/>
      <c r="E52" s="14"/>
      <c r="F52" s="579" t="s">
        <v>13</v>
      </c>
      <c r="G52" s="6"/>
      <c r="H52" s="6"/>
      <c r="I52" s="624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62"/>
      <c r="U52" s="1262"/>
      <c r="V52" s="1254"/>
      <c r="W52" s="160"/>
      <c r="X52" s="155"/>
      <c r="Y52" s="155"/>
    </row>
    <row r="53" spans="2:28" ht="15" thickBot="1" x14ac:dyDescent="0.35">
      <c r="B53" s="1270"/>
      <c r="C53" s="1271"/>
      <c r="D53" s="37"/>
      <c r="E53" s="37"/>
      <c r="F53" s="578" t="s">
        <v>14</v>
      </c>
      <c r="G53" s="6"/>
      <c r="H53" s="6"/>
      <c r="I53" s="624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58"/>
      <c r="U53" s="1258"/>
      <c r="V53" s="1253"/>
      <c r="W53" s="160"/>
      <c r="X53" s="155"/>
      <c r="Y53" s="155"/>
    </row>
    <row r="54" spans="2:28" ht="15" thickBot="1" x14ac:dyDescent="0.35">
      <c r="B54" s="1268">
        <v>46289</v>
      </c>
      <c r="C54" s="1269"/>
      <c r="D54" s="14"/>
      <c r="E54" s="14"/>
      <c r="F54" s="579" t="s">
        <v>13</v>
      </c>
      <c r="G54" s="6"/>
      <c r="H54" s="6"/>
      <c r="I54" s="624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62"/>
      <c r="U54" s="1262"/>
      <c r="V54" s="1254"/>
      <c r="W54" s="160"/>
      <c r="X54" s="155"/>
      <c r="Y54" s="155"/>
      <c r="AB54" s="1">
        <v>9570</v>
      </c>
    </row>
    <row r="55" spans="2:28" ht="15" thickBot="1" x14ac:dyDescent="0.35">
      <c r="B55" s="1270"/>
      <c r="C55" s="1271"/>
      <c r="D55" s="37"/>
      <c r="E55" s="37"/>
      <c r="F55" s="578" t="s">
        <v>14</v>
      </c>
      <c r="G55" s="41"/>
      <c r="H55" s="6"/>
      <c r="I55" s="624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20.999999999999996</v>
      </c>
      <c r="Q55" s="40"/>
      <c r="R55" s="40">
        <f>'Milling Down Time Hours'!L61</f>
        <v>0</v>
      </c>
      <c r="S55" s="14"/>
      <c r="T55" s="1258"/>
      <c r="U55" s="1258"/>
      <c r="V55" s="1253"/>
      <c r="W55" s="160"/>
      <c r="X55" s="155"/>
      <c r="Y55" s="155"/>
      <c r="AB55" s="1">
        <v>8795</v>
      </c>
    </row>
    <row r="56" spans="2:28" ht="15" thickBot="1" x14ac:dyDescent="0.35">
      <c r="B56" s="1268">
        <v>46290</v>
      </c>
      <c r="C56" s="1269"/>
      <c r="D56" s="14"/>
      <c r="E56" s="14"/>
      <c r="F56" s="579" t="s">
        <v>13</v>
      </c>
      <c r="G56" s="41"/>
      <c r="H56" s="6"/>
      <c r="I56" s="624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62"/>
      <c r="U56" s="1262"/>
      <c r="V56" s="1254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270"/>
      <c r="C57" s="1271"/>
      <c r="D57" s="37"/>
      <c r="E57" s="37"/>
      <c r="F57" s="578" t="s">
        <v>14</v>
      </c>
      <c r="G57" s="41"/>
      <c r="H57" s="6"/>
      <c r="I57" s="624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58"/>
      <c r="U57" s="1258"/>
      <c r="V57" s="1253"/>
      <c r="W57" s="160"/>
      <c r="X57" s="155"/>
      <c r="Y57" s="155"/>
    </row>
    <row r="58" spans="2:28" ht="15" thickBot="1" x14ac:dyDescent="0.35">
      <c r="B58" s="1268">
        <v>46291</v>
      </c>
      <c r="C58" s="1269"/>
      <c r="D58" s="14"/>
      <c r="E58" s="14"/>
      <c r="F58" s="579" t="s">
        <v>13</v>
      </c>
      <c r="G58" s="6"/>
      <c r="H58" s="6"/>
      <c r="I58" s="624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62"/>
      <c r="U58" s="1262"/>
      <c r="V58" s="1254"/>
      <c r="W58" s="160"/>
      <c r="X58" s="155"/>
      <c r="Y58" s="155"/>
    </row>
    <row r="59" spans="2:28" ht="15" thickBot="1" x14ac:dyDescent="0.35">
      <c r="B59" s="1270"/>
      <c r="C59" s="1271"/>
      <c r="D59" s="37"/>
      <c r="E59" s="37"/>
      <c r="F59" s="578" t="s">
        <v>14</v>
      </c>
      <c r="G59" s="6"/>
      <c r="H59" s="6"/>
      <c r="I59" s="624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58"/>
      <c r="U59" s="1258"/>
      <c r="V59" s="1253"/>
      <c r="W59" s="160"/>
      <c r="X59" s="155"/>
      <c r="Y59" s="155"/>
    </row>
    <row r="60" spans="2:28" ht="15" thickBot="1" x14ac:dyDescent="0.35">
      <c r="B60" s="1268">
        <v>46292</v>
      </c>
      <c r="C60" s="1269"/>
      <c r="D60" s="14"/>
      <c r="E60" s="14"/>
      <c r="F60" s="579" t="s">
        <v>13</v>
      </c>
      <c r="G60" s="6"/>
      <c r="H60" s="6"/>
      <c r="I60" s="624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62"/>
      <c r="U60" s="1262"/>
      <c r="V60" s="1254"/>
      <c r="W60" s="160"/>
      <c r="X60" s="155"/>
      <c r="Y60" s="155"/>
    </row>
    <row r="61" spans="2:28" ht="15" thickBot="1" x14ac:dyDescent="0.35">
      <c r="B61" s="1270"/>
      <c r="C61" s="1271"/>
      <c r="D61" s="37"/>
      <c r="E61" s="37"/>
      <c r="F61" s="578" t="s">
        <v>14</v>
      </c>
      <c r="G61" s="6"/>
      <c r="H61" s="6"/>
      <c r="I61" s="624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58"/>
      <c r="U61" s="1258"/>
      <c r="V61" s="1253"/>
      <c r="W61" s="160"/>
      <c r="X61" s="155"/>
      <c r="Y61" s="155"/>
    </row>
    <row r="62" spans="2:28" ht="15" thickBot="1" x14ac:dyDescent="0.35">
      <c r="B62" s="1268">
        <v>46293</v>
      </c>
      <c r="C62" s="1269"/>
      <c r="D62" s="14"/>
      <c r="E62" s="14"/>
      <c r="F62" s="579" t="s">
        <v>13</v>
      </c>
      <c r="G62" s="6"/>
      <c r="H62" s="6"/>
      <c r="I62" s="624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62"/>
      <c r="U62" s="1262"/>
      <c r="V62" s="1254"/>
      <c r="W62" s="160"/>
      <c r="X62" s="155"/>
      <c r="Y62" s="155"/>
    </row>
    <row r="63" spans="2:28" ht="15" thickBot="1" x14ac:dyDescent="0.35">
      <c r="B63" s="1270"/>
      <c r="C63" s="1271"/>
      <c r="D63" s="37"/>
      <c r="E63" s="37"/>
      <c r="F63" s="578" t="s">
        <v>14</v>
      </c>
      <c r="G63" s="6"/>
      <c r="H63" s="6"/>
      <c r="I63" s="624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274"/>
      <c r="U63" s="1274"/>
      <c r="V63" s="1276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268">
        <v>46294</v>
      </c>
      <c r="C64" s="1269"/>
      <c r="D64" s="14"/>
      <c r="E64" s="14"/>
      <c r="F64" s="579" t="s">
        <v>13</v>
      </c>
      <c r="G64" s="6"/>
      <c r="H64" s="6"/>
      <c r="I64" s="624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275"/>
      <c r="U64" s="1275"/>
      <c r="V64" s="1277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270"/>
      <c r="C65" s="1271"/>
      <c r="D65" s="37"/>
      <c r="E65" s="37"/>
      <c r="F65" s="578" t="s">
        <v>14</v>
      </c>
      <c r="G65" s="6"/>
      <c r="H65" s="6"/>
      <c r="I65" s="624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274"/>
      <c r="U65" s="1274"/>
      <c r="V65" s="1441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268">
        <v>46295</v>
      </c>
      <c r="C66" s="1269"/>
      <c r="D66" s="14"/>
      <c r="E66" s="14"/>
      <c r="F66" s="579" t="s">
        <v>13</v>
      </c>
      <c r="G66" s="6"/>
      <c r="H66" s="6"/>
      <c r="I66" s="624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275"/>
      <c r="U66" s="1275"/>
      <c r="V66" s="1442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270"/>
      <c r="C67" s="1271"/>
      <c r="D67" s="37"/>
      <c r="E67" s="37"/>
      <c r="F67" s="578" t="s">
        <v>14</v>
      </c>
      <c r="G67" s="6"/>
      <c r="H67" s="6"/>
      <c r="I67" s="624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7"/>
      <c r="Q67" s="427"/>
      <c r="R67" s="40">
        <f>'Milling Down Time Hours'!L73</f>
        <v>0</v>
      </c>
      <c r="S67" s="14"/>
      <c r="T67" s="1274"/>
      <c r="U67" s="1274"/>
      <c r="V67" s="1441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268">
        <v>46296</v>
      </c>
      <c r="C68" s="1269"/>
      <c r="D68" s="14"/>
      <c r="E68" s="14"/>
      <c r="F68" s="579" t="s">
        <v>13</v>
      </c>
      <c r="G68" s="6"/>
      <c r="H68" s="6"/>
      <c r="I68" s="624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7"/>
      <c r="Q68" s="427"/>
      <c r="R68" s="40"/>
      <c r="S68" s="14"/>
      <c r="T68" s="1275"/>
      <c r="U68" s="1275"/>
      <c r="V68" s="1442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270"/>
      <c r="C69" s="1271"/>
      <c r="D69" s="37"/>
      <c r="E69" s="37"/>
      <c r="F69" s="578" t="s">
        <v>14</v>
      </c>
      <c r="G69" s="6"/>
      <c r="H69" s="6"/>
      <c r="I69" s="624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274"/>
      <c r="U69" s="1274"/>
      <c r="V69" s="1276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268">
        <v>46297</v>
      </c>
      <c r="C70" s="1269"/>
      <c r="D70" s="14"/>
      <c r="E70" s="14"/>
      <c r="F70" s="579" t="s">
        <v>13</v>
      </c>
      <c r="G70" s="6"/>
      <c r="H70" s="6"/>
      <c r="I70" s="624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275"/>
      <c r="U70" s="1275"/>
      <c r="V70" s="1277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270"/>
      <c r="C71" s="1271"/>
      <c r="D71" s="37"/>
      <c r="E71" s="37"/>
      <c r="F71" s="578" t="s">
        <v>14</v>
      </c>
      <c r="G71" s="41"/>
      <c r="H71" s="6"/>
      <c r="I71" s="624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274"/>
      <c r="U71" s="1274"/>
      <c r="V71" s="1276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268">
        <v>46298</v>
      </c>
      <c r="C72" s="1269"/>
      <c r="D72" s="14"/>
      <c r="E72" s="14"/>
      <c r="F72" s="579" t="s">
        <v>13</v>
      </c>
      <c r="G72" s="14"/>
      <c r="H72" s="6"/>
      <c r="I72" s="624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275"/>
      <c r="U72" s="1275"/>
      <c r="V72" s="1277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270"/>
      <c r="C73" s="1271"/>
      <c r="D73" s="37"/>
      <c r="E73" s="37"/>
      <c r="F73" s="578" t="s">
        <v>14</v>
      </c>
      <c r="G73" s="41"/>
      <c r="H73" s="6"/>
      <c r="I73" s="624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274"/>
      <c r="U73" s="1274"/>
      <c r="V73" s="1276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268">
        <v>46299</v>
      </c>
      <c r="C74" s="1269"/>
      <c r="D74" s="14"/>
      <c r="E74" s="14"/>
      <c r="F74" s="579" t="s">
        <v>13</v>
      </c>
      <c r="G74" s="14"/>
      <c r="H74" s="6"/>
      <c r="I74" s="624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275"/>
      <c r="U74" s="1275"/>
      <c r="V74" s="1277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270"/>
      <c r="C75" s="1271"/>
      <c r="D75" s="37"/>
      <c r="E75" s="37"/>
      <c r="F75" s="578" t="s">
        <v>14</v>
      </c>
      <c r="G75" s="14"/>
      <c r="H75" s="6"/>
      <c r="I75" s="624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258"/>
      <c r="U75" s="1258"/>
      <c r="V75" s="1253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268">
        <v>46300</v>
      </c>
      <c r="C76" s="1269"/>
      <c r="D76" s="14"/>
      <c r="E76" s="14"/>
      <c r="F76" s="579" t="s">
        <v>13</v>
      </c>
      <c r="G76" s="14"/>
      <c r="H76" s="6"/>
      <c r="I76" s="624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62"/>
      <c r="U76" s="1262"/>
      <c r="V76" s="1254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270"/>
      <c r="C77" s="1271"/>
      <c r="D77" s="37"/>
      <c r="E77" s="37"/>
      <c r="F77" s="578" t="s">
        <v>14</v>
      </c>
      <c r="G77" s="41"/>
      <c r="H77" s="6"/>
      <c r="I77" s="624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274"/>
      <c r="U77" s="1274"/>
      <c r="V77" s="1276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268">
        <v>46301</v>
      </c>
      <c r="C78" s="1269"/>
      <c r="D78" s="14"/>
      <c r="E78" s="14"/>
      <c r="F78" s="579" t="s">
        <v>13</v>
      </c>
      <c r="G78" s="14"/>
      <c r="H78" s="6"/>
      <c r="I78" s="624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275"/>
      <c r="U78" s="1275"/>
      <c r="V78" s="1277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272"/>
      <c r="C79" s="1273"/>
      <c r="D79" s="37"/>
      <c r="E79" s="37"/>
      <c r="F79" s="578" t="s">
        <v>14</v>
      </c>
      <c r="G79" s="41"/>
      <c r="H79" s="6"/>
      <c r="I79" s="624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43">
        <f>'Milling Down Time Hours'!Q43</f>
        <v>0</v>
      </c>
      <c r="Q79" s="40"/>
      <c r="R79" s="1443">
        <f>'Milling Down Time Hours'!L85</f>
        <v>0</v>
      </c>
      <c r="S79" s="14"/>
      <c r="T79" s="1274">
        <v>0.35699999999999998</v>
      </c>
      <c r="U79" s="1274">
        <v>1.056</v>
      </c>
      <c r="V79" s="1276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272"/>
      <c r="C80" s="1273"/>
      <c r="D80" s="14"/>
      <c r="E80" s="14"/>
      <c r="F80" s="579" t="s">
        <v>13</v>
      </c>
      <c r="G80" s="6"/>
      <c r="H80" s="6"/>
      <c r="I80" s="624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43"/>
      <c r="Q80" s="40"/>
      <c r="R80" s="1443"/>
      <c r="S80" s="14"/>
      <c r="T80" s="1275"/>
      <c r="U80" s="1275"/>
      <c r="V80" s="1277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272"/>
      <c r="C81" s="1273"/>
      <c r="D81" s="37"/>
      <c r="E81" s="37"/>
      <c r="F81" s="578" t="s">
        <v>14</v>
      </c>
      <c r="G81" s="6"/>
      <c r="H81" s="6"/>
      <c r="I81" s="624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43">
        <f>'Milling Down Time Hours'!M87</f>
        <v>0</v>
      </c>
      <c r="Q81" s="40"/>
      <c r="R81" s="1443">
        <f>'Milling Down Time Hours'!L87</f>
        <v>0</v>
      </c>
      <c r="S81" s="14"/>
      <c r="T81" s="1258" t="e">
        <f>SUM(#REF!)</f>
        <v>#REF!</v>
      </c>
      <c r="U81" s="1258" t="e">
        <f t="shared" ref="U81" si="26">SUM(T81:T83)</f>
        <v>#REF!</v>
      </c>
      <c r="V81" s="1253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272"/>
      <c r="C82" s="1273"/>
      <c r="D82" s="14"/>
      <c r="E82" s="14"/>
      <c r="F82" s="579" t="s">
        <v>13</v>
      </c>
      <c r="G82" s="6"/>
      <c r="H82" s="6"/>
      <c r="I82" s="624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43"/>
      <c r="Q82" s="40"/>
      <c r="R82" s="1443"/>
      <c r="S82" s="14"/>
      <c r="T82" s="1262"/>
      <c r="U82" s="1262"/>
      <c r="V82" s="1254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272"/>
      <c r="C83" s="1273"/>
      <c r="D83" s="37"/>
      <c r="E83" s="37"/>
      <c r="F83" s="578" t="s">
        <v>14</v>
      </c>
      <c r="G83" s="6"/>
      <c r="H83" s="6"/>
      <c r="I83" s="624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43">
        <f>'Milling Down Time Hours'!M89</f>
        <v>0</v>
      </c>
      <c r="Q83" s="40"/>
      <c r="R83" s="1443">
        <f>'Milling Down Time Hours'!L89</f>
        <v>0</v>
      </c>
      <c r="S83" s="14"/>
      <c r="T83" s="1258" t="e">
        <f>SUM(#REF!)</f>
        <v>#REF!</v>
      </c>
      <c r="U83" s="1258" t="e">
        <f t="shared" ref="U83" si="28">SUM(T83:T85)</f>
        <v>#REF!</v>
      </c>
      <c r="V83" s="1253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272"/>
      <c r="C84" s="1273"/>
      <c r="D84" s="14"/>
      <c r="E84" s="14"/>
      <c r="F84" s="579" t="s">
        <v>13</v>
      </c>
      <c r="G84" s="6"/>
      <c r="H84" s="6"/>
      <c r="I84" s="624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43"/>
      <c r="Q84" s="40"/>
      <c r="R84" s="1443"/>
      <c r="S84" s="14"/>
      <c r="T84" s="1262"/>
      <c r="U84" s="1262"/>
      <c r="V84" s="1254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272"/>
      <c r="C85" s="1273"/>
      <c r="D85" s="37"/>
      <c r="E85" s="37"/>
      <c r="F85" s="578" t="s">
        <v>14</v>
      </c>
      <c r="G85" s="6"/>
      <c r="H85" s="6"/>
      <c r="I85" s="624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43">
        <f>'Milling Down Time Hours'!M91</f>
        <v>0</v>
      </c>
      <c r="Q85" s="40"/>
      <c r="R85" s="1443">
        <f>'Milling Down Time Hours'!L91</f>
        <v>0</v>
      </c>
      <c r="S85" s="14"/>
      <c r="T85" s="1258" t="e">
        <f>SUM(#REF!)</f>
        <v>#REF!</v>
      </c>
      <c r="U85" s="1258" t="e">
        <f t="shared" ref="U85" si="30">SUM(T85:T87)</f>
        <v>#REF!</v>
      </c>
      <c r="V85" s="1253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272"/>
      <c r="C86" s="1273"/>
      <c r="D86" s="14"/>
      <c r="E86" s="14"/>
      <c r="F86" s="579" t="s">
        <v>13</v>
      </c>
      <c r="G86" s="6"/>
      <c r="H86" s="6"/>
      <c r="I86" s="624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43"/>
      <c r="Q86" s="40"/>
      <c r="R86" s="1443"/>
      <c r="S86" s="14"/>
      <c r="T86" s="1262"/>
      <c r="U86" s="1262"/>
      <c r="V86" s="1254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272"/>
      <c r="C87" s="1273"/>
      <c r="D87" s="37"/>
      <c r="E87" s="37"/>
      <c r="F87" s="578" t="s">
        <v>14</v>
      </c>
      <c r="G87" s="6"/>
      <c r="H87" s="6"/>
      <c r="I87" s="624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43">
        <f>'Milling Down Time Hours'!M93</f>
        <v>0</v>
      </c>
      <c r="Q87" s="40"/>
      <c r="R87" s="1443">
        <f>'Milling Down Time Hours'!L93</f>
        <v>0</v>
      </c>
      <c r="S87" s="14"/>
      <c r="T87" s="1258" t="e">
        <f>SUM(#REF!)</f>
        <v>#REF!</v>
      </c>
      <c r="U87" s="1258" t="e">
        <f t="shared" ref="U87" si="32">SUM(T87:T89)</f>
        <v>#REF!</v>
      </c>
      <c r="V87" s="1253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272"/>
      <c r="C88" s="1273"/>
      <c r="D88" s="14"/>
      <c r="E88" s="14"/>
      <c r="F88" s="579" t="s">
        <v>13</v>
      </c>
      <c r="G88" s="6"/>
      <c r="H88" s="6"/>
      <c r="I88" s="624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43"/>
      <c r="Q88" s="40"/>
      <c r="R88" s="1443"/>
      <c r="S88" s="14"/>
      <c r="T88" s="1262"/>
      <c r="U88" s="1262"/>
      <c r="V88" s="1254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272"/>
      <c r="C89" s="1273"/>
      <c r="D89" s="37"/>
      <c r="E89" s="37"/>
      <c r="F89" s="578" t="s">
        <v>14</v>
      </c>
      <c r="G89" s="6"/>
      <c r="H89" s="6"/>
      <c r="I89" s="624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43">
        <f>'Milling Down Time Hours'!M95</f>
        <v>0</v>
      </c>
      <c r="Q89" s="40"/>
      <c r="R89" s="1443">
        <f>'Milling Down Time Hours'!L95</f>
        <v>0</v>
      </c>
      <c r="S89" s="14"/>
      <c r="T89" s="1258" t="e">
        <f>SUM(#REF!)</f>
        <v>#REF!</v>
      </c>
      <c r="U89" s="1258" t="e">
        <f t="shared" ref="U89" si="34">SUM(T89:T91)</f>
        <v>#REF!</v>
      </c>
      <c r="V89" s="1253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272"/>
      <c r="C90" s="1273"/>
      <c r="D90" s="14"/>
      <c r="E90" s="14"/>
      <c r="F90" s="579" t="s">
        <v>13</v>
      </c>
      <c r="G90" s="6"/>
      <c r="H90" s="6"/>
      <c r="I90" s="624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43"/>
      <c r="Q90" s="40"/>
      <c r="R90" s="1443"/>
      <c r="S90" s="14"/>
      <c r="T90" s="1262"/>
      <c r="U90" s="1262"/>
      <c r="V90" s="1254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272"/>
      <c r="C91" s="1273"/>
      <c r="D91" s="37"/>
      <c r="E91" s="37"/>
      <c r="F91" s="578" t="s">
        <v>14</v>
      </c>
      <c r="G91" s="6"/>
      <c r="H91" s="6"/>
      <c r="I91" s="624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43">
        <f>'Milling Down Time Hours'!M97</f>
        <v>0</v>
      </c>
      <c r="Q91" s="40"/>
      <c r="R91" s="1443">
        <f>'Milling Down Time Hours'!L97</f>
        <v>0</v>
      </c>
      <c r="S91" s="14"/>
      <c r="T91" s="1258" t="e">
        <f>SUM(#REF!)</f>
        <v>#REF!</v>
      </c>
      <c r="U91" s="1258" t="e">
        <f t="shared" ref="U91" si="36">SUM(T91:T93)</f>
        <v>#REF!</v>
      </c>
      <c r="V91" s="1253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272"/>
      <c r="C92" s="1273"/>
      <c r="D92" s="14"/>
      <c r="E92" s="14"/>
      <c r="F92" s="579" t="s">
        <v>13</v>
      </c>
      <c r="G92" s="6"/>
      <c r="H92" s="6"/>
      <c r="I92" s="624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43"/>
      <c r="Q92" s="40"/>
      <c r="R92" s="1443"/>
      <c r="S92" s="14"/>
      <c r="T92" s="1262"/>
      <c r="U92" s="1262"/>
      <c r="V92" s="1254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272"/>
      <c r="C93" s="1273"/>
      <c r="D93" s="37"/>
      <c r="E93" s="37"/>
      <c r="F93" s="578" t="s">
        <v>14</v>
      </c>
      <c r="G93" s="6"/>
      <c r="H93" s="6"/>
      <c r="I93" s="624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43">
        <f>'Milling Down Time Hours'!M99</f>
        <v>0</v>
      </c>
      <c r="Q93" s="40"/>
      <c r="R93" s="1443">
        <f>'Milling Down Time Hours'!L99</f>
        <v>0</v>
      </c>
      <c r="S93" s="14"/>
      <c r="T93" s="1258" t="e">
        <f>SUM(#REF!)</f>
        <v>#REF!</v>
      </c>
      <c r="U93" s="1258" t="e">
        <f t="shared" ref="U93" si="38">SUM(T93:T95)</f>
        <v>#REF!</v>
      </c>
      <c r="V93" s="1253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272"/>
      <c r="C94" s="1273"/>
      <c r="D94" s="14"/>
      <c r="E94" s="14"/>
      <c r="F94" s="579" t="s">
        <v>13</v>
      </c>
      <c r="G94" s="6"/>
      <c r="H94" s="6"/>
      <c r="I94" s="624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43"/>
      <c r="Q94" s="40"/>
      <c r="R94" s="1443"/>
      <c r="S94" s="14"/>
      <c r="T94" s="1262"/>
      <c r="U94" s="1262"/>
      <c r="V94" s="1254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272"/>
      <c r="C95" s="1273"/>
      <c r="D95" s="37"/>
      <c r="E95" s="37"/>
      <c r="F95" s="578" t="s">
        <v>14</v>
      </c>
      <c r="G95" s="6"/>
      <c r="H95" s="6"/>
      <c r="I95" s="624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43">
        <f>'Milling Down Time Hours'!M101</f>
        <v>0</v>
      </c>
      <c r="Q95" s="40"/>
      <c r="R95" s="1443">
        <f>'Milling Down Time Hours'!L101</f>
        <v>0</v>
      </c>
      <c r="S95" s="14"/>
      <c r="T95" s="1258" t="e">
        <f>SUM(#REF!)</f>
        <v>#REF!</v>
      </c>
      <c r="U95" s="1258" t="e">
        <f>SUM(T95:T99)</f>
        <v>#REF!</v>
      </c>
      <c r="V95" s="1253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272"/>
      <c r="C96" s="1273"/>
      <c r="D96" s="96"/>
      <c r="E96" s="96"/>
      <c r="F96" s="579" t="s">
        <v>13</v>
      </c>
      <c r="G96" s="179"/>
      <c r="H96" s="179"/>
      <c r="I96" s="624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43"/>
      <c r="Q96" s="40"/>
      <c r="R96" s="1443"/>
      <c r="S96" s="96"/>
      <c r="T96" s="1259"/>
      <c r="U96" s="1259"/>
      <c r="V96" s="1260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270"/>
      <c r="C97" s="1271"/>
      <c r="D97" s="522"/>
      <c r="E97" s="522"/>
      <c r="F97" s="578" t="s">
        <v>14</v>
      </c>
      <c r="G97" s="41"/>
      <c r="H97" s="6"/>
      <c r="I97" s="624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6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7"/>
      <c r="C98" s="458"/>
      <c r="D98" s="522"/>
      <c r="E98" s="522"/>
      <c r="F98" s="579" t="s">
        <v>13</v>
      </c>
      <c r="G98" s="6"/>
      <c r="H98" s="6"/>
      <c r="I98" s="624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6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6">
        <f>SUM(Z5:Z17)</f>
        <v>1188347787.2522082</v>
      </c>
    </row>
    <row r="99" spans="2:27" ht="18" x14ac:dyDescent="0.35">
      <c r="B99" s="126" t="s">
        <v>122</v>
      </c>
      <c r="C99" s="127"/>
      <c r="D99" s="475"/>
      <c r="E99" s="475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9">
        <f>SUM(M5:M98)</f>
        <v>1723.7849127500003</v>
      </c>
      <c r="N99" s="143"/>
      <c r="O99" s="127"/>
      <c r="P99" s="128">
        <f>'Milling Down Time Hours'!Q59</f>
        <v>331.88333333333327</v>
      </c>
      <c r="Q99" s="128"/>
      <c r="R99" s="475"/>
      <c r="S99" s="475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Crushing</vt:lpstr>
      <vt:lpstr>Rom File Inventory</vt:lpstr>
      <vt:lpstr>Reagent Consumption</vt:lpstr>
      <vt:lpstr>Crushing Down Time Hours</vt:lpstr>
      <vt:lpstr>LT Ball Mill</vt:lpstr>
      <vt:lpstr>Milling Down Time Hours</vt:lpstr>
      <vt:lpstr>Au Cal Leaching Tank</vt:lpstr>
      <vt:lpstr>Milling and Leach Feed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2026-09-21T01:25:39Z</dcterms:modified>
</cp:coreProperties>
</file>