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mxi\Downloads\"/>
    </mc:Choice>
  </mc:AlternateContent>
  <xr:revisionPtr revIDLastSave="0" documentId="13_ncr:1_{9A1D1B30-7847-46DE-84DA-A0ED98662F4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Dashboard" sheetId="18" r:id="rId1"/>
    <sheet name="Daily Production" sheetId="19" r:id="rId2"/>
    <sheet name="Daily Summary " sheetId="7" r:id="rId3"/>
    <sheet name="AAS lab Crushing Daily " sheetId="16" r:id="rId4"/>
    <sheet name="Reagent Consumption" sheetId="2" r:id="rId5"/>
    <sheet name="Crushing" sheetId="1" r:id="rId6"/>
    <sheet name="Rom File Inventory" sheetId="12" r:id="rId7"/>
    <sheet name="Au Cal Leaching Tank" sheetId="13" r:id="rId8"/>
    <sheet name="LT Ball Mill" sheetId="17" r:id="rId9"/>
    <sheet name="Milling and Leach Feed" sheetId="4" r:id="rId10"/>
    <sheet name="Crushing Down Time Hours" sheetId="8" r:id="rId11"/>
    <sheet name="Milling Down Time Hours" sheetId="5" r:id="rId12"/>
    <sheet name="LT Floculation" sheetId="15" r:id="rId13"/>
    <sheet name="Filter Press Down Time Hours " sheetId="14" r:id="rId14"/>
    <sheet name="Leach Time Process&amp;Down Time" sheetId="11" r:id="rId15"/>
    <sheet name="Leaching" sheetId="3" r:id="rId16"/>
    <sheet name="Fuel Consumption" sheetId="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" l="1"/>
  <c r="H15" i="3"/>
  <c r="K14" i="3"/>
  <c r="H14" i="3"/>
  <c r="H10" i="3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R10" i="11"/>
  <c r="S10" i="11" s="1"/>
  <c r="T10" i="11" s="1"/>
  <c r="J10" i="11"/>
  <c r="L10" i="11" s="1"/>
  <c r="R9" i="11"/>
  <c r="S9" i="11" s="1"/>
  <c r="T9" i="11" s="1"/>
  <c r="J9" i="11"/>
  <c r="L9" i="11" s="1"/>
  <c r="J8" i="11"/>
  <c r="L8" i="11" s="1"/>
  <c r="J7" i="11"/>
  <c r="L7" i="11" s="1"/>
  <c r="J6" i="11"/>
  <c r="L6" i="11" s="1"/>
  <c r="J5" i="11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F48" i="14"/>
  <c r="F47" i="14"/>
  <c r="F46" i="14"/>
  <c r="F45" i="14"/>
  <c r="F44" i="14"/>
  <c r="F43" i="14"/>
  <c r="F42" i="14"/>
  <c r="K41" i="14"/>
  <c r="L41" i="14" s="1"/>
  <c r="M41" i="14" s="1"/>
  <c r="F41" i="14"/>
  <c r="K40" i="14"/>
  <c r="L40" i="14" s="1"/>
  <c r="M40" i="14" s="1"/>
  <c r="F40" i="14"/>
  <c r="K39" i="14"/>
  <c r="L39" i="14" s="1"/>
  <c r="M39" i="14" s="1"/>
  <c r="F39" i="14"/>
  <c r="K38" i="14"/>
  <c r="L38" i="14" s="1"/>
  <c r="M38" i="14" s="1"/>
  <c r="F38" i="14"/>
  <c r="K37" i="14"/>
  <c r="L37" i="14" s="1"/>
  <c r="M37" i="14" s="1"/>
  <c r="F37" i="14"/>
  <c r="K36" i="14"/>
  <c r="L36" i="14" s="1"/>
  <c r="M36" i="14" s="1"/>
  <c r="F36" i="14"/>
  <c r="F35" i="14"/>
  <c r="K34" i="14"/>
  <c r="L34" i="14" s="1"/>
  <c r="M34" i="14" s="1"/>
  <c r="F34" i="14"/>
  <c r="K33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F29" i="14"/>
  <c r="K29" i="14" s="1"/>
  <c r="L29" i="14" s="1"/>
  <c r="M29" i="14" s="1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F25" i="14"/>
  <c r="K25" i="14" s="1"/>
  <c r="L25" i="14" s="1"/>
  <c r="M25" i="14" s="1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F21" i="14"/>
  <c r="K21" i="14" s="1"/>
  <c r="L21" i="14" s="1"/>
  <c r="M21" i="14" s="1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F13" i="14"/>
  <c r="K13" i="14" s="1"/>
  <c r="L13" i="14" s="1"/>
  <c r="M13" i="14" s="1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F6" i="14"/>
  <c r="K6" i="14" s="1"/>
  <c r="L6" i="14" s="1"/>
  <c r="M6" i="14" s="1"/>
  <c r="F5" i="14"/>
  <c r="K5" i="14" s="1"/>
  <c r="L5" i="14" s="1"/>
  <c r="M5" i="14" s="1"/>
  <c r="I2" i="14"/>
  <c r="I3" i="14" s="1"/>
  <c r="I7" i="15"/>
  <c r="H7" i="15"/>
  <c r="G7" i="15"/>
  <c r="I6" i="15"/>
  <c r="H6" i="15"/>
  <c r="G6" i="15"/>
  <c r="G63" i="5"/>
  <c r="G62" i="5"/>
  <c r="G61" i="5"/>
  <c r="G60" i="5"/>
  <c r="G59" i="5"/>
  <c r="G58" i="5"/>
  <c r="N57" i="5"/>
  <c r="G57" i="5"/>
  <c r="N56" i="5"/>
  <c r="G56" i="5"/>
  <c r="N55" i="5"/>
  <c r="G55" i="5"/>
  <c r="N54" i="5"/>
  <c r="G54" i="5"/>
  <c r="N53" i="5"/>
  <c r="G53" i="5"/>
  <c r="N52" i="5"/>
  <c r="G52" i="5"/>
  <c r="N51" i="5"/>
  <c r="G51" i="5"/>
  <c r="S50" i="5"/>
  <c r="N50" i="5"/>
  <c r="G50" i="5"/>
  <c r="N49" i="5"/>
  <c r="G49" i="5"/>
  <c r="N48" i="5"/>
  <c r="G48" i="5"/>
  <c r="N47" i="5"/>
  <c r="G47" i="5"/>
  <c r="N46" i="5"/>
  <c r="G46" i="5"/>
  <c r="S45" i="5"/>
  <c r="N45" i="5"/>
  <c r="G45" i="5"/>
  <c r="N44" i="5"/>
  <c r="G44" i="5"/>
  <c r="N43" i="5"/>
  <c r="G43" i="5"/>
  <c r="L42" i="5"/>
  <c r="M42" i="5" s="1"/>
  <c r="G42" i="5"/>
  <c r="L41" i="5"/>
  <c r="M41" i="5" s="1"/>
  <c r="G41" i="5"/>
  <c r="L40" i="5"/>
  <c r="M40" i="5" s="1"/>
  <c r="G40" i="5"/>
  <c r="L39" i="5"/>
  <c r="M39" i="5" s="1"/>
  <c r="G39" i="5"/>
  <c r="L38" i="5"/>
  <c r="M38" i="5" s="1"/>
  <c r="G38" i="5"/>
  <c r="L37" i="5"/>
  <c r="M37" i="5" s="1"/>
  <c r="G37" i="5"/>
  <c r="N36" i="5"/>
  <c r="G36" i="5"/>
  <c r="L35" i="5"/>
  <c r="M35" i="5" s="1"/>
  <c r="G35" i="5"/>
  <c r="G34" i="5"/>
  <c r="L34" i="5" s="1"/>
  <c r="M34" i="5" s="1"/>
  <c r="G33" i="5"/>
  <c r="L33" i="5" s="1"/>
  <c r="M33" i="5" s="1"/>
  <c r="N33" i="5" s="1"/>
  <c r="G32" i="5"/>
  <c r="L32" i="5" s="1"/>
  <c r="M32" i="5" s="1"/>
  <c r="N32" i="5" s="1"/>
  <c r="G31" i="5"/>
  <c r="L31" i="5" s="1"/>
  <c r="M31" i="5" s="1"/>
  <c r="N31" i="5" s="1"/>
  <c r="G30" i="5"/>
  <c r="L30" i="5" s="1"/>
  <c r="M30" i="5" s="1"/>
  <c r="N30" i="5" s="1"/>
  <c r="G29" i="5"/>
  <c r="L29" i="5" s="1"/>
  <c r="G28" i="5"/>
  <c r="L28" i="5" s="1"/>
  <c r="G27" i="5"/>
  <c r="L27" i="5" s="1"/>
  <c r="G26" i="5"/>
  <c r="L26" i="5" s="1"/>
  <c r="G25" i="5"/>
  <c r="L25" i="5" s="1"/>
  <c r="G24" i="5"/>
  <c r="L24" i="5" s="1"/>
  <c r="G23" i="5"/>
  <c r="L23" i="5" s="1"/>
  <c r="G22" i="5"/>
  <c r="L22" i="5" s="1"/>
  <c r="G21" i="5"/>
  <c r="L21" i="5" s="1"/>
  <c r="G20" i="5"/>
  <c r="L20" i="5" s="1"/>
  <c r="G19" i="5"/>
  <c r="L19" i="5" s="1"/>
  <c r="G18" i="5"/>
  <c r="L18" i="5" s="1"/>
  <c r="G17" i="5"/>
  <c r="L17" i="5" s="1"/>
  <c r="G15" i="5"/>
  <c r="L15" i="5" s="1"/>
  <c r="P14" i="5"/>
  <c r="G14" i="5"/>
  <c r="L14" i="5" s="1"/>
  <c r="P13" i="5"/>
  <c r="G13" i="5"/>
  <c r="L13" i="5" s="1"/>
  <c r="P12" i="5"/>
  <c r="L12" i="5"/>
  <c r="G12" i="5"/>
  <c r="G11" i="5"/>
  <c r="L11" i="5" s="1"/>
  <c r="P10" i="5"/>
  <c r="G10" i="5"/>
  <c r="L10" i="5" s="1"/>
  <c r="P9" i="5"/>
  <c r="G9" i="5"/>
  <c r="L9" i="5" s="1"/>
  <c r="P8" i="5"/>
  <c r="G8" i="5"/>
  <c r="L8" i="5" s="1"/>
  <c r="P7" i="5"/>
  <c r="G7" i="5"/>
  <c r="L7" i="5" s="1"/>
  <c r="P6" i="5"/>
  <c r="G6" i="5"/>
  <c r="L6" i="5" s="1"/>
  <c r="P5" i="5"/>
  <c r="G5" i="5"/>
  <c r="L5" i="5" s="1"/>
  <c r="L46" i="8"/>
  <c r="M36" i="8"/>
  <c r="F36" i="8"/>
  <c r="K36" i="8" s="1"/>
  <c r="F35" i="8"/>
  <c r="F34" i="8"/>
  <c r="M33" i="8"/>
  <c r="K33" i="8"/>
  <c r="M29" i="8"/>
  <c r="K29" i="8"/>
  <c r="M28" i="8"/>
  <c r="F28" i="8"/>
  <c r="K28" i="8" s="1"/>
  <c r="M27" i="8"/>
  <c r="F27" i="8"/>
  <c r="K27" i="8" s="1"/>
  <c r="M26" i="8"/>
  <c r="F26" i="8"/>
  <c r="K26" i="8" s="1"/>
  <c r="M25" i="8"/>
  <c r="F25" i="8"/>
  <c r="K25" i="8" s="1"/>
  <c r="M24" i="8"/>
  <c r="F24" i="8"/>
  <c r="K24" i="8" s="1"/>
  <c r="M23" i="8"/>
  <c r="F23" i="8"/>
  <c r="K23" i="8" s="1"/>
  <c r="M22" i="8"/>
  <c r="F22" i="8"/>
  <c r="K22" i="8" s="1"/>
  <c r="M21" i="8"/>
  <c r="F21" i="8"/>
  <c r="K21" i="8" s="1"/>
  <c r="M20" i="8"/>
  <c r="F20" i="8"/>
  <c r="K20" i="8" s="1"/>
  <c r="M19" i="8"/>
  <c r="F19" i="8"/>
  <c r="K19" i="8" s="1"/>
  <c r="F18" i="8"/>
  <c r="K18" i="8" s="1"/>
  <c r="L18" i="8" s="1"/>
  <c r="F17" i="8"/>
  <c r="K17" i="8" s="1"/>
  <c r="L17" i="8" s="1"/>
  <c r="F16" i="8"/>
  <c r="K16" i="8" s="1"/>
  <c r="L16" i="8" s="1"/>
  <c r="F15" i="8"/>
  <c r="K15" i="8" s="1"/>
  <c r="L15" i="8" s="1"/>
  <c r="F14" i="8"/>
  <c r="K14" i="8" s="1"/>
  <c r="L14" i="8" s="1"/>
  <c r="F13" i="8"/>
  <c r="K13" i="8" s="1"/>
  <c r="L13" i="8" s="1"/>
  <c r="AA12" i="8"/>
  <c r="F12" i="8"/>
  <c r="K12" i="8" s="1"/>
  <c r="L12" i="8" s="1"/>
  <c r="F11" i="8"/>
  <c r="K11" i="8" s="1"/>
  <c r="L11" i="8" s="1"/>
  <c r="F10" i="8"/>
  <c r="K10" i="8" s="1"/>
  <c r="L10" i="8" s="1"/>
  <c r="F9" i="8"/>
  <c r="K9" i="8" s="1"/>
  <c r="L9" i="8" s="1"/>
  <c r="F8" i="8"/>
  <c r="K8" i="8" s="1"/>
  <c r="L8" i="8" s="1"/>
  <c r="F7" i="8"/>
  <c r="K7" i="8" s="1"/>
  <c r="L7" i="8" s="1"/>
  <c r="F6" i="8"/>
  <c r="K6" i="8" s="1"/>
  <c r="V98" i="4"/>
  <c r="U98" i="4"/>
  <c r="T98" i="4"/>
  <c r="L98" i="4"/>
  <c r="M97" i="4"/>
  <c r="M96" i="4"/>
  <c r="M95" i="4"/>
  <c r="T94" i="4"/>
  <c r="R94" i="4"/>
  <c r="P94" i="4"/>
  <c r="M94" i="4"/>
  <c r="M93" i="4"/>
  <c r="T92" i="4"/>
  <c r="R92" i="4"/>
  <c r="P92" i="4"/>
  <c r="M92" i="4"/>
  <c r="M91" i="4"/>
  <c r="T90" i="4"/>
  <c r="R90" i="4"/>
  <c r="P90" i="4"/>
  <c r="M90" i="4"/>
  <c r="M89" i="4"/>
  <c r="T88" i="4"/>
  <c r="R88" i="4"/>
  <c r="P88" i="4"/>
  <c r="M88" i="4"/>
  <c r="M87" i="4"/>
  <c r="T86" i="4"/>
  <c r="R86" i="4"/>
  <c r="P86" i="4"/>
  <c r="M86" i="4"/>
  <c r="M85" i="4"/>
  <c r="T84" i="4"/>
  <c r="R84" i="4"/>
  <c r="P84" i="4"/>
  <c r="M84" i="4"/>
  <c r="M83" i="4"/>
  <c r="T82" i="4"/>
  <c r="R82" i="4"/>
  <c r="P82" i="4"/>
  <c r="M82" i="4"/>
  <c r="M81" i="4"/>
  <c r="T80" i="4"/>
  <c r="R80" i="4"/>
  <c r="P80" i="4"/>
  <c r="M80" i="4"/>
  <c r="AD79" i="4"/>
  <c r="M79" i="4"/>
  <c r="R78" i="4"/>
  <c r="M78" i="4"/>
  <c r="M77" i="4"/>
  <c r="R76" i="4"/>
  <c r="M76" i="4"/>
  <c r="M75" i="4"/>
  <c r="R74" i="4"/>
  <c r="M74" i="4"/>
  <c r="M73" i="4"/>
  <c r="R72" i="4"/>
  <c r="M72" i="4"/>
  <c r="M71" i="4"/>
  <c r="R70" i="4"/>
  <c r="M70" i="4"/>
  <c r="X69" i="4"/>
  <c r="W69" i="4"/>
  <c r="M69" i="4"/>
  <c r="Y69" i="4" s="1"/>
  <c r="R68" i="4"/>
  <c r="M68" i="4"/>
  <c r="M67" i="4"/>
  <c r="R66" i="4"/>
  <c r="M66" i="4"/>
  <c r="M65" i="4"/>
  <c r="R64" i="4"/>
  <c r="M64" i="4"/>
  <c r="M63" i="4"/>
  <c r="R62" i="4"/>
  <c r="M62" i="4"/>
  <c r="M61" i="4"/>
  <c r="R60" i="4"/>
  <c r="P60" i="4"/>
  <c r="M60" i="4"/>
  <c r="M59" i="4"/>
  <c r="R58" i="4"/>
  <c r="P58" i="4"/>
  <c r="M58" i="4"/>
  <c r="M57" i="4"/>
  <c r="R56" i="4"/>
  <c r="P56" i="4"/>
  <c r="M56" i="4"/>
  <c r="AB55" i="4"/>
  <c r="M55" i="4"/>
  <c r="R54" i="4"/>
  <c r="M54" i="4"/>
  <c r="M53" i="4"/>
  <c r="M52" i="4"/>
  <c r="M51" i="4"/>
  <c r="R50" i="4"/>
  <c r="P50" i="4"/>
  <c r="M50" i="4"/>
  <c r="M49" i="4"/>
  <c r="R48" i="4"/>
  <c r="P48" i="4"/>
  <c r="M48" i="4"/>
  <c r="M47" i="4"/>
  <c r="M46" i="4"/>
  <c r="M45" i="4"/>
  <c r="M44" i="4"/>
  <c r="M43" i="4"/>
  <c r="M42" i="4"/>
  <c r="M41" i="4"/>
  <c r="M40" i="4"/>
  <c r="AF39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AB23" i="4"/>
  <c r="AB24" i="4" s="1"/>
  <c r="AB25" i="4" s="1"/>
  <c r="AB26" i="4" s="1"/>
  <c r="S23" i="4"/>
  <c r="M23" i="4"/>
  <c r="M22" i="4"/>
  <c r="I22" i="4"/>
  <c r="R21" i="4"/>
  <c r="Q21" i="4"/>
  <c r="P21" i="4"/>
  <c r="R20" i="4"/>
  <c r="Q20" i="4"/>
  <c r="P20" i="4"/>
  <c r="H20" i="4"/>
  <c r="R19" i="4"/>
  <c r="Q19" i="4"/>
  <c r="P19" i="4"/>
  <c r="AC18" i="4"/>
  <c r="V18" i="4"/>
  <c r="U18" i="4"/>
  <c r="T18" i="4"/>
  <c r="Q18" i="4"/>
  <c r="P18" i="4"/>
  <c r="V17" i="4"/>
  <c r="U17" i="4"/>
  <c r="T17" i="4"/>
  <c r="V16" i="4"/>
  <c r="U16" i="4"/>
  <c r="T16" i="4"/>
  <c r="Q16" i="4"/>
  <c r="P16" i="4"/>
  <c r="H16" i="4"/>
  <c r="Q15" i="4"/>
  <c r="M15" i="4"/>
  <c r="M14" i="4"/>
  <c r="M13" i="4"/>
  <c r="M12" i="4"/>
  <c r="AC11" i="4"/>
  <c r="V11" i="4"/>
  <c r="U11" i="4"/>
  <c r="T11" i="4"/>
  <c r="AC10" i="4"/>
  <c r="V10" i="4"/>
  <c r="U10" i="4"/>
  <c r="T10" i="4"/>
  <c r="V9" i="4"/>
  <c r="U9" i="4"/>
  <c r="T9" i="4"/>
  <c r="H9" i="4"/>
  <c r="V8" i="4"/>
  <c r="U8" i="4"/>
  <c r="T8" i="4"/>
  <c r="V7" i="4"/>
  <c r="U7" i="4"/>
  <c r="T7" i="4"/>
  <c r="V6" i="4"/>
  <c r="U6" i="4"/>
  <c r="T6" i="4"/>
  <c r="H6" i="4"/>
  <c r="V5" i="4"/>
  <c r="U5" i="4"/>
  <c r="T5" i="4"/>
  <c r="W5" i="4" s="1"/>
  <c r="M5" i="4"/>
  <c r="J5" i="4"/>
  <c r="O2" i="4"/>
  <c r="K24" i="17"/>
  <c r="J24" i="17"/>
  <c r="I24" i="17"/>
  <c r="AB21" i="17"/>
  <c r="AA21" i="17"/>
  <c r="Z21" i="17"/>
  <c r="V21" i="17"/>
  <c r="Y21" i="17" s="1"/>
  <c r="U21" i="17"/>
  <c r="X21" i="17" s="1"/>
  <c r="T21" i="17"/>
  <c r="W21" i="17" s="1"/>
  <c r="AB18" i="17"/>
  <c r="AA18" i="17"/>
  <c r="Z18" i="17"/>
  <c r="V18" i="17"/>
  <c r="U18" i="17"/>
  <c r="T18" i="17"/>
  <c r="K18" i="17"/>
  <c r="Y18" i="17" s="1"/>
  <c r="J18" i="17"/>
  <c r="X18" i="17" s="1"/>
  <c r="I18" i="17"/>
  <c r="W18" i="17" s="1"/>
  <c r="AB13" i="17"/>
  <c r="AA13" i="17"/>
  <c r="Z13" i="17"/>
  <c r="V13" i="17"/>
  <c r="U13" i="17"/>
  <c r="T13" i="17"/>
  <c r="K11" i="17"/>
  <c r="Y13" i="17" s="1"/>
  <c r="J11" i="17"/>
  <c r="X13" i="17" s="1"/>
  <c r="I11" i="17"/>
  <c r="W13" i="17" s="1"/>
  <c r="AB8" i="17"/>
  <c r="AA8" i="17"/>
  <c r="Z8" i="17"/>
  <c r="V8" i="17"/>
  <c r="Y8" i="17" s="1"/>
  <c r="U8" i="17"/>
  <c r="X8" i="17" s="1"/>
  <c r="T8" i="17"/>
  <c r="W8" i="17" s="1"/>
  <c r="K6" i="17"/>
  <c r="J6" i="17"/>
  <c r="I6" i="17"/>
  <c r="T98" i="13"/>
  <c r="S98" i="13"/>
  <c r="R98" i="13"/>
  <c r="N98" i="13"/>
  <c r="M98" i="13"/>
  <c r="L98" i="13"/>
  <c r="K98" i="13"/>
  <c r="T97" i="13"/>
  <c r="S97" i="13"/>
  <c r="R97" i="13"/>
  <c r="N97" i="13"/>
  <c r="M97" i="13"/>
  <c r="L97" i="13"/>
  <c r="K97" i="13"/>
  <c r="T96" i="13"/>
  <c r="S96" i="13"/>
  <c r="R96" i="13"/>
  <c r="T94" i="13"/>
  <c r="S94" i="13"/>
  <c r="R94" i="13"/>
  <c r="N94" i="13"/>
  <c r="M94" i="13"/>
  <c r="L94" i="13"/>
  <c r="K94" i="13"/>
  <c r="AO70" i="13"/>
  <c r="AN70" i="13"/>
  <c r="AO69" i="13"/>
  <c r="AN69" i="13"/>
  <c r="AF60" i="13"/>
  <c r="AS59" i="13"/>
  <c r="AR59" i="13"/>
  <c r="AQ59" i="13"/>
  <c r="AS58" i="13"/>
  <c r="AR58" i="13"/>
  <c r="AQ58" i="13"/>
  <c r="AS57" i="13"/>
  <c r="AR57" i="13"/>
  <c r="AQ57" i="13"/>
  <c r="AS56" i="13"/>
  <c r="AR56" i="13"/>
  <c r="AQ56" i="13"/>
  <c r="AS55" i="13"/>
  <c r="AR55" i="13"/>
  <c r="AQ55" i="13"/>
  <c r="AS54" i="13"/>
  <c r="AR54" i="13"/>
  <c r="AQ54" i="13"/>
  <c r="AS53" i="13"/>
  <c r="AR53" i="13"/>
  <c r="AQ53" i="13"/>
  <c r="AS52" i="13"/>
  <c r="AR52" i="13"/>
  <c r="AQ52" i="13"/>
  <c r="AS51" i="13"/>
  <c r="AR51" i="13"/>
  <c r="AQ51" i="13"/>
  <c r="AS50" i="13"/>
  <c r="AR50" i="13"/>
  <c r="AQ50" i="13"/>
  <c r="AS49" i="13"/>
  <c r="AR49" i="13"/>
  <c r="AQ49" i="13"/>
  <c r="AS48" i="13"/>
  <c r="AR48" i="13"/>
  <c r="AQ48" i="13"/>
  <c r="AS47" i="13"/>
  <c r="AR47" i="13"/>
  <c r="AQ47" i="13"/>
  <c r="AS46" i="13"/>
  <c r="AR46" i="13"/>
  <c r="AQ46" i="13"/>
  <c r="AS45" i="13"/>
  <c r="AR45" i="13"/>
  <c r="AQ45" i="13"/>
  <c r="AS44" i="13"/>
  <c r="AR44" i="13"/>
  <c r="AQ44" i="13"/>
  <c r="AS43" i="13"/>
  <c r="AR43" i="13"/>
  <c r="AQ43" i="13"/>
  <c r="AS42" i="13"/>
  <c r="AR42" i="13"/>
  <c r="AQ42" i="13"/>
  <c r="AS41" i="13"/>
  <c r="AR41" i="13"/>
  <c r="AQ41" i="13"/>
  <c r="AS40" i="13"/>
  <c r="AR40" i="13"/>
  <c r="AQ40" i="13"/>
  <c r="AS39" i="13"/>
  <c r="AR39" i="13"/>
  <c r="AQ39" i="13"/>
  <c r="AS38" i="13"/>
  <c r="AR38" i="13"/>
  <c r="AQ38" i="13"/>
  <c r="AS37" i="13"/>
  <c r="AR37" i="13"/>
  <c r="AQ37" i="13"/>
  <c r="AS36" i="13"/>
  <c r="AR36" i="13"/>
  <c r="AQ36" i="13"/>
  <c r="AS35" i="13"/>
  <c r="AR35" i="13"/>
  <c r="AQ35" i="13"/>
  <c r="AS34" i="13"/>
  <c r="AR34" i="13"/>
  <c r="AQ34" i="13"/>
  <c r="AS33" i="13"/>
  <c r="AR33" i="13"/>
  <c r="AQ33" i="13"/>
  <c r="AS32" i="13"/>
  <c r="AR32" i="13"/>
  <c r="AQ32" i="13"/>
  <c r="AS31" i="13"/>
  <c r="AR31" i="13"/>
  <c r="AQ31" i="13"/>
  <c r="AS30" i="13"/>
  <c r="AR30" i="13"/>
  <c r="AQ30" i="13"/>
  <c r="AS29" i="13"/>
  <c r="AR29" i="13"/>
  <c r="AQ29" i="13"/>
  <c r="AS28" i="13"/>
  <c r="AR28" i="13"/>
  <c r="AQ28" i="13"/>
  <c r="AS27" i="13"/>
  <c r="AR27" i="13"/>
  <c r="AQ27" i="13"/>
  <c r="AS26" i="13"/>
  <c r="AR26" i="13"/>
  <c r="AQ26" i="13"/>
  <c r="AS25" i="13"/>
  <c r="AR25" i="13"/>
  <c r="AQ25" i="13"/>
  <c r="AS24" i="13"/>
  <c r="AR24" i="13"/>
  <c r="AQ24" i="13"/>
  <c r="AS23" i="13"/>
  <c r="AR23" i="13"/>
  <c r="AQ23" i="13"/>
  <c r="AS22" i="13"/>
  <c r="AR22" i="13"/>
  <c r="AQ22" i="13"/>
  <c r="AS21" i="13"/>
  <c r="AR21" i="13"/>
  <c r="AQ21" i="13"/>
  <c r="AS20" i="13"/>
  <c r="AR20" i="13"/>
  <c r="AQ20" i="13"/>
  <c r="AS19" i="13"/>
  <c r="AR19" i="13"/>
  <c r="AQ19" i="13"/>
  <c r="AS18" i="13"/>
  <c r="AR18" i="13"/>
  <c r="AQ18" i="13"/>
  <c r="AS17" i="13"/>
  <c r="AR17" i="13"/>
  <c r="AQ17" i="13"/>
  <c r="AS16" i="13"/>
  <c r="AR16" i="13"/>
  <c r="AQ16" i="13"/>
  <c r="AO15" i="13"/>
  <c r="AN15" i="13"/>
  <c r="AM15" i="13"/>
  <c r="AL15" i="13"/>
  <c r="AK15" i="13"/>
  <c r="AJ15" i="13"/>
  <c r="AI15" i="13"/>
  <c r="AO14" i="13"/>
  <c r="AN14" i="13"/>
  <c r="AM14" i="13"/>
  <c r="AL14" i="13"/>
  <c r="AK14" i="13"/>
  <c r="AJ14" i="13"/>
  <c r="AI14" i="13"/>
  <c r="BJ13" i="13"/>
  <c r="BJ14" i="13" s="1"/>
  <c r="BJ15" i="13" s="1"/>
  <c r="AO13" i="13"/>
  <c r="AN13" i="13"/>
  <c r="AM13" i="13"/>
  <c r="AL13" i="13"/>
  <c r="AK13" i="13"/>
  <c r="AJ13" i="13"/>
  <c r="AI13" i="13"/>
  <c r="AO12" i="13"/>
  <c r="W12" i="13"/>
  <c r="N96" i="13" s="1"/>
  <c r="V12" i="13"/>
  <c r="M96" i="13" s="1"/>
  <c r="U12" i="13"/>
  <c r="L96" i="13" s="1"/>
  <c r="K12" i="13"/>
  <c r="L12" i="13" s="1"/>
  <c r="AE11" i="13"/>
  <c r="AD11" i="13"/>
  <c r="AC11" i="13"/>
  <c r="W11" i="13"/>
  <c r="V11" i="13"/>
  <c r="U11" i="13"/>
  <c r="R11" i="13"/>
  <c r="K11" i="13"/>
  <c r="AN10" i="13"/>
  <c r="AM10" i="13"/>
  <c r="AL10" i="13"/>
  <c r="AE10" i="13"/>
  <c r="AD10" i="13"/>
  <c r="AC10" i="13"/>
  <c r="W10" i="13"/>
  <c r="V10" i="13"/>
  <c r="U10" i="13"/>
  <c r="R10" i="13"/>
  <c r="K10" i="13"/>
  <c r="G148" i="12"/>
  <c r="U101" i="12"/>
  <c r="U100" i="12"/>
  <c r="U99" i="12"/>
  <c r="U98" i="12"/>
  <c r="U97" i="12"/>
  <c r="U96" i="12"/>
  <c r="U95" i="12"/>
  <c r="U94" i="12"/>
  <c r="X93" i="12"/>
  <c r="U93" i="12"/>
  <c r="H53" i="12"/>
  <c r="J47" i="12"/>
  <c r="L41" i="12"/>
  <c r="H41" i="12"/>
  <c r="G41" i="12"/>
  <c r="L40" i="12"/>
  <c r="J39" i="12"/>
  <c r="M39" i="12" s="1"/>
  <c r="J38" i="12"/>
  <c r="M38" i="12" s="1"/>
  <c r="J37" i="12"/>
  <c r="M37" i="12" s="1"/>
  <c r="J36" i="12"/>
  <c r="M36" i="12" s="1"/>
  <c r="J35" i="12"/>
  <c r="M35" i="12" s="1"/>
  <c r="J34" i="12"/>
  <c r="M34" i="12" s="1"/>
  <c r="J33" i="12"/>
  <c r="M33" i="12" s="1"/>
  <c r="J32" i="12"/>
  <c r="M32" i="12" s="1"/>
  <c r="J31" i="12"/>
  <c r="M31" i="12" s="1"/>
  <c r="J30" i="12"/>
  <c r="M30" i="12" s="1"/>
  <c r="J29" i="12"/>
  <c r="M29" i="12" s="1"/>
  <c r="O28" i="12"/>
  <c r="J28" i="12"/>
  <c r="M28" i="12" s="1"/>
  <c r="O27" i="12"/>
  <c r="J27" i="12"/>
  <c r="M27" i="12" s="1"/>
  <c r="J26" i="12"/>
  <c r="M26" i="12" s="1"/>
  <c r="J25" i="12"/>
  <c r="M25" i="12" s="1"/>
  <c r="J24" i="12"/>
  <c r="M24" i="12" s="1"/>
  <c r="M23" i="12"/>
  <c r="O22" i="12"/>
  <c r="K22" i="12"/>
  <c r="J22" i="12"/>
  <c r="M22" i="12" s="1"/>
  <c r="K21" i="12"/>
  <c r="J21" i="12"/>
  <c r="M21" i="12" s="1"/>
  <c r="O20" i="12"/>
  <c r="K20" i="12"/>
  <c r="J20" i="12"/>
  <c r="M20" i="12" s="1"/>
  <c r="K19" i="12"/>
  <c r="J19" i="12"/>
  <c r="M19" i="12" s="1"/>
  <c r="K18" i="12"/>
  <c r="J18" i="12"/>
  <c r="M18" i="12" s="1"/>
  <c r="K17" i="12"/>
  <c r="J17" i="12"/>
  <c r="M17" i="12" s="1"/>
  <c r="K16" i="12"/>
  <c r="J16" i="12"/>
  <c r="M16" i="12" s="1"/>
  <c r="K15" i="12"/>
  <c r="J15" i="12"/>
  <c r="M15" i="12" s="1"/>
  <c r="O14" i="12"/>
  <c r="K14" i="12"/>
  <c r="J14" i="12"/>
  <c r="M14" i="12" s="1"/>
  <c r="K13" i="12"/>
  <c r="J13" i="12"/>
  <c r="M13" i="12" s="1"/>
  <c r="Z12" i="12"/>
  <c r="K12" i="12"/>
  <c r="J12" i="12"/>
  <c r="M12" i="12" s="1"/>
  <c r="Z11" i="12"/>
  <c r="K11" i="12"/>
  <c r="J11" i="12"/>
  <c r="M11" i="12" s="1"/>
  <c r="Z10" i="12"/>
  <c r="K10" i="12"/>
  <c r="J10" i="12"/>
  <c r="M10" i="12" s="1"/>
  <c r="Z9" i="12"/>
  <c r="O9" i="12"/>
  <c r="K9" i="12"/>
  <c r="J9" i="12"/>
  <c r="M9" i="12" s="1"/>
  <c r="O8" i="12"/>
  <c r="K8" i="12"/>
  <c r="K41" i="12" s="1"/>
  <c r="J8" i="12"/>
  <c r="O5" i="12"/>
  <c r="F87" i="1"/>
  <c r="I86" i="1"/>
  <c r="H86" i="1"/>
  <c r="F86" i="1"/>
  <c r="I85" i="1"/>
  <c r="I84" i="1"/>
  <c r="I83" i="1"/>
  <c r="I82" i="1"/>
  <c r="I81" i="1"/>
  <c r="I80" i="1"/>
  <c r="I79" i="1"/>
  <c r="I78" i="1"/>
  <c r="I77" i="1"/>
  <c r="I76" i="1"/>
  <c r="I75" i="1"/>
  <c r="L74" i="1"/>
  <c r="I74" i="1"/>
  <c r="K74" i="1" s="1"/>
  <c r="M74" i="1" s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S58" i="1"/>
  <c r="S59" i="1" s="1"/>
  <c r="I58" i="1"/>
  <c r="I57" i="1"/>
  <c r="I56" i="1"/>
  <c r="I55" i="1"/>
  <c r="I54" i="1"/>
  <c r="I53" i="1"/>
  <c r="I52" i="1"/>
  <c r="I51" i="1"/>
  <c r="R50" i="1"/>
  <c r="R53" i="1" s="1"/>
  <c r="R55" i="1" s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O36" i="1"/>
  <c r="I36" i="1"/>
  <c r="I35" i="1"/>
  <c r="O34" i="1"/>
  <c r="I34" i="1"/>
  <c r="I33" i="1"/>
  <c r="O32" i="1"/>
  <c r="L32" i="1"/>
  <c r="K32" i="1"/>
  <c r="M32" i="1" s="1"/>
  <c r="I32" i="1"/>
  <c r="I31" i="1"/>
  <c r="I30" i="1"/>
  <c r="I29" i="1"/>
  <c r="I28" i="1"/>
  <c r="I27" i="1"/>
  <c r="O26" i="1"/>
  <c r="I26" i="1"/>
  <c r="I25" i="1"/>
  <c r="I24" i="1"/>
  <c r="I23" i="1"/>
  <c r="O22" i="1"/>
  <c r="I22" i="1"/>
  <c r="I21" i="1"/>
  <c r="O20" i="1"/>
  <c r="I20" i="1"/>
  <c r="I19" i="1"/>
  <c r="V18" i="1"/>
  <c r="I18" i="1"/>
  <c r="I17" i="1"/>
  <c r="I16" i="1"/>
  <c r="I15" i="1"/>
  <c r="AA14" i="1"/>
  <c r="S14" i="1"/>
  <c r="S16" i="1" s="1"/>
  <c r="I14" i="1"/>
  <c r="AA13" i="1"/>
  <c r="I13" i="1"/>
  <c r="AA12" i="1"/>
  <c r="I12" i="1"/>
  <c r="AA11" i="1"/>
  <c r="I11" i="1"/>
  <c r="AA10" i="1"/>
  <c r="I10" i="1"/>
  <c r="AA9" i="1"/>
  <c r="I9" i="1"/>
  <c r="AA8" i="1"/>
  <c r="I8" i="1"/>
  <c r="AA7" i="1"/>
  <c r="I7" i="1"/>
  <c r="I6" i="1"/>
  <c r="V53" i="2"/>
  <c r="U53" i="2"/>
  <c r="T53" i="2"/>
  <c r="S53" i="2"/>
  <c r="R53" i="2"/>
  <c r="Q53" i="2"/>
  <c r="P53" i="2"/>
  <c r="O53" i="2"/>
  <c r="V52" i="2"/>
  <c r="U52" i="2"/>
  <c r="T52" i="2"/>
  <c r="S52" i="2"/>
  <c r="R52" i="2"/>
  <c r="Q52" i="2"/>
  <c r="P52" i="2"/>
  <c r="O52" i="2"/>
  <c r="V51" i="2"/>
  <c r="U51" i="2"/>
  <c r="T51" i="2"/>
  <c r="S51" i="2"/>
  <c r="R51" i="2"/>
  <c r="Q51" i="2"/>
  <c r="P51" i="2"/>
  <c r="O51" i="2"/>
  <c r="V50" i="2"/>
  <c r="U50" i="2"/>
  <c r="T50" i="2"/>
  <c r="S50" i="2"/>
  <c r="R50" i="2"/>
  <c r="Q50" i="2"/>
  <c r="P50" i="2"/>
  <c r="O50" i="2"/>
  <c r="V49" i="2"/>
  <c r="U49" i="2"/>
  <c r="T49" i="2"/>
  <c r="S49" i="2"/>
  <c r="R49" i="2"/>
  <c r="Q49" i="2"/>
  <c r="P49" i="2"/>
  <c r="O49" i="2"/>
  <c r="V48" i="2"/>
  <c r="U48" i="2"/>
  <c r="T48" i="2"/>
  <c r="S48" i="2"/>
  <c r="R48" i="2"/>
  <c r="Q48" i="2"/>
  <c r="P48" i="2"/>
  <c r="O48" i="2"/>
  <c r="V47" i="2"/>
  <c r="U47" i="2"/>
  <c r="T47" i="2"/>
  <c r="S47" i="2"/>
  <c r="R47" i="2"/>
  <c r="Q47" i="2"/>
  <c r="P47" i="2"/>
  <c r="O47" i="2"/>
  <c r="V46" i="2"/>
  <c r="U46" i="2"/>
  <c r="T46" i="2"/>
  <c r="S46" i="2"/>
  <c r="R46" i="2"/>
  <c r="Q46" i="2"/>
  <c r="P46" i="2"/>
  <c r="O46" i="2"/>
  <c r="V45" i="2"/>
  <c r="U45" i="2"/>
  <c r="T45" i="2"/>
  <c r="S45" i="2"/>
  <c r="R45" i="2"/>
  <c r="Q45" i="2"/>
  <c r="P45" i="2"/>
  <c r="O45" i="2"/>
  <c r="V44" i="2"/>
  <c r="U44" i="2"/>
  <c r="T44" i="2"/>
  <c r="S44" i="2"/>
  <c r="R44" i="2"/>
  <c r="Q44" i="2"/>
  <c r="P44" i="2"/>
  <c r="O44" i="2"/>
  <c r="V43" i="2"/>
  <c r="U43" i="2"/>
  <c r="T43" i="2"/>
  <c r="S43" i="2"/>
  <c r="R43" i="2"/>
  <c r="Q43" i="2"/>
  <c r="P43" i="2"/>
  <c r="O43" i="2"/>
  <c r="V42" i="2"/>
  <c r="U42" i="2"/>
  <c r="T42" i="2"/>
  <c r="S42" i="2"/>
  <c r="R42" i="2"/>
  <c r="Q42" i="2"/>
  <c r="P42" i="2"/>
  <c r="O42" i="2"/>
  <c r="V41" i="2"/>
  <c r="U41" i="2"/>
  <c r="T41" i="2"/>
  <c r="S41" i="2"/>
  <c r="R41" i="2"/>
  <c r="Q41" i="2"/>
  <c r="P41" i="2"/>
  <c r="O41" i="2"/>
  <c r="V40" i="2"/>
  <c r="U40" i="2"/>
  <c r="T40" i="2"/>
  <c r="S40" i="2"/>
  <c r="R40" i="2"/>
  <c r="Q40" i="2"/>
  <c r="P40" i="2"/>
  <c r="O40" i="2"/>
  <c r="V39" i="2"/>
  <c r="U39" i="2"/>
  <c r="T39" i="2"/>
  <c r="S39" i="2"/>
  <c r="R39" i="2"/>
  <c r="Q39" i="2"/>
  <c r="P39" i="2"/>
  <c r="O39" i="2"/>
  <c r="V38" i="2"/>
  <c r="U38" i="2"/>
  <c r="T38" i="2"/>
  <c r="S38" i="2"/>
  <c r="R38" i="2"/>
  <c r="Q38" i="2"/>
  <c r="P38" i="2"/>
  <c r="O38" i="2"/>
  <c r="V37" i="2"/>
  <c r="U37" i="2"/>
  <c r="T37" i="2"/>
  <c r="S37" i="2"/>
  <c r="R37" i="2"/>
  <c r="Q37" i="2"/>
  <c r="P37" i="2"/>
  <c r="O37" i="2"/>
  <c r="V36" i="2"/>
  <c r="U36" i="2"/>
  <c r="T36" i="2"/>
  <c r="S36" i="2"/>
  <c r="R36" i="2"/>
  <c r="Q36" i="2"/>
  <c r="P36" i="2"/>
  <c r="O36" i="2"/>
  <c r="V35" i="2"/>
  <c r="U35" i="2"/>
  <c r="T35" i="2"/>
  <c r="S35" i="2"/>
  <c r="R35" i="2"/>
  <c r="Q35" i="2"/>
  <c r="P35" i="2"/>
  <c r="O35" i="2"/>
  <c r="V34" i="2"/>
  <c r="U34" i="2"/>
  <c r="T34" i="2"/>
  <c r="S34" i="2"/>
  <c r="R34" i="2"/>
  <c r="Q34" i="2"/>
  <c r="P34" i="2"/>
  <c r="O34" i="2"/>
  <c r="V33" i="2"/>
  <c r="U33" i="2"/>
  <c r="T33" i="2"/>
  <c r="S33" i="2"/>
  <c r="R33" i="2"/>
  <c r="Q33" i="2"/>
  <c r="P33" i="2"/>
  <c r="O33" i="2"/>
  <c r="V32" i="2"/>
  <c r="U32" i="2"/>
  <c r="T32" i="2"/>
  <c r="S32" i="2"/>
  <c r="R32" i="2"/>
  <c r="Q32" i="2"/>
  <c r="P32" i="2"/>
  <c r="O32" i="2"/>
  <c r="V31" i="2"/>
  <c r="U31" i="2"/>
  <c r="T31" i="2"/>
  <c r="S31" i="2"/>
  <c r="R31" i="2"/>
  <c r="Q31" i="2"/>
  <c r="P31" i="2"/>
  <c r="O31" i="2"/>
  <c r="V30" i="2"/>
  <c r="U30" i="2"/>
  <c r="T30" i="2"/>
  <c r="S30" i="2"/>
  <c r="R30" i="2"/>
  <c r="Q30" i="2"/>
  <c r="P30" i="2"/>
  <c r="O30" i="2"/>
  <c r="V29" i="2"/>
  <c r="U29" i="2"/>
  <c r="T29" i="2"/>
  <c r="S29" i="2"/>
  <c r="R29" i="2"/>
  <c r="Q29" i="2"/>
  <c r="P29" i="2"/>
  <c r="O29" i="2"/>
  <c r="V28" i="2"/>
  <c r="U28" i="2"/>
  <c r="T28" i="2"/>
  <c r="S28" i="2"/>
  <c r="R28" i="2"/>
  <c r="Q28" i="2"/>
  <c r="P28" i="2"/>
  <c r="O28" i="2"/>
  <c r="V27" i="2"/>
  <c r="U27" i="2"/>
  <c r="T27" i="2"/>
  <c r="S27" i="2"/>
  <c r="R27" i="2"/>
  <c r="Q27" i="2"/>
  <c r="P27" i="2"/>
  <c r="O27" i="2"/>
  <c r="V26" i="2"/>
  <c r="U26" i="2"/>
  <c r="T26" i="2"/>
  <c r="S26" i="2"/>
  <c r="R26" i="2"/>
  <c r="Q26" i="2"/>
  <c r="P26" i="2"/>
  <c r="O26" i="2"/>
  <c r="V25" i="2"/>
  <c r="U25" i="2"/>
  <c r="T25" i="2"/>
  <c r="S25" i="2"/>
  <c r="R25" i="2"/>
  <c r="Q25" i="2"/>
  <c r="P25" i="2"/>
  <c r="O25" i="2"/>
  <c r="V24" i="2"/>
  <c r="U24" i="2"/>
  <c r="T24" i="2"/>
  <c r="S24" i="2"/>
  <c r="R24" i="2"/>
  <c r="Q24" i="2"/>
  <c r="P24" i="2"/>
  <c r="O24" i="2"/>
  <c r="V23" i="2"/>
  <c r="U23" i="2"/>
  <c r="T23" i="2"/>
  <c r="S23" i="2"/>
  <c r="R23" i="2"/>
  <c r="Q23" i="2"/>
  <c r="P23" i="2"/>
  <c r="O23" i="2"/>
  <c r="V22" i="2"/>
  <c r="U22" i="2"/>
  <c r="T22" i="2"/>
  <c r="S22" i="2"/>
  <c r="R22" i="2"/>
  <c r="Q22" i="2"/>
  <c r="P22" i="2"/>
  <c r="O22" i="2"/>
  <c r="V21" i="2"/>
  <c r="U21" i="2"/>
  <c r="T21" i="2"/>
  <c r="S21" i="2"/>
  <c r="R21" i="2"/>
  <c r="Q21" i="2"/>
  <c r="P21" i="2"/>
  <c r="O21" i="2"/>
  <c r="V19" i="2"/>
  <c r="U19" i="2"/>
  <c r="T19" i="2"/>
  <c r="S19" i="2"/>
  <c r="R19" i="2"/>
  <c r="Q19" i="2"/>
  <c r="P19" i="2"/>
  <c r="O19" i="2"/>
  <c r="V18" i="2"/>
  <c r="U18" i="2"/>
  <c r="T18" i="2"/>
  <c r="S18" i="2"/>
  <c r="R18" i="2"/>
  <c r="Q18" i="2"/>
  <c r="P18" i="2"/>
  <c r="O18" i="2"/>
  <c r="V17" i="2"/>
  <c r="U17" i="2"/>
  <c r="T17" i="2"/>
  <c r="S17" i="2"/>
  <c r="R17" i="2"/>
  <c r="Q17" i="2"/>
  <c r="P17" i="2"/>
  <c r="O17" i="2"/>
  <c r="V16" i="2"/>
  <c r="U16" i="2"/>
  <c r="T16" i="2"/>
  <c r="S16" i="2"/>
  <c r="R16" i="2"/>
  <c r="Q16" i="2"/>
  <c r="P16" i="2"/>
  <c r="O16" i="2"/>
  <c r="V15" i="2"/>
  <c r="U15" i="2"/>
  <c r="T15" i="2"/>
  <c r="S15" i="2"/>
  <c r="R15" i="2"/>
  <c r="Q15" i="2"/>
  <c r="P15" i="2"/>
  <c r="O15" i="2"/>
  <c r="V13" i="2"/>
  <c r="U13" i="2"/>
  <c r="T13" i="2"/>
  <c r="S13" i="2"/>
  <c r="R13" i="2"/>
  <c r="Q13" i="2"/>
  <c r="P13" i="2"/>
  <c r="V11" i="2"/>
  <c r="U11" i="2"/>
  <c r="T11" i="2"/>
  <c r="S11" i="2"/>
  <c r="R11" i="2"/>
  <c r="Q11" i="2"/>
  <c r="P11" i="2"/>
  <c r="O11" i="2"/>
  <c r="V10" i="2"/>
  <c r="U10" i="2"/>
  <c r="T10" i="2"/>
  <c r="S10" i="2"/>
  <c r="R10" i="2"/>
  <c r="Q10" i="2"/>
  <c r="P10" i="2"/>
  <c r="O10" i="2"/>
  <c r="AP9" i="2"/>
  <c r="V9" i="2"/>
  <c r="U9" i="2"/>
  <c r="T9" i="2"/>
  <c r="S9" i="2"/>
  <c r="R9" i="2"/>
  <c r="Q9" i="2"/>
  <c r="P9" i="2"/>
  <c r="O9" i="2"/>
  <c r="V8" i="2"/>
  <c r="U8" i="2"/>
  <c r="T8" i="2"/>
  <c r="S8" i="2"/>
  <c r="R8" i="2"/>
  <c r="Q8" i="2"/>
  <c r="P8" i="2"/>
  <c r="O8" i="2"/>
  <c r="V7" i="2"/>
  <c r="V54" i="2" s="1"/>
  <c r="AC8" i="2" s="1"/>
  <c r="U7" i="2"/>
  <c r="U54" i="2" s="1"/>
  <c r="T7" i="2"/>
  <c r="T54" i="2" s="1"/>
  <c r="S7" i="2"/>
  <c r="S54" i="2" s="1"/>
  <c r="R7" i="2"/>
  <c r="R54" i="2" s="1"/>
  <c r="AB8" i="2" s="1"/>
  <c r="Q7" i="2"/>
  <c r="Q54" i="2" s="1"/>
  <c r="P7" i="2"/>
  <c r="P54" i="2" s="1"/>
  <c r="O7" i="2"/>
  <c r="O54" i="2" s="1"/>
  <c r="T1" i="2"/>
  <c r="AI56" i="7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I50" i="7"/>
  <c r="AG49" i="7"/>
  <c r="AF49" i="7"/>
  <c r="AE49" i="7"/>
  <c r="AD49" i="7"/>
  <c r="AC49" i="7"/>
  <c r="AB49" i="7"/>
  <c r="AA49" i="7"/>
  <c r="Z49" i="7"/>
  <c r="AG48" i="7"/>
  <c r="AF48" i="7"/>
  <c r="AE48" i="7"/>
  <c r="AD48" i="7"/>
  <c r="AC48" i="7"/>
  <c r="AB48" i="7"/>
  <c r="AA48" i="7"/>
  <c r="Z48" i="7"/>
  <c r="C48" i="7"/>
  <c r="AG47" i="7"/>
  <c r="AF47" i="7"/>
  <c r="AE47" i="7"/>
  <c r="AD47" i="7"/>
  <c r="AC47" i="7"/>
  <c r="AB47" i="7"/>
  <c r="AA47" i="7"/>
  <c r="Z47" i="7"/>
  <c r="I47" i="7"/>
  <c r="AG46" i="7"/>
  <c r="AF46" i="7"/>
  <c r="AE46" i="7"/>
  <c r="AD46" i="7"/>
  <c r="AC46" i="7"/>
  <c r="AB46" i="7"/>
  <c r="AA46" i="7"/>
  <c r="Z46" i="7"/>
  <c r="I46" i="7"/>
  <c r="C46" i="7"/>
  <c r="AG45" i="7"/>
  <c r="AF45" i="7"/>
  <c r="AE45" i="7"/>
  <c r="AD45" i="7"/>
  <c r="AC45" i="7"/>
  <c r="AB45" i="7"/>
  <c r="AA45" i="7"/>
  <c r="Z45" i="7"/>
  <c r="L45" i="7"/>
  <c r="N45" i="7" s="1"/>
  <c r="K45" i="7"/>
  <c r="I45" i="7"/>
  <c r="AG44" i="7"/>
  <c r="AF44" i="7"/>
  <c r="AE44" i="7"/>
  <c r="AD44" i="7"/>
  <c r="AC44" i="7"/>
  <c r="AB44" i="7"/>
  <c r="AA44" i="7"/>
  <c r="Z44" i="7"/>
  <c r="K44" i="7"/>
  <c r="I44" i="7"/>
  <c r="C44" i="7"/>
  <c r="AG43" i="7"/>
  <c r="AF43" i="7"/>
  <c r="AE43" i="7"/>
  <c r="AD43" i="7"/>
  <c r="AC43" i="7"/>
  <c r="AB43" i="7"/>
  <c r="AA43" i="7"/>
  <c r="Z43" i="7"/>
  <c r="I43" i="7"/>
  <c r="AG42" i="7"/>
  <c r="AF42" i="7"/>
  <c r="AE42" i="7"/>
  <c r="AD42" i="7"/>
  <c r="AC42" i="7"/>
  <c r="AB42" i="7"/>
  <c r="AA42" i="7"/>
  <c r="Z42" i="7"/>
  <c r="K42" i="7"/>
  <c r="I42" i="7"/>
  <c r="C42" i="7"/>
  <c r="AG41" i="7"/>
  <c r="AF41" i="7"/>
  <c r="AE41" i="7"/>
  <c r="AD41" i="7"/>
  <c r="AC41" i="7"/>
  <c r="AB41" i="7"/>
  <c r="AA41" i="7"/>
  <c r="Z41" i="7"/>
  <c r="K41" i="7"/>
  <c r="I41" i="7"/>
  <c r="AG40" i="7"/>
  <c r="AF40" i="7"/>
  <c r="AE40" i="7"/>
  <c r="AD40" i="7"/>
  <c r="AC40" i="7"/>
  <c r="AB40" i="7"/>
  <c r="AA40" i="7"/>
  <c r="Z40" i="7"/>
  <c r="K40" i="7"/>
  <c r="I40" i="7"/>
  <c r="C40" i="7"/>
  <c r="AG39" i="7"/>
  <c r="AF39" i="7"/>
  <c r="AE39" i="7"/>
  <c r="AD39" i="7"/>
  <c r="AC39" i="7"/>
  <c r="AB39" i="7"/>
  <c r="AA39" i="7"/>
  <c r="Z39" i="7"/>
  <c r="K39" i="7"/>
  <c r="I39" i="7"/>
  <c r="G39" i="7"/>
  <c r="H39" i="7" s="1"/>
  <c r="E39" i="7"/>
  <c r="AG38" i="7"/>
  <c r="AF38" i="7"/>
  <c r="AE38" i="7"/>
  <c r="AD38" i="7"/>
  <c r="AC38" i="7"/>
  <c r="AB38" i="7"/>
  <c r="AA38" i="7"/>
  <c r="Z38" i="7"/>
  <c r="K38" i="7"/>
  <c r="I38" i="7"/>
  <c r="AG37" i="7"/>
  <c r="AF37" i="7"/>
  <c r="AE37" i="7"/>
  <c r="AD37" i="7"/>
  <c r="AC37" i="7"/>
  <c r="AB37" i="7"/>
  <c r="AA37" i="7"/>
  <c r="Z37" i="7"/>
  <c r="U37" i="7"/>
  <c r="T37" i="7"/>
  <c r="K37" i="7"/>
  <c r="I37" i="7"/>
  <c r="AG36" i="7"/>
  <c r="AF36" i="7"/>
  <c r="AE36" i="7"/>
  <c r="AD36" i="7"/>
  <c r="AC36" i="7"/>
  <c r="AB36" i="7"/>
  <c r="AA36" i="7"/>
  <c r="Z36" i="7"/>
  <c r="U36" i="7"/>
  <c r="T36" i="7"/>
  <c r="K36" i="7"/>
  <c r="I36" i="7"/>
  <c r="C36" i="7"/>
  <c r="AG35" i="7"/>
  <c r="AF35" i="7"/>
  <c r="AE35" i="7"/>
  <c r="AD35" i="7"/>
  <c r="AC35" i="7"/>
  <c r="AB35" i="7"/>
  <c r="AA35" i="7"/>
  <c r="Z35" i="7"/>
  <c r="U35" i="7"/>
  <c r="T35" i="7"/>
  <c r="K35" i="7"/>
  <c r="I35" i="7"/>
  <c r="E35" i="7" s="1"/>
  <c r="G35" i="7"/>
  <c r="H35" i="7" s="1"/>
  <c r="AG34" i="7"/>
  <c r="AF34" i="7"/>
  <c r="AE34" i="7"/>
  <c r="AD34" i="7"/>
  <c r="AC34" i="7"/>
  <c r="AB34" i="7"/>
  <c r="AA34" i="7"/>
  <c r="Z34" i="7"/>
  <c r="U34" i="7"/>
  <c r="T34" i="7"/>
  <c r="K34" i="7"/>
  <c r="I34" i="7"/>
  <c r="C34" i="7"/>
  <c r="AG33" i="7"/>
  <c r="Q32" i="19" s="1"/>
  <c r="AF33" i="7"/>
  <c r="P32" i="19" s="1"/>
  <c r="AE33" i="7"/>
  <c r="AD33" i="7"/>
  <c r="AC33" i="7"/>
  <c r="N32" i="19" s="1"/>
  <c r="AB33" i="7"/>
  <c r="O32" i="19" s="1"/>
  <c r="AA33" i="7"/>
  <c r="Z33" i="7"/>
  <c r="M32" i="19" s="1"/>
  <c r="U33" i="7"/>
  <c r="T33" i="7"/>
  <c r="K33" i="7"/>
  <c r="I32" i="19" s="1"/>
  <c r="T32" i="18" s="1"/>
  <c r="I33" i="7"/>
  <c r="D32" i="19" s="1"/>
  <c r="AG32" i="7"/>
  <c r="Q31" i="19" s="1"/>
  <c r="AF32" i="7"/>
  <c r="P31" i="19" s="1"/>
  <c r="AE32" i="7"/>
  <c r="AD32" i="7"/>
  <c r="AC32" i="7"/>
  <c r="N31" i="19" s="1"/>
  <c r="AB32" i="7"/>
  <c r="O31" i="19" s="1"/>
  <c r="AA32" i="7"/>
  <c r="Z32" i="7"/>
  <c r="M31" i="19" s="1"/>
  <c r="U32" i="7"/>
  <c r="T32" i="7"/>
  <c r="K32" i="7"/>
  <c r="I31" i="19" s="1"/>
  <c r="T31" i="18" s="1"/>
  <c r="I32" i="7"/>
  <c r="D31" i="19" s="1"/>
  <c r="C32" i="7"/>
  <c r="AG31" i="7"/>
  <c r="Q30" i="19" s="1"/>
  <c r="AF31" i="7"/>
  <c r="P30" i="19" s="1"/>
  <c r="AE31" i="7"/>
  <c r="AD31" i="7"/>
  <c r="AC31" i="7"/>
  <c r="N30" i="19" s="1"/>
  <c r="AB31" i="7"/>
  <c r="O30" i="19" s="1"/>
  <c r="AA31" i="7"/>
  <c r="Z31" i="7"/>
  <c r="M30" i="19" s="1"/>
  <c r="U31" i="7"/>
  <c r="T31" i="7"/>
  <c r="K31" i="7"/>
  <c r="I30" i="19" s="1"/>
  <c r="T30" i="18" s="1"/>
  <c r="I31" i="7"/>
  <c r="D30" i="19" s="1"/>
  <c r="AG30" i="7"/>
  <c r="Q29" i="19" s="1"/>
  <c r="AF30" i="7"/>
  <c r="P29" i="19" s="1"/>
  <c r="AE30" i="7"/>
  <c r="AD30" i="7"/>
  <c r="AC30" i="7"/>
  <c r="N29" i="19" s="1"/>
  <c r="AB30" i="7"/>
  <c r="O29" i="19" s="1"/>
  <c r="AA30" i="7"/>
  <c r="Z30" i="7"/>
  <c r="M29" i="19" s="1"/>
  <c r="U30" i="7"/>
  <c r="T30" i="7"/>
  <c r="K30" i="7"/>
  <c r="I29" i="19" s="1"/>
  <c r="T29" i="18" s="1"/>
  <c r="I30" i="7"/>
  <c r="D29" i="19" s="1"/>
  <c r="AG29" i="7"/>
  <c r="Q28" i="19" s="1"/>
  <c r="AF29" i="7"/>
  <c r="P28" i="19" s="1"/>
  <c r="AE29" i="7"/>
  <c r="AD29" i="7"/>
  <c r="AC29" i="7"/>
  <c r="N28" i="19" s="1"/>
  <c r="AB29" i="7"/>
  <c r="O28" i="19" s="1"/>
  <c r="AA29" i="7"/>
  <c r="Z29" i="7"/>
  <c r="M28" i="19" s="1"/>
  <c r="U29" i="7"/>
  <c r="T29" i="7"/>
  <c r="K29" i="7"/>
  <c r="I28" i="19" s="1"/>
  <c r="T28" i="18" s="1"/>
  <c r="I29" i="7"/>
  <c r="D28" i="19" s="1"/>
  <c r="G29" i="7"/>
  <c r="E29" i="7"/>
  <c r="F28" i="19" s="1"/>
  <c r="AG28" i="7"/>
  <c r="Q27" i="19" s="1"/>
  <c r="AF28" i="7"/>
  <c r="P27" i="19" s="1"/>
  <c r="AE28" i="7"/>
  <c r="AD28" i="7"/>
  <c r="AC28" i="7"/>
  <c r="N27" i="19" s="1"/>
  <c r="AB28" i="7"/>
  <c r="O27" i="19" s="1"/>
  <c r="AA28" i="7"/>
  <c r="Z28" i="7"/>
  <c r="M27" i="19" s="1"/>
  <c r="U28" i="7"/>
  <c r="T28" i="7"/>
  <c r="K28" i="7"/>
  <c r="I27" i="19" s="1"/>
  <c r="T27" i="18" s="1"/>
  <c r="I28" i="7"/>
  <c r="D27" i="19" s="1"/>
  <c r="C28" i="7"/>
  <c r="AG27" i="7"/>
  <c r="Q26" i="19" s="1"/>
  <c r="AF27" i="7"/>
  <c r="P26" i="19" s="1"/>
  <c r="AE27" i="7"/>
  <c r="AD27" i="7"/>
  <c r="AC27" i="7"/>
  <c r="N26" i="19" s="1"/>
  <c r="AB27" i="7"/>
  <c r="O26" i="19" s="1"/>
  <c r="AA27" i="7"/>
  <c r="Z27" i="7"/>
  <c r="M26" i="19" s="1"/>
  <c r="U27" i="7"/>
  <c r="T27" i="7"/>
  <c r="K27" i="7"/>
  <c r="I26" i="19" s="1"/>
  <c r="T26" i="18" s="1"/>
  <c r="I27" i="7"/>
  <c r="D26" i="19" s="1"/>
  <c r="G27" i="7"/>
  <c r="E27" i="7"/>
  <c r="F26" i="19" s="1"/>
  <c r="AG26" i="7"/>
  <c r="Q25" i="19" s="1"/>
  <c r="AF26" i="7"/>
  <c r="P25" i="19" s="1"/>
  <c r="AE26" i="7"/>
  <c r="AD26" i="7"/>
  <c r="AC26" i="7"/>
  <c r="N25" i="19" s="1"/>
  <c r="AB26" i="7"/>
  <c r="O25" i="19" s="1"/>
  <c r="AA26" i="7"/>
  <c r="Z26" i="7"/>
  <c r="M25" i="19" s="1"/>
  <c r="U26" i="7"/>
  <c r="T26" i="7"/>
  <c r="K26" i="7"/>
  <c r="I25" i="19" s="1"/>
  <c r="T25" i="18" s="1"/>
  <c r="I26" i="7"/>
  <c r="D25" i="19" s="1"/>
  <c r="C26" i="7"/>
  <c r="AG25" i="7"/>
  <c r="Q24" i="19" s="1"/>
  <c r="AF25" i="7"/>
  <c r="P24" i="19" s="1"/>
  <c r="AE25" i="7"/>
  <c r="AD25" i="7"/>
  <c r="AC25" i="7"/>
  <c r="N24" i="19" s="1"/>
  <c r="AB25" i="7"/>
  <c r="O24" i="19" s="1"/>
  <c r="AA25" i="7"/>
  <c r="Z25" i="7"/>
  <c r="M24" i="19" s="1"/>
  <c r="U25" i="7"/>
  <c r="T25" i="7"/>
  <c r="K25" i="7"/>
  <c r="I24" i="19" s="1"/>
  <c r="T24" i="18" s="1"/>
  <c r="I25" i="7"/>
  <c r="D24" i="19" s="1"/>
  <c r="G25" i="7"/>
  <c r="E25" i="7"/>
  <c r="F24" i="19" s="1"/>
  <c r="AG24" i="7"/>
  <c r="Q23" i="19" s="1"/>
  <c r="AF24" i="7"/>
  <c r="P23" i="19" s="1"/>
  <c r="AE24" i="7"/>
  <c r="AD24" i="7"/>
  <c r="AC24" i="7"/>
  <c r="N23" i="19" s="1"/>
  <c r="AB24" i="7"/>
  <c r="O23" i="19" s="1"/>
  <c r="AA24" i="7"/>
  <c r="Z24" i="7"/>
  <c r="M23" i="19" s="1"/>
  <c r="U24" i="7"/>
  <c r="T24" i="7"/>
  <c r="K24" i="7"/>
  <c r="I23" i="19" s="1"/>
  <c r="T23" i="18" s="1"/>
  <c r="I24" i="7"/>
  <c r="D23" i="19" s="1"/>
  <c r="G24" i="7"/>
  <c r="E24" i="7"/>
  <c r="F23" i="19" s="1"/>
  <c r="AG23" i="7"/>
  <c r="Q22" i="19" s="1"/>
  <c r="AF23" i="7"/>
  <c r="P22" i="19" s="1"/>
  <c r="AE23" i="7"/>
  <c r="AD23" i="7"/>
  <c r="AC23" i="7"/>
  <c r="N22" i="19" s="1"/>
  <c r="AB23" i="7"/>
  <c r="O22" i="19" s="1"/>
  <c r="AA23" i="7"/>
  <c r="Z23" i="7"/>
  <c r="M22" i="19" s="1"/>
  <c r="U23" i="7"/>
  <c r="T23" i="7"/>
  <c r="L23" i="7"/>
  <c r="F23" i="7"/>
  <c r="AG22" i="7"/>
  <c r="Q21" i="19" s="1"/>
  <c r="AF22" i="7"/>
  <c r="P21" i="19" s="1"/>
  <c r="AE22" i="7"/>
  <c r="AD22" i="7"/>
  <c r="AC22" i="7"/>
  <c r="N21" i="19" s="1"/>
  <c r="AB22" i="7"/>
  <c r="O21" i="19" s="1"/>
  <c r="AA22" i="7"/>
  <c r="Z22" i="7"/>
  <c r="M21" i="19" s="1"/>
  <c r="U22" i="7"/>
  <c r="T22" i="7"/>
  <c r="L22" i="7"/>
  <c r="F22" i="7"/>
  <c r="AG21" i="7"/>
  <c r="Q20" i="19" s="1"/>
  <c r="AF21" i="7"/>
  <c r="P20" i="19" s="1"/>
  <c r="AE21" i="7"/>
  <c r="AD21" i="7"/>
  <c r="AC21" i="7"/>
  <c r="N20" i="19" s="1"/>
  <c r="AB21" i="7"/>
  <c r="O20" i="19" s="1"/>
  <c r="AA21" i="7"/>
  <c r="Z21" i="7"/>
  <c r="M20" i="19" s="1"/>
  <c r="U21" i="7"/>
  <c r="T21" i="7"/>
  <c r="L21" i="7"/>
  <c r="F21" i="7"/>
  <c r="AG20" i="7"/>
  <c r="Q19" i="19" s="1"/>
  <c r="AF20" i="7"/>
  <c r="P19" i="19" s="1"/>
  <c r="AE20" i="7"/>
  <c r="AD20" i="7"/>
  <c r="AC20" i="7"/>
  <c r="N19" i="19" s="1"/>
  <c r="AB20" i="7"/>
  <c r="O19" i="19" s="1"/>
  <c r="AA20" i="7"/>
  <c r="Z20" i="7"/>
  <c r="M19" i="19" s="1"/>
  <c r="U20" i="7"/>
  <c r="T20" i="7"/>
  <c r="L20" i="7"/>
  <c r="F20" i="7"/>
  <c r="AG19" i="7"/>
  <c r="Q18" i="19" s="1"/>
  <c r="AF19" i="7"/>
  <c r="P18" i="19" s="1"/>
  <c r="AE19" i="7"/>
  <c r="AD19" i="7"/>
  <c r="AC19" i="7"/>
  <c r="N18" i="19" s="1"/>
  <c r="AB19" i="7"/>
  <c r="O18" i="19" s="1"/>
  <c r="AA19" i="7"/>
  <c r="Z19" i="7"/>
  <c r="M18" i="19" s="1"/>
  <c r="U19" i="7"/>
  <c r="T19" i="7"/>
  <c r="L19" i="7"/>
  <c r="G19" i="7"/>
  <c r="AG18" i="7"/>
  <c r="Q17" i="19" s="1"/>
  <c r="AF18" i="7"/>
  <c r="P17" i="19" s="1"/>
  <c r="AE18" i="7"/>
  <c r="AD18" i="7"/>
  <c r="AC18" i="7"/>
  <c r="N17" i="19" s="1"/>
  <c r="AB18" i="7"/>
  <c r="O17" i="19" s="1"/>
  <c r="AA18" i="7"/>
  <c r="Z18" i="7"/>
  <c r="M17" i="19" s="1"/>
  <c r="U18" i="7"/>
  <c r="T18" i="7"/>
  <c r="N18" i="7"/>
  <c r="L17" i="19" s="1"/>
  <c r="L18" i="7"/>
  <c r="J17" i="19" s="1"/>
  <c r="U17" i="18" s="1"/>
  <c r="AG17" i="7"/>
  <c r="Q16" i="19" s="1"/>
  <c r="AF17" i="7"/>
  <c r="P16" i="19" s="1"/>
  <c r="AE17" i="7"/>
  <c r="AD17" i="7"/>
  <c r="AC17" i="7"/>
  <c r="N16" i="19" s="1"/>
  <c r="AB17" i="7"/>
  <c r="O16" i="19" s="1"/>
  <c r="AA17" i="7"/>
  <c r="Z17" i="7"/>
  <c r="M16" i="19" s="1"/>
  <c r="U17" i="7"/>
  <c r="T17" i="7"/>
  <c r="L17" i="7"/>
  <c r="F17" i="7"/>
  <c r="AG16" i="7"/>
  <c r="Q15" i="19" s="1"/>
  <c r="AF16" i="7"/>
  <c r="P15" i="19" s="1"/>
  <c r="AE16" i="7"/>
  <c r="AD16" i="7"/>
  <c r="AC16" i="7"/>
  <c r="N15" i="19" s="1"/>
  <c r="AB16" i="7"/>
  <c r="O15" i="19" s="1"/>
  <c r="AA16" i="7"/>
  <c r="Z16" i="7"/>
  <c r="M15" i="19" s="1"/>
  <c r="U16" i="7"/>
  <c r="T16" i="7"/>
  <c r="L16" i="7"/>
  <c r="AG15" i="7"/>
  <c r="Q14" i="19" s="1"/>
  <c r="AF15" i="7"/>
  <c r="P14" i="19" s="1"/>
  <c r="AE15" i="7"/>
  <c r="AD15" i="7"/>
  <c r="AC15" i="7"/>
  <c r="N14" i="19" s="1"/>
  <c r="AB15" i="7"/>
  <c r="O14" i="19" s="1"/>
  <c r="AA15" i="7"/>
  <c r="Z15" i="7"/>
  <c r="M14" i="19" s="1"/>
  <c r="U15" i="7"/>
  <c r="T15" i="7"/>
  <c r="N15" i="7"/>
  <c r="L14" i="19" s="1"/>
  <c r="L15" i="7"/>
  <c r="J14" i="19" s="1"/>
  <c r="U14" i="18" s="1"/>
  <c r="F15" i="7"/>
  <c r="AG14" i="7"/>
  <c r="Q13" i="19" s="1"/>
  <c r="AF14" i="7"/>
  <c r="P13" i="19" s="1"/>
  <c r="AE14" i="7"/>
  <c r="AD14" i="7"/>
  <c r="AC14" i="7"/>
  <c r="N13" i="19" s="1"/>
  <c r="AB14" i="7"/>
  <c r="O13" i="19" s="1"/>
  <c r="AA14" i="7"/>
  <c r="Z14" i="7"/>
  <c r="M13" i="19" s="1"/>
  <c r="U14" i="7"/>
  <c r="T14" i="7"/>
  <c r="L14" i="7"/>
  <c r="AG13" i="7"/>
  <c r="Q12" i="19" s="1"/>
  <c r="AF13" i="7"/>
  <c r="P12" i="19" s="1"/>
  <c r="AE13" i="7"/>
  <c r="AD13" i="7"/>
  <c r="AC13" i="7"/>
  <c r="N12" i="19" s="1"/>
  <c r="AB13" i="7"/>
  <c r="O12" i="19" s="1"/>
  <c r="AA13" i="7"/>
  <c r="Z13" i="7"/>
  <c r="M12" i="19" s="1"/>
  <c r="U13" i="7"/>
  <c r="T13" i="7"/>
  <c r="L13" i="7"/>
  <c r="AG12" i="7"/>
  <c r="Q11" i="19" s="1"/>
  <c r="AF12" i="7"/>
  <c r="P11" i="19" s="1"/>
  <c r="AE12" i="7"/>
  <c r="AD12" i="7"/>
  <c r="AC12" i="7"/>
  <c r="N11" i="19" s="1"/>
  <c r="AB12" i="7"/>
  <c r="O11" i="19" s="1"/>
  <c r="AA12" i="7"/>
  <c r="Z12" i="7"/>
  <c r="M11" i="19" s="1"/>
  <c r="U12" i="7"/>
  <c r="T12" i="7"/>
  <c r="N12" i="7"/>
  <c r="L11" i="19" s="1"/>
  <c r="L12" i="7"/>
  <c r="J11" i="19" s="1"/>
  <c r="U11" i="18" s="1"/>
  <c r="AG11" i="7"/>
  <c r="Q10" i="19" s="1"/>
  <c r="AF11" i="7"/>
  <c r="P10" i="19" s="1"/>
  <c r="AE11" i="7"/>
  <c r="AD11" i="7"/>
  <c r="AC11" i="7"/>
  <c r="N10" i="19" s="1"/>
  <c r="AB11" i="7"/>
  <c r="O10" i="19" s="1"/>
  <c r="AA11" i="7"/>
  <c r="Z11" i="7"/>
  <c r="M10" i="19" s="1"/>
  <c r="U11" i="7"/>
  <c r="T11" i="7"/>
  <c r="L11" i="7"/>
  <c r="AG10" i="7"/>
  <c r="Q9" i="19" s="1"/>
  <c r="AF10" i="7"/>
  <c r="P9" i="19" s="1"/>
  <c r="AE10" i="7"/>
  <c r="AD10" i="7"/>
  <c r="AC10" i="7"/>
  <c r="N9" i="19" s="1"/>
  <c r="AB10" i="7"/>
  <c r="O9" i="19" s="1"/>
  <c r="AA10" i="7"/>
  <c r="Z10" i="7"/>
  <c r="M9" i="19" s="1"/>
  <c r="U10" i="7"/>
  <c r="T10" i="7"/>
  <c r="N10" i="7"/>
  <c r="L9" i="19" s="1"/>
  <c r="L10" i="7"/>
  <c r="J9" i="19" s="1"/>
  <c r="U9" i="18" s="1"/>
  <c r="AG9" i="7"/>
  <c r="Q8" i="19" s="1"/>
  <c r="AF9" i="7"/>
  <c r="P8" i="19" s="1"/>
  <c r="AE9" i="7"/>
  <c r="AD9" i="7"/>
  <c r="AC9" i="7"/>
  <c r="N8" i="19" s="1"/>
  <c r="AB9" i="7"/>
  <c r="O8" i="19" s="1"/>
  <c r="AA9" i="7"/>
  <c r="Z9" i="7"/>
  <c r="M8" i="19" s="1"/>
  <c r="U9" i="7"/>
  <c r="T9" i="7"/>
  <c r="L9" i="7"/>
  <c r="AG8" i="7"/>
  <c r="Q7" i="19" s="1"/>
  <c r="AF8" i="7"/>
  <c r="AE8" i="7"/>
  <c r="AD8" i="7"/>
  <c r="AC8" i="7"/>
  <c r="AB8" i="7"/>
  <c r="AA8" i="7"/>
  <c r="AA51" i="7" s="1"/>
  <c r="Z8" i="7"/>
  <c r="U8" i="7"/>
  <c r="T8" i="7"/>
  <c r="L8" i="7"/>
  <c r="AG7" i="7"/>
  <c r="AF7" i="7"/>
  <c r="AE7" i="7"/>
  <c r="AD7" i="7"/>
  <c r="AC7" i="7"/>
  <c r="AB7" i="7"/>
  <c r="AA7" i="7"/>
  <c r="Z7" i="7"/>
  <c r="U7" i="7"/>
  <c r="T7" i="7"/>
  <c r="L7" i="7"/>
  <c r="Q33" i="19"/>
  <c r="P33" i="19"/>
  <c r="O33" i="19"/>
  <c r="N33" i="19"/>
  <c r="M33" i="19"/>
  <c r="K33" i="19"/>
  <c r="I33" i="19"/>
  <c r="T33" i="18" s="1"/>
  <c r="G33" i="19"/>
  <c r="D33" i="19"/>
  <c r="A33" i="19"/>
  <c r="R33" i="18" s="1"/>
  <c r="K32" i="19"/>
  <c r="G32" i="19"/>
  <c r="A32" i="19"/>
  <c r="R32" i="18" s="1"/>
  <c r="K31" i="19"/>
  <c r="G31" i="19"/>
  <c r="A31" i="19"/>
  <c r="R31" i="18" s="1"/>
  <c r="G30" i="19"/>
  <c r="A30" i="19"/>
  <c r="R30" i="18" s="1"/>
  <c r="G29" i="19"/>
  <c r="A29" i="19"/>
  <c r="R29" i="18" s="1"/>
  <c r="G28" i="19"/>
  <c r="B28" i="19"/>
  <c r="S28" i="18" s="1"/>
  <c r="A28" i="19"/>
  <c r="R28" i="18" s="1"/>
  <c r="G27" i="19"/>
  <c r="A27" i="19"/>
  <c r="R27" i="18" s="1"/>
  <c r="G26" i="19"/>
  <c r="B26" i="19"/>
  <c r="S26" i="18" s="1"/>
  <c r="A26" i="19"/>
  <c r="R26" i="18" s="1"/>
  <c r="G25" i="19"/>
  <c r="A25" i="19"/>
  <c r="R25" i="18" s="1"/>
  <c r="G24" i="19"/>
  <c r="B24" i="19"/>
  <c r="S24" i="18" s="1"/>
  <c r="A24" i="19"/>
  <c r="R24" i="18" s="1"/>
  <c r="G23" i="19"/>
  <c r="B23" i="19"/>
  <c r="S23" i="18" s="1"/>
  <c r="A23" i="19"/>
  <c r="R23" i="18" s="1"/>
  <c r="E22" i="19"/>
  <c r="A22" i="19"/>
  <c r="R22" i="18" s="1"/>
  <c r="E21" i="19"/>
  <c r="A21" i="19"/>
  <c r="E20" i="19"/>
  <c r="A20" i="19"/>
  <c r="E19" i="19"/>
  <c r="A19" i="19"/>
  <c r="G18" i="19"/>
  <c r="E18" i="19"/>
  <c r="B18" i="19"/>
  <c r="A18" i="19"/>
  <c r="K17" i="19"/>
  <c r="G17" i="19"/>
  <c r="E17" i="19"/>
  <c r="A17" i="19"/>
  <c r="K16" i="19"/>
  <c r="E16" i="19"/>
  <c r="A16" i="19"/>
  <c r="K15" i="19"/>
  <c r="G15" i="19"/>
  <c r="E15" i="19"/>
  <c r="A15" i="19"/>
  <c r="K14" i="19"/>
  <c r="E14" i="19"/>
  <c r="A14" i="19"/>
  <c r="K13" i="19"/>
  <c r="G13" i="19"/>
  <c r="E13" i="19"/>
  <c r="A13" i="19"/>
  <c r="K12" i="19"/>
  <c r="G12" i="19"/>
  <c r="E12" i="19"/>
  <c r="A12" i="19"/>
  <c r="K11" i="19"/>
  <c r="G11" i="19"/>
  <c r="E11" i="19"/>
  <c r="A11" i="19"/>
  <c r="K10" i="19"/>
  <c r="G10" i="19"/>
  <c r="E10" i="19"/>
  <c r="A10" i="19"/>
  <c r="K9" i="19"/>
  <c r="I9" i="19"/>
  <c r="G9" i="19"/>
  <c r="E9" i="19"/>
  <c r="A9" i="19"/>
  <c r="K8" i="19"/>
  <c r="I8" i="19"/>
  <c r="G8" i="19"/>
  <c r="E8" i="19"/>
  <c r="A8" i="19"/>
  <c r="K7" i="19"/>
  <c r="I7" i="19"/>
  <c r="G7" i="19"/>
  <c r="E7" i="19"/>
  <c r="A7" i="19"/>
  <c r="K6" i="19"/>
  <c r="I6" i="19"/>
  <c r="G6" i="19"/>
  <c r="E6" i="19"/>
  <c r="D6" i="19"/>
  <c r="A6" i="19"/>
  <c r="R21" i="18"/>
  <c r="R20" i="18"/>
  <c r="R19" i="18"/>
  <c r="S18" i="18"/>
  <c r="R18" i="18"/>
  <c r="R17" i="18"/>
  <c r="R16" i="18"/>
  <c r="R15" i="18"/>
  <c r="R14" i="18"/>
  <c r="R13" i="18"/>
  <c r="R12" i="18"/>
  <c r="R11" i="18"/>
  <c r="R10" i="18"/>
  <c r="T9" i="18"/>
  <c r="R9" i="18"/>
  <c r="T8" i="18"/>
  <c r="R8" i="18"/>
  <c r="T7" i="18"/>
  <c r="R7" i="18"/>
  <c r="T6" i="18"/>
  <c r="R6" i="18"/>
  <c r="M3" i="18"/>
  <c r="L5" i="11" l="1"/>
  <c r="R8" i="11"/>
  <c r="S8" i="11" s="1"/>
  <c r="K57" i="14"/>
  <c r="K58" i="14" s="1"/>
  <c r="L33" i="14"/>
  <c r="N42" i="5"/>
  <c r="P78" i="4"/>
  <c r="P96" i="4"/>
  <c r="N41" i="5"/>
  <c r="P76" i="4"/>
  <c r="N40" i="5"/>
  <c r="P74" i="4"/>
  <c r="N39" i="5"/>
  <c r="P72" i="4"/>
  <c r="N38" i="5"/>
  <c r="P70" i="4"/>
  <c r="N37" i="5"/>
  <c r="P68" i="4"/>
  <c r="N35" i="5"/>
  <c r="P64" i="4"/>
  <c r="N34" i="5"/>
  <c r="P62" i="4"/>
  <c r="M29" i="5"/>
  <c r="N29" i="5" s="1"/>
  <c r="O29" i="5"/>
  <c r="M28" i="5"/>
  <c r="N28" i="5" s="1"/>
  <c r="O28" i="5"/>
  <c r="M27" i="5"/>
  <c r="N27" i="5" s="1"/>
  <c r="O27" i="5"/>
  <c r="M26" i="5"/>
  <c r="O26" i="5"/>
  <c r="R46" i="4"/>
  <c r="M25" i="5"/>
  <c r="O25" i="5"/>
  <c r="R44" i="4"/>
  <c r="M24" i="5"/>
  <c r="O24" i="5"/>
  <c r="R23" i="4"/>
  <c r="R42" i="4"/>
  <c r="M23" i="5"/>
  <c r="O23" i="5"/>
  <c r="R40" i="4"/>
  <c r="M22" i="5"/>
  <c r="O22" i="5"/>
  <c r="R38" i="4"/>
  <c r="M21" i="5"/>
  <c r="O21" i="5"/>
  <c r="R36" i="4"/>
  <c r="M20" i="5"/>
  <c r="O20" i="5"/>
  <c r="R34" i="4"/>
  <c r="M19" i="5"/>
  <c r="O19" i="5"/>
  <c r="R32" i="4"/>
  <c r="M18" i="5"/>
  <c r="O18" i="5"/>
  <c r="R30" i="4"/>
  <c r="M17" i="5"/>
  <c r="O17" i="5"/>
  <c r="R28" i="4"/>
  <c r="M15" i="5"/>
  <c r="O15" i="5"/>
  <c r="M14" i="5"/>
  <c r="O14" i="5"/>
  <c r="M13" i="5"/>
  <c r="O13" i="5"/>
  <c r="O12" i="5"/>
  <c r="M12" i="5"/>
  <c r="M11" i="5"/>
  <c r="O11" i="5"/>
  <c r="R17" i="4"/>
  <c r="M10" i="5"/>
  <c r="O10" i="5"/>
  <c r="M9" i="5"/>
  <c r="O9" i="5"/>
  <c r="R13" i="4"/>
  <c r="M8" i="5"/>
  <c r="O8" i="5"/>
  <c r="M7" i="5"/>
  <c r="O7" i="5"/>
  <c r="R9" i="4"/>
  <c r="M6" i="5"/>
  <c r="O6" i="5"/>
  <c r="M5" i="5"/>
  <c r="O5" i="5"/>
  <c r="L58" i="5"/>
  <c r="L59" i="5" s="1"/>
  <c r="J67" i="13" s="1"/>
  <c r="R5" i="4"/>
  <c r="I5" i="4" s="1"/>
  <c r="M18" i="8"/>
  <c r="K23" i="7" s="1"/>
  <c r="I22" i="19" s="1"/>
  <c r="T22" i="18" s="1"/>
  <c r="N18" i="8"/>
  <c r="I23" i="7"/>
  <c r="D22" i="19" s="1"/>
  <c r="M17" i="8"/>
  <c r="K22" i="7" s="1"/>
  <c r="I21" i="19" s="1"/>
  <c r="T21" i="18" s="1"/>
  <c r="N17" i="8"/>
  <c r="I22" i="7"/>
  <c r="D21" i="19" s="1"/>
  <c r="M16" i="8"/>
  <c r="K21" i="7" s="1"/>
  <c r="I20" i="19" s="1"/>
  <c r="T20" i="18" s="1"/>
  <c r="N16" i="8"/>
  <c r="I21" i="7"/>
  <c r="D20" i="19" s="1"/>
  <c r="M15" i="8"/>
  <c r="K20" i="7" s="1"/>
  <c r="I19" i="19" s="1"/>
  <c r="T19" i="18" s="1"/>
  <c r="N15" i="8"/>
  <c r="I20" i="7"/>
  <c r="D19" i="19" s="1"/>
  <c r="M14" i="8"/>
  <c r="K19" i="7" s="1"/>
  <c r="I18" i="19" s="1"/>
  <c r="T18" i="18" s="1"/>
  <c r="N14" i="8"/>
  <c r="I19" i="7"/>
  <c r="M13" i="8"/>
  <c r="K18" i="7" s="1"/>
  <c r="I17" i="19" s="1"/>
  <c r="T17" i="18" s="1"/>
  <c r="N13" i="8"/>
  <c r="I18" i="7"/>
  <c r="D17" i="19" s="1"/>
  <c r="M12" i="8"/>
  <c r="K17" i="7" s="1"/>
  <c r="I16" i="19" s="1"/>
  <c r="T16" i="18" s="1"/>
  <c r="N12" i="8"/>
  <c r="I13" i="7"/>
  <c r="D12" i="19" s="1"/>
  <c r="I17" i="7"/>
  <c r="D16" i="19" s="1"/>
  <c r="M11" i="8"/>
  <c r="K16" i="7" s="1"/>
  <c r="I15" i="19" s="1"/>
  <c r="T15" i="18" s="1"/>
  <c r="N11" i="8"/>
  <c r="I16" i="7"/>
  <c r="D15" i="19" s="1"/>
  <c r="M10" i="8"/>
  <c r="K15" i="7" s="1"/>
  <c r="I14" i="19" s="1"/>
  <c r="T14" i="18" s="1"/>
  <c r="N10" i="8"/>
  <c r="I15" i="7"/>
  <c r="D14" i="19" s="1"/>
  <c r="M9" i="8"/>
  <c r="K14" i="7" s="1"/>
  <c r="I13" i="19" s="1"/>
  <c r="T13" i="18" s="1"/>
  <c r="N9" i="8"/>
  <c r="I14" i="7"/>
  <c r="D13" i="19" s="1"/>
  <c r="I10" i="7"/>
  <c r="D9" i="19" s="1"/>
  <c r="M8" i="8"/>
  <c r="K13" i="7" s="1"/>
  <c r="I12" i="19" s="1"/>
  <c r="T12" i="18" s="1"/>
  <c r="N8" i="8"/>
  <c r="I9" i="7"/>
  <c r="D8" i="19" s="1"/>
  <c r="M7" i="8"/>
  <c r="K12" i="7" s="1"/>
  <c r="I11" i="19" s="1"/>
  <c r="T11" i="18" s="1"/>
  <c r="N7" i="8"/>
  <c r="I8" i="7"/>
  <c r="I12" i="7"/>
  <c r="D11" i="19" s="1"/>
  <c r="L6" i="8"/>
  <c r="K43" i="8"/>
  <c r="K44" i="8" s="1"/>
  <c r="X97" i="4"/>
  <c r="Y97" i="4"/>
  <c r="W97" i="4"/>
  <c r="X96" i="4"/>
  <c r="Y96" i="4"/>
  <c r="W96" i="4"/>
  <c r="W95" i="4"/>
  <c r="Y95" i="4"/>
  <c r="X95" i="4"/>
  <c r="U94" i="4"/>
  <c r="V94" i="4" s="1"/>
  <c r="W94" i="4"/>
  <c r="X94" i="4"/>
  <c r="Y94" i="4"/>
  <c r="Y93" i="4"/>
  <c r="X93" i="4"/>
  <c r="W93" i="4"/>
  <c r="W92" i="4"/>
  <c r="U92" i="4"/>
  <c r="V92" i="4" s="1"/>
  <c r="Y92" i="4"/>
  <c r="X92" i="4"/>
  <c r="Y91" i="4"/>
  <c r="X91" i="4"/>
  <c r="W91" i="4"/>
  <c r="W90" i="4"/>
  <c r="U90" i="4"/>
  <c r="V90" i="4" s="1"/>
  <c r="Y90" i="4"/>
  <c r="X90" i="4"/>
  <c r="Y89" i="4"/>
  <c r="X89" i="4"/>
  <c r="W89" i="4"/>
  <c r="W88" i="4"/>
  <c r="U88" i="4"/>
  <c r="V88" i="4" s="1"/>
  <c r="Y88" i="4"/>
  <c r="X88" i="4"/>
  <c r="Y87" i="4"/>
  <c r="X87" i="4"/>
  <c r="W87" i="4"/>
  <c r="U86" i="4"/>
  <c r="V86" i="4" s="1"/>
  <c r="W86" i="4"/>
  <c r="X86" i="4"/>
  <c r="Y86" i="4"/>
  <c r="W85" i="4"/>
  <c r="X85" i="4"/>
  <c r="Y85" i="4"/>
  <c r="U84" i="4"/>
  <c r="V84" i="4" s="1"/>
  <c r="W84" i="4"/>
  <c r="X84" i="4"/>
  <c r="Y84" i="4"/>
  <c r="X83" i="4"/>
  <c r="W83" i="4"/>
  <c r="Y83" i="4"/>
  <c r="W82" i="4"/>
  <c r="U82" i="4"/>
  <c r="V82" i="4" s="1"/>
  <c r="Y82" i="4"/>
  <c r="X82" i="4"/>
  <c r="Y81" i="4"/>
  <c r="X81" i="4"/>
  <c r="W81" i="4"/>
  <c r="W80" i="4"/>
  <c r="U80" i="4"/>
  <c r="V80" i="4" s="1"/>
  <c r="X80" i="4"/>
  <c r="Y80" i="4"/>
  <c r="X79" i="4"/>
  <c r="W79" i="4"/>
  <c r="Y79" i="4"/>
  <c r="X78" i="4"/>
  <c r="W78" i="4"/>
  <c r="Y78" i="4"/>
  <c r="Y77" i="4"/>
  <c r="X77" i="4"/>
  <c r="W77" i="4"/>
  <c r="Y76" i="4"/>
  <c r="X76" i="4"/>
  <c r="W76" i="4"/>
  <c r="Y75" i="4"/>
  <c r="W75" i="4"/>
  <c r="X75" i="4"/>
  <c r="Y74" i="4"/>
  <c r="W74" i="4"/>
  <c r="X74" i="4"/>
  <c r="X73" i="4"/>
  <c r="Y73" i="4"/>
  <c r="W73" i="4"/>
  <c r="X72" i="4"/>
  <c r="Y72" i="4"/>
  <c r="W72" i="4"/>
  <c r="X71" i="4"/>
  <c r="Y71" i="4"/>
  <c r="W71" i="4"/>
  <c r="X70" i="4"/>
  <c r="W70" i="4"/>
  <c r="Y70" i="4"/>
  <c r="X68" i="4"/>
  <c r="Y68" i="4"/>
  <c r="W68" i="4"/>
  <c r="W67" i="4"/>
  <c r="X67" i="4"/>
  <c r="Y67" i="4"/>
  <c r="W66" i="4"/>
  <c r="Y66" i="4"/>
  <c r="X66" i="4"/>
  <c r="X65" i="4"/>
  <c r="Y65" i="4"/>
  <c r="W65" i="4"/>
  <c r="Y64" i="4"/>
  <c r="W64" i="4"/>
  <c r="X64" i="4"/>
  <c r="X63" i="4"/>
  <c r="Y63" i="4"/>
  <c r="W63" i="4"/>
  <c r="W62" i="4"/>
  <c r="X62" i="4"/>
  <c r="Y62" i="4"/>
  <c r="W45" i="4"/>
  <c r="X45" i="4"/>
  <c r="Y45" i="4"/>
  <c r="Y44" i="4"/>
  <c r="X44" i="4"/>
  <c r="W44" i="4"/>
  <c r="Y43" i="4"/>
  <c r="X43" i="4"/>
  <c r="W43" i="4"/>
  <c r="X42" i="4"/>
  <c r="Y42" i="4"/>
  <c r="W42" i="4"/>
  <c r="X41" i="4"/>
  <c r="W41" i="4"/>
  <c r="Y41" i="4"/>
  <c r="W40" i="4"/>
  <c r="X40" i="4"/>
  <c r="Y40" i="4"/>
  <c r="W39" i="4"/>
  <c r="X39" i="4"/>
  <c r="Y39" i="4"/>
  <c r="Y38" i="4"/>
  <c r="X38" i="4"/>
  <c r="W38" i="4"/>
  <c r="Y37" i="4"/>
  <c r="W37" i="4"/>
  <c r="X37" i="4"/>
  <c r="W36" i="4"/>
  <c r="Y36" i="4"/>
  <c r="X36" i="4"/>
  <c r="Y35" i="4"/>
  <c r="X35" i="4"/>
  <c r="W35" i="4"/>
  <c r="W34" i="4"/>
  <c r="X34" i="4"/>
  <c r="Y34" i="4"/>
  <c r="W33" i="4"/>
  <c r="Y33" i="4"/>
  <c r="X33" i="4"/>
  <c r="W32" i="4"/>
  <c r="Y32" i="4"/>
  <c r="X32" i="4"/>
  <c r="W31" i="4"/>
  <c r="X31" i="4"/>
  <c r="Y31" i="4"/>
  <c r="Y30" i="4"/>
  <c r="W30" i="4"/>
  <c r="X30" i="4"/>
  <c r="Y29" i="4"/>
  <c r="W29" i="4"/>
  <c r="X29" i="4"/>
  <c r="Y28" i="4"/>
  <c r="X28" i="4"/>
  <c r="W28" i="4"/>
  <c r="W27" i="4"/>
  <c r="X27" i="4"/>
  <c r="Y27" i="4"/>
  <c r="Y26" i="4"/>
  <c r="X26" i="4"/>
  <c r="W26" i="4"/>
  <c r="W25" i="4"/>
  <c r="Y25" i="4"/>
  <c r="X25" i="4"/>
  <c r="X24" i="4"/>
  <c r="W24" i="4"/>
  <c r="Y24" i="4"/>
  <c r="Y23" i="4"/>
  <c r="W23" i="4"/>
  <c r="X23" i="4"/>
  <c r="Y22" i="4"/>
  <c r="W22" i="4"/>
  <c r="X22" i="4"/>
  <c r="H21" i="4"/>
  <c r="I21" i="4" s="1"/>
  <c r="I20" i="4"/>
  <c r="H17" i="4"/>
  <c r="W15" i="4"/>
  <c r="Z15" i="4" s="1"/>
  <c r="Y15" i="4"/>
  <c r="X15" i="4"/>
  <c r="X14" i="4"/>
  <c r="W14" i="4"/>
  <c r="Z14" i="4" s="1"/>
  <c r="Y14" i="4"/>
  <c r="Y13" i="4"/>
  <c r="X13" i="4"/>
  <c r="W13" i="4"/>
  <c r="Z13" i="4" s="1"/>
  <c r="Y12" i="4"/>
  <c r="X12" i="4"/>
  <c r="W12" i="4"/>
  <c r="Z12" i="4" s="1"/>
  <c r="AC13" i="4"/>
  <c r="AC14" i="4" s="1"/>
  <c r="AC15" i="4" s="1"/>
  <c r="AC19" i="4"/>
  <c r="I9" i="4"/>
  <c r="H10" i="4"/>
  <c r="M9" i="4"/>
  <c r="H7" i="4"/>
  <c r="M6" i="4"/>
  <c r="I6" i="4"/>
  <c r="Z5" i="4"/>
  <c r="O5" i="4"/>
  <c r="N5" i="4"/>
  <c r="Y5" i="4"/>
  <c r="X5" i="4"/>
  <c r="M7" i="4"/>
  <c r="BB15" i="13"/>
  <c r="AS15" i="13"/>
  <c r="BA15" i="13"/>
  <c r="AR15" i="13"/>
  <c r="AZ15" i="13"/>
  <c r="AQ15" i="13"/>
  <c r="AS14" i="13"/>
  <c r="BB14" i="13"/>
  <c r="BA14" i="13"/>
  <c r="AR14" i="13"/>
  <c r="AQ14" i="13"/>
  <c r="AZ14" i="13"/>
  <c r="BJ17" i="13"/>
  <c r="BJ16" i="13"/>
  <c r="BB13" i="13"/>
  <c r="AS13" i="13"/>
  <c r="BA13" i="13"/>
  <c r="AR13" i="13"/>
  <c r="AZ13" i="13"/>
  <c r="AQ13" i="13"/>
  <c r="AI12" i="13"/>
  <c r="AL12" i="13"/>
  <c r="AK12" i="13"/>
  <c r="AM12" i="13"/>
  <c r="K96" i="13"/>
  <c r="AJ12" i="13"/>
  <c r="AN12" i="13"/>
  <c r="AN11" i="13"/>
  <c r="AE60" i="13"/>
  <c r="T95" i="13"/>
  <c r="T99" i="13" s="1"/>
  <c r="S95" i="13"/>
  <c r="S99" i="13" s="1"/>
  <c r="AM11" i="13"/>
  <c r="AD60" i="13"/>
  <c r="AC60" i="13"/>
  <c r="AL11" i="13"/>
  <c r="R95" i="13"/>
  <c r="R99" i="13" s="1"/>
  <c r="W60" i="13"/>
  <c r="W62" i="13"/>
  <c r="AO67" i="13"/>
  <c r="AO68" i="13"/>
  <c r="N95" i="13"/>
  <c r="N99" i="13" s="1"/>
  <c r="AK11" i="13"/>
  <c r="AN68" i="13"/>
  <c r="M95" i="13"/>
  <c r="M99" i="13" s="1"/>
  <c r="V60" i="13"/>
  <c r="V62" i="13"/>
  <c r="AN67" i="13"/>
  <c r="AJ11" i="13"/>
  <c r="AM68" i="13"/>
  <c r="AI11" i="13"/>
  <c r="AM70" i="13"/>
  <c r="U62" i="13"/>
  <c r="U60" i="13"/>
  <c r="L95" i="13"/>
  <c r="L99" i="13" s="1"/>
  <c r="AM69" i="13"/>
  <c r="AM67" i="13"/>
  <c r="M20" i="4"/>
  <c r="M21" i="4"/>
  <c r="S11" i="13"/>
  <c r="AO11" i="13" s="1"/>
  <c r="T11" i="13"/>
  <c r="K60" i="13"/>
  <c r="K61" i="13"/>
  <c r="Y11" i="2" s="1"/>
  <c r="K95" i="13"/>
  <c r="K100" i="13" s="1"/>
  <c r="AI10" i="13"/>
  <c r="M16" i="4"/>
  <c r="S10" i="13"/>
  <c r="AO10" i="13" s="1"/>
  <c r="T10" i="13"/>
  <c r="X95" i="12"/>
  <c r="X96" i="12" s="1"/>
  <c r="Z13" i="12"/>
  <c r="Z14" i="12"/>
  <c r="J41" i="12"/>
  <c r="M41" i="12" s="1"/>
  <c r="M8" i="12"/>
  <c r="M40" i="12" s="1"/>
  <c r="M43" i="12" s="1"/>
  <c r="L85" i="1"/>
  <c r="K85" i="1"/>
  <c r="M85" i="1" s="1"/>
  <c r="K84" i="1"/>
  <c r="M84" i="1" s="1"/>
  <c r="L84" i="1"/>
  <c r="N84" i="1" s="1"/>
  <c r="K83" i="1"/>
  <c r="M83" i="1" s="1"/>
  <c r="L83" i="1"/>
  <c r="K82" i="1"/>
  <c r="M82" i="1" s="1"/>
  <c r="L82" i="1"/>
  <c r="N82" i="1" s="1"/>
  <c r="L81" i="1"/>
  <c r="K81" i="1"/>
  <c r="M81" i="1" s="1"/>
  <c r="L80" i="1"/>
  <c r="N80" i="1" s="1"/>
  <c r="K80" i="1"/>
  <c r="M80" i="1" s="1"/>
  <c r="L79" i="1"/>
  <c r="K79" i="1"/>
  <c r="M79" i="1" s="1"/>
  <c r="L78" i="1"/>
  <c r="N78" i="1" s="1"/>
  <c r="K78" i="1"/>
  <c r="M78" i="1" s="1"/>
  <c r="K77" i="1"/>
  <c r="M77" i="1" s="1"/>
  <c r="L77" i="1"/>
  <c r="K76" i="1"/>
  <c r="M76" i="1" s="1"/>
  <c r="L76" i="1"/>
  <c r="N76" i="1" s="1"/>
  <c r="K75" i="1"/>
  <c r="M75" i="1" s="1"/>
  <c r="L75" i="1"/>
  <c r="N74" i="1" s="1"/>
  <c r="L73" i="1"/>
  <c r="K73" i="1"/>
  <c r="M73" i="1" s="1"/>
  <c r="L72" i="1"/>
  <c r="N72" i="1" s="1"/>
  <c r="K72" i="1"/>
  <c r="M72" i="1" s="1"/>
  <c r="L71" i="1"/>
  <c r="K71" i="1"/>
  <c r="M71" i="1" s="1"/>
  <c r="L70" i="1"/>
  <c r="N70" i="1" s="1"/>
  <c r="K70" i="1"/>
  <c r="M70" i="1" s="1"/>
  <c r="L69" i="1"/>
  <c r="K69" i="1"/>
  <c r="M69" i="1" s="1"/>
  <c r="L68" i="1"/>
  <c r="N68" i="1" s="1"/>
  <c r="C38" i="7" s="1"/>
  <c r="K68" i="1"/>
  <c r="M68" i="1" s="1"/>
  <c r="K67" i="1"/>
  <c r="M67" i="1" s="1"/>
  <c r="L67" i="1"/>
  <c r="K66" i="1"/>
  <c r="M66" i="1" s="1"/>
  <c r="L66" i="1"/>
  <c r="K65" i="1"/>
  <c r="M65" i="1" s="1"/>
  <c r="L65" i="1"/>
  <c r="K64" i="1"/>
  <c r="M64" i="1" s="1"/>
  <c r="L64" i="1"/>
  <c r="N64" i="1" s="1"/>
  <c r="L63" i="1"/>
  <c r="K63" i="1"/>
  <c r="M63" i="1" s="1"/>
  <c r="L62" i="1"/>
  <c r="N62" i="1" s="1"/>
  <c r="K62" i="1"/>
  <c r="M62" i="1" s="1"/>
  <c r="L61" i="1"/>
  <c r="K61" i="1"/>
  <c r="M61" i="1" s="1"/>
  <c r="L60" i="1"/>
  <c r="N60" i="1" s="1"/>
  <c r="K60" i="1"/>
  <c r="M60" i="1" s="1"/>
  <c r="L59" i="1"/>
  <c r="K59" i="1"/>
  <c r="M59" i="1" s="1"/>
  <c r="L58" i="1"/>
  <c r="N58" i="1" s="1"/>
  <c r="C33" i="7" s="1"/>
  <c r="K58" i="1"/>
  <c r="M58" i="1" s="1"/>
  <c r="L57" i="1"/>
  <c r="K57" i="1"/>
  <c r="M57" i="1" s="1"/>
  <c r="L56" i="1"/>
  <c r="N56" i="1" s="1"/>
  <c r="K56" i="1"/>
  <c r="M56" i="1" s="1"/>
  <c r="L55" i="1"/>
  <c r="K55" i="1"/>
  <c r="M55" i="1" s="1"/>
  <c r="L54" i="1"/>
  <c r="N54" i="1" s="1"/>
  <c r="K54" i="1"/>
  <c r="M54" i="1" s="1"/>
  <c r="K53" i="1"/>
  <c r="M53" i="1" s="1"/>
  <c r="L53" i="1"/>
  <c r="K52" i="1"/>
  <c r="M52" i="1" s="1"/>
  <c r="L52" i="1"/>
  <c r="N52" i="1" s="1"/>
  <c r="C30" i="7" s="1"/>
  <c r="L51" i="1"/>
  <c r="K51" i="1"/>
  <c r="M51" i="1" s="1"/>
  <c r="L50" i="1"/>
  <c r="N50" i="1" s="1"/>
  <c r="K50" i="1"/>
  <c r="M50" i="1" s="1"/>
  <c r="L49" i="1"/>
  <c r="K49" i="1"/>
  <c r="M49" i="1" s="1"/>
  <c r="L48" i="1"/>
  <c r="N48" i="1" s="1"/>
  <c r="C49" i="7" s="1"/>
  <c r="K48" i="1"/>
  <c r="M48" i="1" s="1"/>
  <c r="L47" i="1"/>
  <c r="K47" i="1"/>
  <c r="M47" i="1" s="1"/>
  <c r="L46" i="1"/>
  <c r="N46" i="1" s="1"/>
  <c r="C47" i="7" s="1"/>
  <c r="K46" i="1"/>
  <c r="M46" i="1" s="1"/>
  <c r="L45" i="1"/>
  <c r="K45" i="1"/>
  <c r="M45" i="1" s="1"/>
  <c r="K44" i="1"/>
  <c r="M44" i="1" s="1"/>
  <c r="L44" i="1"/>
  <c r="N44" i="1" s="1"/>
  <c r="C45" i="7" s="1"/>
  <c r="K43" i="1"/>
  <c r="M43" i="1" s="1"/>
  <c r="L43" i="1"/>
  <c r="L42" i="1"/>
  <c r="N42" i="1" s="1"/>
  <c r="C43" i="7" s="1"/>
  <c r="K42" i="1"/>
  <c r="M42" i="1" s="1"/>
  <c r="L41" i="1"/>
  <c r="K41" i="1"/>
  <c r="M41" i="1" s="1"/>
  <c r="K40" i="1"/>
  <c r="M40" i="1" s="1"/>
  <c r="L40" i="1"/>
  <c r="N40" i="1" s="1"/>
  <c r="C41" i="7" s="1"/>
  <c r="K39" i="1"/>
  <c r="M39" i="1" s="1"/>
  <c r="L39" i="1"/>
  <c r="K38" i="1"/>
  <c r="M38" i="1" s="1"/>
  <c r="L38" i="1"/>
  <c r="N38" i="1" s="1"/>
  <c r="C23" i="7" s="1"/>
  <c r="G23" i="7" s="1"/>
  <c r="K37" i="1"/>
  <c r="M37" i="1" s="1"/>
  <c r="L37" i="1"/>
  <c r="K36" i="1"/>
  <c r="M36" i="1" s="1"/>
  <c r="L36" i="1"/>
  <c r="N36" i="1" s="1"/>
  <c r="C22" i="7" s="1"/>
  <c r="G22" i="7" s="1"/>
  <c r="K35" i="1"/>
  <c r="M35" i="1" s="1"/>
  <c r="L35" i="1"/>
  <c r="K34" i="1"/>
  <c r="M34" i="1" s="1"/>
  <c r="L34" i="1"/>
  <c r="N34" i="1" s="1"/>
  <c r="C21" i="7" s="1"/>
  <c r="G21" i="7" s="1"/>
  <c r="K33" i="1"/>
  <c r="M33" i="1" s="1"/>
  <c r="L33" i="1"/>
  <c r="N32" i="1" s="1"/>
  <c r="C20" i="7" s="1"/>
  <c r="G20" i="7" s="1"/>
  <c r="E20" i="7"/>
  <c r="F19" i="19" s="1"/>
  <c r="B19" i="19"/>
  <c r="S19" i="18" s="1"/>
  <c r="L31" i="1"/>
  <c r="K31" i="1"/>
  <c r="M31" i="1" s="1"/>
  <c r="K30" i="1"/>
  <c r="M30" i="1" s="1"/>
  <c r="L30" i="1"/>
  <c r="N30" i="1" s="1"/>
  <c r="C31" i="7" s="1"/>
  <c r="L29" i="1"/>
  <c r="K29" i="1"/>
  <c r="M29" i="1" s="1"/>
  <c r="L28" i="1"/>
  <c r="N28" i="1" s="1"/>
  <c r="C18" i="7" s="1"/>
  <c r="K28" i="1"/>
  <c r="M28" i="1" s="1"/>
  <c r="L27" i="1"/>
  <c r="K27" i="1"/>
  <c r="M27" i="1" s="1"/>
  <c r="L26" i="1"/>
  <c r="N26" i="1" s="1"/>
  <c r="C17" i="7" s="1"/>
  <c r="G17" i="7" s="1"/>
  <c r="K26" i="1"/>
  <c r="M26" i="1" s="1"/>
  <c r="L25" i="1"/>
  <c r="K25" i="1"/>
  <c r="M25" i="1" s="1"/>
  <c r="K24" i="1"/>
  <c r="M24" i="1" s="1"/>
  <c r="L24" i="1"/>
  <c r="N24" i="1" s="1"/>
  <c r="C16" i="7" s="1"/>
  <c r="K23" i="1"/>
  <c r="M23" i="1" s="1"/>
  <c r="L23" i="1"/>
  <c r="L22" i="1"/>
  <c r="N22" i="1" s="1"/>
  <c r="K22" i="1"/>
  <c r="M22" i="1" s="1"/>
  <c r="K21" i="1"/>
  <c r="L21" i="1"/>
  <c r="K20" i="1"/>
  <c r="M20" i="1" s="1"/>
  <c r="L20" i="1"/>
  <c r="N20" i="1" s="1"/>
  <c r="C14" i="7" s="1"/>
  <c r="K19" i="1"/>
  <c r="M19" i="1" s="1"/>
  <c r="L19" i="1"/>
  <c r="K18" i="1"/>
  <c r="M18" i="1" s="1"/>
  <c r="L18" i="1"/>
  <c r="N18" i="1" s="1"/>
  <c r="C13" i="7" s="1"/>
  <c r="K17" i="1"/>
  <c r="M17" i="1" s="1"/>
  <c r="L17" i="1"/>
  <c r="L16" i="1"/>
  <c r="N16" i="1" s="1"/>
  <c r="C12" i="7" s="1"/>
  <c r="K16" i="1"/>
  <c r="M16" i="1" s="1"/>
  <c r="L15" i="1"/>
  <c r="K15" i="1"/>
  <c r="M15" i="1" s="1"/>
  <c r="L14" i="1"/>
  <c r="N14" i="1" s="1"/>
  <c r="C11" i="7" s="1"/>
  <c r="K14" i="1"/>
  <c r="M14" i="1" s="1"/>
  <c r="L13" i="1"/>
  <c r="K13" i="1"/>
  <c r="M13" i="1" s="1"/>
  <c r="K12" i="1"/>
  <c r="M12" i="1" s="1"/>
  <c r="L12" i="1"/>
  <c r="N12" i="1" s="1"/>
  <c r="C10" i="7" s="1"/>
  <c r="K11" i="1"/>
  <c r="M11" i="1" s="1"/>
  <c r="L11" i="1"/>
  <c r="K10" i="1"/>
  <c r="M10" i="1" s="1"/>
  <c r="L10" i="1"/>
  <c r="N10" i="1" s="1"/>
  <c r="C9" i="7" s="1"/>
  <c r="L9" i="1"/>
  <c r="K9" i="1"/>
  <c r="M9" i="1" s="1"/>
  <c r="K8" i="1"/>
  <c r="M8" i="1" s="1"/>
  <c r="L8" i="1"/>
  <c r="N8" i="1" s="1"/>
  <c r="C8" i="7" s="1"/>
  <c r="K7" i="1"/>
  <c r="M7" i="1" s="1"/>
  <c r="L7" i="1"/>
  <c r="K6" i="1"/>
  <c r="L6" i="1"/>
  <c r="T56" i="2"/>
  <c r="AA8" i="2"/>
  <c r="Z24" i="2"/>
  <c r="Q56" i="2"/>
  <c r="Z8" i="2"/>
  <c r="AA24" i="2"/>
  <c r="P56" i="2"/>
  <c r="Y24" i="2"/>
  <c r="Y8" i="2"/>
  <c r="O56" i="2"/>
  <c r="X8" i="2"/>
  <c r="X24" i="2"/>
  <c r="G48" i="7"/>
  <c r="H48" i="7" s="1"/>
  <c r="G46" i="7"/>
  <c r="H46" i="7" s="1"/>
  <c r="E46" i="7"/>
  <c r="E44" i="7"/>
  <c r="G44" i="7"/>
  <c r="H44" i="7" s="1"/>
  <c r="G42" i="7"/>
  <c r="H42" i="7" s="1"/>
  <c r="E42" i="7"/>
  <c r="G40" i="7"/>
  <c r="H40" i="7" s="1"/>
  <c r="E40" i="7"/>
  <c r="G36" i="7"/>
  <c r="H36" i="7" s="1"/>
  <c r="E36" i="7"/>
  <c r="G34" i="7"/>
  <c r="E34" i="7"/>
  <c r="F33" i="19" s="1"/>
  <c r="B33" i="19"/>
  <c r="S33" i="18" s="1"/>
  <c r="B31" i="19"/>
  <c r="S31" i="18" s="1"/>
  <c r="G32" i="7"/>
  <c r="E32" i="7"/>
  <c r="F31" i="19" s="1"/>
  <c r="H28" i="19"/>
  <c r="H29" i="7"/>
  <c r="B27" i="19"/>
  <c r="S27" i="18" s="1"/>
  <c r="G28" i="7"/>
  <c r="E28" i="7"/>
  <c r="F27" i="19" s="1"/>
  <c r="H26" i="19"/>
  <c r="H27" i="7"/>
  <c r="G26" i="7"/>
  <c r="E26" i="7"/>
  <c r="F25" i="19" s="1"/>
  <c r="B25" i="19"/>
  <c r="S25" i="18" s="1"/>
  <c r="H24" i="19"/>
  <c r="H25" i="7"/>
  <c r="H23" i="19"/>
  <c r="H24" i="7"/>
  <c r="J22" i="19"/>
  <c r="U22" i="18" s="1"/>
  <c r="N23" i="7"/>
  <c r="L22" i="19" s="1"/>
  <c r="G22" i="19"/>
  <c r="J21" i="19"/>
  <c r="U21" i="18" s="1"/>
  <c r="N22" i="7"/>
  <c r="L21" i="19" s="1"/>
  <c r="G21" i="19"/>
  <c r="N21" i="7"/>
  <c r="L20" i="19" s="1"/>
  <c r="J20" i="19"/>
  <c r="U20" i="18" s="1"/>
  <c r="G20" i="19"/>
  <c r="J19" i="19"/>
  <c r="U19" i="18" s="1"/>
  <c r="N20" i="7"/>
  <c r="L19" i="19" s="1"/>
  <c r="G19" i="19"/>
  <c r="J18" i="19"/>
  <c r="U18" i="18" s="1"/>
  <c r="N19" i="7"/>
  <c r="L18" i="19" s="1"/>
  <c r="H18" i="19"/>
  <c r="H19" i="7"/>
  <c r="J16" i="19"/>
  <c r="U16" i="18" s="1"/>
  <c r="N17" i="7"/>
  <c r="L16" i="19" s="1"/>
  <c r="G16" i="19"/>
  <c r="N16" i="7"/>
  <c r="L15" i="19" s="1"/>
  <c r="J15" i="19"/>
  <c r="U15" i="18" s="1"/>
  <c r="G14" i="19"/>
  <c r="F53" i="7"/>
  <c r="X55" i="7" s="1"/>
  <c r="F51" i="7"/>
  <c r="X56" i="7" s="1"/>
  <c r="F54" i="7"/>
  <c r="X58" i="7" s="1"/>
  <c r="F55" i="7"/>
  <c r="X57" i="7" s="1"/>
  <c r="J13" i="19"/>
  <c r="U13" i="18" s="1"/>
  <c r="N14" i="7"/>
  <c r="L13" i="19" s="1"/>
  <c r="N13" i="7"/>
  <c r="L12" i="19" s="1"/>
  <c r="J12" i="19"/>
  <c r="U12" i="18" s="1"/>
  <c r="J10" i="19"/>
  <c r="U10" i="18" s="1"/>
  <c r="N11" i="7"/>
  <c r="L10" i="19" s="1"/>
  <c r="J8" i="19"/>
  <c r="U8" i="18" s="1"/>
  <c r="N9" i="7"/>
  <c r="L8" i="19" s="1"/>
  <c r="AF51" i="7"/>
  <c r="P7" i="19"/>
  <c r="AC51" i="7"/>
  <c r="N7" i="19"/>
  <c r="AB51" i="7"/>
  <c r="O7" i="19"/>
  <c r="Z51" i="7"/>
  <c r="M7" i="19"/>
  <c r="J7" i="19"/>
  <c r="U7" i="18" s="1"/>
  <c r="N8" i="7"/>
  <c r="Q6" i="19"/>
  <c r="C21" i="18" s="1"/>
  <c r="AG50" i="7"/>
  <c r="P6" i="19"/>
  <c r="C20" i="18" s="1"/>
  <c r="AF50" i="7"/>
  <c r="N6" i="19"/>
  <c r="C18" i="18" s="1"/>
  <c r="AC50" i="7"/>
  <c r="O6" i="19"/>
  <c r="C19" i="18" s="1"/>
  <c r="AB50" i="7"/>
  <c r="Z50" i="7"/>
  <c r="M6" i="19"/>
  <c r="J6" i="19"/>
  <c r="N7" i="7"/>
  <c r="L6" i="19" s="1"/>
  <c r="T8" i="11" l="1"/>
  <c r="S11" i="11"/>
  <c r="L57" i="14"/>
  <c r="M57" i="14" s="1"/>
  <c r="M33" i="14"/>
  <c r="N26" i="5"/>
  <c r="J44" i="7"/>
  <c r="L44" i="7" s="1"/>
  <c r="N44" i="7" s="1"/>
  <c r="P46" i="4"/>
  <c r="N25" i="5"/>
  <c r="J43" i="7"/>
  <c r="L43" i="7" s="1"/>
  <c r="N43" i="7" s="1"/>
  <c r="P44" i="4"/>
  <c r="N24" i="5"/>
  <c r="J42" i="7"/>
  <c r="L42" i="7" s="1"/>
  <c r="N42" i="7" s="1"/>
  <c r="P42" i="4"/>
  <c r="N23" i="5"/>
  <c r="J41" i="7"/>
  <c r="L41" i="7" s="1"/>
  <c r="N41" i="7" s="1"/>
  <c r="P40" i="4"/>
  <c r="O40" i="4" s="1"/>
  <c r="N22" i="5"/>
  <c r="J40" i="7"/>
  <c r="L40" i="7" s="1"/>
  <c r="N40" i="7" s="1"/>
  <c r="P38" i="4"/>
  <c r="O38" i="4" s="1"/>
  <c r="N21" i="5"/>
  <c r="J39" i="7"/>
  <c r="L39" i="7" s="1"/>
  <c r="N39" i="7" s="1"/>
  <c r="P36" i="4"/>
  <c r="O36" i="4" s="1"/>
  <c r="N20" i="5"/>
  <c r="J38" i="7"/>
  <c r="L38" i="7" s="1"/>
  <c r="N38" i="7" s="1"/>
  <c r="P34" i="4"/>
  <c r="O34" i="4" s="1"/>
  <c r="N19" i="5"/>
  <c r="J37" i="7"/>
  <c r="L37" i="7" s="1"/>
  <c r="N37" i="7" s="1"/>
  <c r="P32" i="4"/>
  <c r="O32" i="4" s="1"/>
  <c r="N18" i="5"/>
  <c r="M31" i="7" s="1"/>
  <c r="K30" i="19" s="1"/>
  <c r="J36" i="7"/>
  <c r="L36" i="7" s="1"/>
  <c r="N36" i="7" s="1"/>
  <c r="P30" i="4"/>
  <c r="O30" i="4" s="1"/>
  <c r="N17" i="5"/>
  <c r="M30" i="7" s="1"/>
  <c r="K29" i="19" s="1"/>
  <c r="J35" i="7"/>
  <c r="L35" i="7" s="1"/>
  <c r="N35" i="7" s="1"/>
  <c r="P28" i="4"/>
  <c r="O26" i="4" s="1"/>
  <c r="N15" i="5"/>
  <c r="M29" i="7" s="1"/>
  <c r="K28" i="19" s="1"/>
  <c r="J34" i="7"/>
  <c r="N14" i="5"/>
  <c r="M28" i="7" s="1"/>
  <c r="K27" i="19" s="1"/>
  <c r="J33" i="7"/>
  <c r="P23" i="4"/>
  <c r="O23" i="4" s="1"/>
  <c r="N13" i="5"/>
  <c r="M27" i="7" s="1"/>
  <c r="K26" i="19" s="1"/>
  <c r="J32" i="7"/>
  <c r="N12" i="5"/>
  <c r="M26" i="7" s="1"/>
  <c r="K25" i="19" s="1"/>
  <c r="J31" i="7"/>
  <c r="N11" i="5"/>
  <c r="M25" i="7" s="1"/>
  <c r="K24" i="19" s="1"/>
  <c r="J30" i="7"/>
  <c r="P17" i="4"/>
  <c r="C12" i="13" s="1"/>
  <c r="Q17" i="4"/>
  <c r="N10" i="5"/>
  <c r="M24" i="7" s="1"/>
  <c r="K23" i="19" s="1"/>
  <c r="J29" i="7"/>
  <c r="N9" i="5"/>
  <c r="M23" i="7" s="1"/>
  <c r="K22" i="19" s="1"/>
  <c r="J28" i="7"/>
  <c r="P13" i="4"/>
  <c r="N8" i="5"/>
  <c r="M22" i="7" s="1"/>
  <c r="K21" i="19" s="1"/>
  <c r="J27" i="7"/>
  <c r="P11" i="4"/>
  <c r="N7" i="5"/>
  <c r="M21" i="7" s="1"/>
  <c r="K20" i="19" s="1"/>
  <c r="J26" i="7"/>
  <c r="P9" i="4"/>
  <c r="C11" i="13" s="1"/>
  <c r="N6" i="5"/>
  <c r="M20" i="7" s="1"/>
  <c r="K19" i="19" s="1"/>
  <c r="J25" i="7"/>
  <c r="P7" i="4"/>
  <c r="N5" i="5"/>
  <c r="M58" i="5"/>
  <c r="J24" i="7"/>
  <c r="P5" i="4"/>
  <c r="J71" i="13"/>
  <c r="D18" i="19"/>
  <c r="E19" i="7"/>
  <c r="F18" i="19" s="1"/>
  <c r="D7" i="19"/>
  <c r="M6" i="8"/>
  <c r="K11" i="7" s="1"/>
  <c r="N6" i="8"/>
  <c r="N43" i="8" s="1"/>
  <c r="AA10" i="8" s="1"/>
  <c r="L43" i="8"/>
  <c r="I11" i="7"/>
  <c r="I10" i="4"/>
  <c r="H11" i="4"/>
  <c r="I11" i="4" s="1"/>
  <c r="W9" i="4"/>
  <c r="O9" i="4"/>
  <c r="X9" i="4"/>
  <c r="Y9" i="4"/>
  <c r="M10" i="4"/>
  <c r="M11" i="4"/>
  <c r="W6" i="4"/>
  <c r="O6" i="4"/>
  <c r="Y6" i="4"/>
  <c r="X6" i="4"/>
  <c r="W7" i="4"/>
  <c r="Z7" i="4" s="1"/>
  <c r="N7" i="4"/>
  <c r="O7" i="4"/>
  <c r="X7" i="4"/>
  <c r="Y7" i="4"/>
  <c r="AZ12" i="13"/>
  <c r="AQ12" i="13"/>
  <c r="AS12" i="13"/>
  <c r="BB12" i="13"/>
  <c r="AR12" i="13"/>
  <c r="BA12" i="13"/>
  <c r="AS11" i="13"/>
  <c r="BB11" i="13"/>
  <c r="BA11" i="13"/>
  <c r="AR11" i="13"/>
  <c r="AQ11" i="13"/>
  <c r="AZ11" i="13"/>
  <c r="O20" i="4"/>
  <c r="W20" i="4"/>
  <c r="X20" i="4"/>
  <c r="Y20" i="4"/>
  <c r="N21" i="4"/>
  <c r="O21" i="4"/>
  <c r="W21" i="4"/>
  <c r="X21" i="4"/>
  <c r="Y21" i="4"/>
  <c r="AC11" i="2"/>
  <c r="AB11" i="2"/>
  <c r="N61" i="5"/>
  <c r="N62" i="5" s="1"/>
  <c r="AQ10" i="13"/>
  <c r="AQ60" i="13" s="1"/>
  <c r="AI63" i="13" s="1"/>
  <c r="AZ10" i="13"/>
  <c r="W16" i="4"/>
  <c r="O16" i="4"/>
  <c r="X16" i="4"/>
  <c r="Y16" i="4"/>
  <c r="E38" i="7"/>
  <c r="G38" i="7"/>
  <c r="H38" i="7" s="1"/>
  <c r="G33" i="7"/>
  <c r="E33" i="7"/>
  <c r="F32" i="19" s="1"/>
  <c r="B32" i="19"/>
  <c r="S32" i="18" s="1"/>
  <c r="G30" i="7"/>
  <c r="E30" i="7"/>
  <c r="F29" i="19" s="1"/>
  <c r="B29" i="19"/>
  <c r="S29" i="18" s="1"/>
  <c r="G49" i="7"/>
  <c r="H49" i="7" s="1"/>
  <c r="E47" i="7"/>
  <c r="G47" i="7"/>
  <c r="H47" i="7" s="1"/>
  <c r="E45" i="7"/>
  <c r="G45" i="7"/>
  <c r="H45" i="7" s="1"/>
  <c r="E43" i="7"/>
  <c r="G43" i="7"/>
  <c r="H43" i="7" s="1"/>
  <c r="G41" i="7"/>
  <c r="H41" i="7" s="1"/>
  <c r="E41" i="7"/>
  <c r="B22" i="19"/>
  <c r="S22" i="18" s="1"/>
  <c r="E23" i="7"/>
  <c r="F22" i="19" s="1"/>
  <c r="B21" i="19"/>
  <c r="S21" i="18" s="1"/>
  <c r="E22" i="7"/>
  <c r="F21" i="19" s="1"/>
  <c r="B20" i="19"/>
  <c r="S20" i="18" s="1"/>
  <c r="E21" i="7"/>
  <c r="F20" i="19" s="1"/>
  <c r="E31" i="7"/>
  <c r="F30" i="19" s="1"/>
  <c r="G31" i="7"/>
  <c r="B30" i="19"/>
  <c r="S30" i="18" s="1"/>
  <c r="E18" i="7"/>
  <c r="F17" i="19" s="1"/>
  <c r="B17" i="19"/>
  <c r="S17" i="18" s="1"/>
  <c r="G18" i="7"/>
  <c r="B16" i="19"/>
  <c r="S16" i="18" s="1"/>
  <c r="E17" i="7"/>
  <c r="F16" i="19" s="1"/>
  <c r="E16" i="7"/>
  <c r="F15" i="19" s="1"/>
  <c r="B15" i="19"/>
  <c r="S15" i="18" s="1"/>
  <c r="G16" i="7"/>
  <c r="W93" i="12"/>
  <c r="X94" i="12" s="1"/>
  <c r="C15" i="7"/>
  <c r="E14" i="7"/>
  <c r="F13" i="19" s="1"/>
  <c r="G14" i="7"/>
  <c r="B13" i="19"/>
  <c r="S13" i="18" s="1"/>
  <c r="E13" i="7"/>
  <c r="F12" i="19" s="1"/>
  <c r="B12" i="19"/>
  <c r="S12" i="18" s="1"/>
  <c r="G13" i="7"/>
  <c r="G12" i="7"/>
  <c r="B11" i="19"/>
  <c r="S11" i="18" s="1"/>
  <c r="E12" i="7"/>
  <c r="F11" i="19" s="1"/>
  <c r="B10" i="19"/>
  <c r="S10" i="18" s="1"/>
  <c r="G11" i="7"/>
  <c r="B9" i="19"/>
  <c r="S9" i="18" s="1"/>
  <c r="G10" i="7"/>
  <c r="E10" i="7"/>
  <c r="F9" i="19" s="1"/>
  <c r="E9" i="7"/>
  <c r="F8" i="19" s="1"/>
  <c r="G9" i="7"/>
  <c r="B8" i="19"/>
  <c r="S8" i="18" s="1"/>
  <c r="B7" i="19"/>
  <c r="S7" i="18" s="1"/>
  <c r="E8" i="7"/>
  <c r="F7" i="19" s="1"/>
  <c r="G8" i="7"/>
  <c r="M6" i="1"/>
  <c r="M86" i="1" s="1"/>
  <c r="K86" i="1"/>
  <c r="N6" i="1"/>
  <c r="L86" i="1"/>
  <c r="H34" i="7"/>
  <c r="H33" i="19"/>
  <c r="H32" i="7"/>
  <c r="H31" i="19"/>
  <c r="H28" i="7"/>
  <c r="H27" i="19"/>
  <c r="H26" i="7"/>
  <c r="H25" i="19"/>
  <c r="H23" i="7"/>
  <c r="H22" i="19"/>
  <c r="H22" i="7"/>
  <c r="H21" i="19"/>
  <c r="H20" i="19"/>
  <c r="H21" i="7"/>
  <c r="H20" i="7"/>
  <c r="H19" i="19"/>
  <c r="H17" i="7"/>
  <c r="H16" i="19"/>
  <c r="L7" i="19"/>
  <c r="C17" i="18"/>
  <c r="U6" i="18"/>
  <c r="O58" i="5"/>
  <c r="O59" i="5" s="1"/>
  <c r="N66" i="1"/>
  <c r="C37" i="7" s="1"/>
  <c r="AA11" i="2"/>
  <c r="Z11" i="2"/>
  <c r="X11" i="2"/>
  <c r="I17" i="4"/>
  <c r="H18" i="4"/>
  <c r="I7" i="4"/>
  <c r="H8" i="4"/>
  <c r="I8" i="4" s="1"/>
  <c r="M8" i="4"/>
  <c r="S5" i="4" s="1"/>
  <c r="N16" i="4"/>
  <c r="M17" i="4"/>
  <c r="L34" i="7" l="1"/>
  <c r="E33" i="19"/>
  <c r="L33" i="7"/>
  <c r="E32" i="19"/>
  <c r="E31" i="19"/>
  <c r="L32" i="7"/>
  <c r="L31" i="7"/>
  <c r="E30" i="19"/>
  <c r="L30" i="7"/>
  <c r="E29" i="19"/>
  <c r="E28" i="19"/>
  <c r="L29" i="7"/>
  <c r="L28" i="7"/>
  <c r="E27" i="19"/>
  <c r="L27" i="7"/>
  <c r="E26" i="19"/>
  <c r="L26" i="7"/>
  <c r="E25" i="19"/>
  <c r="L25" i="7"/>
  <c r="E24" i="19"/>
  <c r="N58" i="5"/>
  <c r="M19" i="7"/>
  <c r="M59" i="5"/>
  <c r="M60" i="5" s="1"/>
  <c r="P54" i="4" s="1"/>
  <c r="P98" i="4"/>
  <c r="E23" i="19"/>
  <c r="L24" i="7"/>
  <c r="O14" i="4"/>
  <c r="C10" i="13"/>
  <c r="K51" i="7"/>
  <c r="I10" i="19"/>
  <c r="M43" i="8"/>
  <c r="K43" i="7" s="1"/>
  <c r="O43" i="8"/>
  <c r="L44" i="8"/>
  <c r="I48" i="7"/>
  <c r="E48" i="7" s="1"/>
  <c r="AA9" i="8"/>
  <c r="Z9" i="4"/>
  <c r="W10" i="4"/>
  <c r="Z10" i="4" s="1"/>
  <c r="O10" i="4"/>
  <c r="X10" i="4"/>
  <c r="Y10" i="4"/>
  <c r="W11" i="4"/>
  <c r="N11" i="4"/>
  <c r="O11" i="4"/>
  <c r="X11" i="4"/>
  <c r="Y11" i="4"/>
  <c r="X10" i="13"/>
  <c r="W98" i="4"/>
  <c r="Z6" i="4"/>
  <c r="Z10" i="13"/>
  <c r="Y98" i="4"/>
  <c r="Y10" i="13"/>
  <c r="X98" i="4"/>
  <c r="BF13" i="13"/>
  <c r="AX15" i="13"/>
  <c r="AX11" i="13"/>
  <c r="AX13" i="13"/>
  <c r="AW11" i="13"/>
  <c r="BE13" i="13"/>
  <c r="AW15" i="13"/>
  <c r="AV13" i="13"/>
  <c r="AW13" i="13"/>
  <c r="BD13" i="13"/>
  <c r="AV15" i="13"/>
  <c r="AV11" i="13"/>
  <c r="AV12" i="13"/>
  <c r="AV14" i="13"/>
  <c r="BE20" i="13" s="1"/>
  <c r="AV10" i="13"/>
  <c r="BD12" i="13"/>
  <c r="BD14" i="13" s="1"/>
  <c r="AZ61" i="13"/>
  <c r="Z16" i="4"/>
  <c r="H33" i="7"/>
  <c r="H32" i="19"/>
  <c r="H29" i="19"/>
  <c r="H30" i="7"/>
  <c r="H30" i="19"/>
  <c r="H31" i="7"/>
  <c r="H18" i="7"/>
  <c r="H17" i="19"/>
  <c r="H16" i="7"/>
  <c r="H15" i="19"/>
  <c r="G15" i="7"/>
  <c r="B14" i="19"/>
  <c r="S14" i="18" s="1"/>
  <c r="E15" i="7"/>
  <c r="F14" i="19" s="1"/>
  <c r="H14" i="7"/>
  <c r="H13" i="19"/>
  <c r="H13" i="7"/>
  <c r="H12" i="19"/>
  <c r="H11" i="19"/>
  <c r="H12" i="7"/>
  <c r="H11" i="7"/>
  <c r="H10" i="19"/>
  <c r="H10" i="7"/>
  <c r="H9" i="19"/>
  <c r="H8" i="19"/>
  <c r="H9" i="7"/>
  <c r="H8" i="7"/>
  <c r="H7" i="19"/>
  <c r="N86" i="1"/>
  <c r="N87" i="1"/>
  <c r="C7" i="7"/>
  <c r="E37" i="7"/>
  <c r="G37" i="7"/>
  <c r="H37" i="7" s="1"/>
  <c r="Y8" i="4"/>
  <c r="X8" i="4"/>
  <c r="O8" i="4"/>
  <c r="W8" i="4"/>
  <c r="Z8" i="4" s="1"/>
  <c r="Y17" i="4"/>
  <c r="X17" i="4"/>
  <c r="O17" i="4"/>
  <c r="W17" i="4"/>
  <c r="Z17" i="4" s="1"/>
  <c r="T11" i="11"/>
  <c r="U8" i="11"/>
  <c r="D10" i="19"/>
  <c r="I51" i="7"/>
  <c r="E11" i="7"/>
  <c r="F10" i="19" s="1"/>
  <c r="S9" i="4"/>
  <c r="N9" i="4"/>
  <c r="I18" i="4"/>
  <c r="H19" i="4"/>
  <c r="I19" i="4" s="1"/>
  <c r="M18" i="4"/>
  <c r="N17" i="4" s="1"/>
  <c r="M19" i="4"/>
  <c r="N34" i="7" l="1"/>
  <c r="L33" i="19" s="1"/>
  <c r="J33" i="19"/>
  <c r="U33" i="18" s="1"/>
  <c r="N33" i="7"/>
  <c r="L32" i="19" s="1"/>
  <c r="J32" i="19"/>
  <c r="U32" i="18" s="1"/>
  <c r="N32" i="7"/>
  <c r="L31" i="19" s="1"/>
  <c r="J31" i="19"/>
  <c r="U31" i="18" s="1"/>
  <c r="N31" i="7"/>
  <c r="L30" i="19" s="1"/>
  <c r="J30" i="19"/>
  <c r="U30" i="18" s="1"/>
  <c r="J29" i="19"/>
  <c r="U29" i="18" s="1"/>
  <c r="N30" i="7"/>
  <c r="L29" i="19" s="1"/>
  <c r="N29" i="7"/>
  <c r="L28" i="19" s="1"/>
  <c r="J28" i="19"/>
  <c r="U28" i="18" s="1"/>
  <c r="N28" i="7"/>
  <c r="L27" i="19" s="1"/>
  <c r="J27" i="19"/>
  <c r="U27" i="18" s="1"/>
  <c r="N27" i="7"/>
  <c r="L26" i="19" s="1"/>
  <c r="J26" i="19"/>
  <c r="U26" i="18" s="1"/>
  <c r="N26" i="7"/>
  <c r="L25" i="19" s="1"/>
  <c r="J25" i="19"/>
  <c r="U25" i="18" s="1"/>
  <c r="N25" i="7"/>
  <c r="L24" i="19" s="1"/>
  <c r="J24" i="19"/>
  <c r="U24" i="18" s="1"/>
  <c r="K18" i="19"/>
  <c r="M51" i="7"/>
  <c r="L51" i="7"/>
  <c r="N24" i="7"/>
  <c r="J23" i="19"/>
  <c r="C60" i="13"/>
  <c r="C61" i="13"/>
  <c r="I67" i="13"/>
  <c r="E11" i="18"/>
  <c r="T10" i="18"/>
  <c r="I49" i="7"/>
  <c r="E49" i="7" s="1"/>
  <c r="AA11" i="8"/>
  <c r="AA10" i="13"/>
  <c r="AB10" i="13"/>
  <c r="AA100" i="4"/>
  <c r="AA101" i="4"/>
  <c r="AA97" i="4"/>
  <c r="AK10" i="13"/>
  <c r="AJ10" i="13"/>
  <c r="H15" i="7"/>
  <c r="H51" i="7" s="1"/>
  <c r="H14" i="19"/>
  <c r="C50" i="7"/>
  <c r="C51" i="7"/>
  <c r="X61" i="7" s="1"/>
  <c r="E7" i="7"/>
  <c r="G7" i="7"/>
  <c r="D7" i="7"/>
  <c r="B6" i="19"/>
  <c r="W18" i="4"/>
  <c r="X12" i="13" s="1"/>
  <c r="O18" i="4"/>
  <c r="X18" i="4"/>
  <c r="Y12" i="13" s="1"/>
  <c r="Y18" i="4"/>
  <c r="Z12" i="13" s="1"/>
  <c r="M98" i="4"/>
  <c r="N19" i="4"/>
  <c r="O19" i="4"/>
  <c r="W19" i="4"/>
  <c r="X19" i="4"/>
  <c r="Y19" i="4"/>
  <c r="Z11" i="13"/>
  <c r="Y11" i="13"/>
  <c r="Z11" i="4"/>
  <c r="X11" i="13"/>
  <c r="N51" i="7" l="1"/>
  <c r="L23" i="19"/>
  <c r="H11" i="18"/>
  <c r="U23" i="18"/>
  <c r="K67" i="13"/>
  <c r="J74" i="13" s="1"/>
  <c r="J77" i="13"/>
  <c r="R67" i="13"/>
  <c r="J76" i="13" s="1"/>
  <c r="I68" i="13"/>
  <c r="M67" i="13" s="1"/>
  <c r="J75" i="13" s="1"/>
  <c r="J70" i="13"/>
  <c r="AS10" i="13"/>
  <c r="AS60" i="13" s="1"/>
  <c r="BB10" i="13"/>
  <c r="AR10" i="13"/>
  <c r="AR60" i="13" s="1"/>
  <c r="BA10" i="13"/>
  <c r="F6" i="19"/>
  <c r="E51" i="7"/>
  <c r="X62" i="7" s="1"/>
  <c r="H7" i="7"/>
  <c r="H50" i="7" s="1"/>
  <c r="H6" i="19"/>
  <c r="G50" i="7"/>
  <c r="G51" i="7"/>
  <c r="D8" i="7"/>
  <c r="C6" i="19"/>
  <c r="K11" i="18"/>
  <c r="B6" i="18"/>
  <c r="H6" i="18"/>
  <c r="S6" i="18"/>
  <c r="E6" i="18"/>
  <c r="C23" i="18"/>
  <c r="AA11" i="13"/>
  <c r="AB11" i="13"/>
  <c r="Z62" i="13"/>
  <c r="Z60" i="13"/>
  <c r="Y62" i="13"/>
  <c r="Y60" i="13"/>
  <c r="X62" i="13"/>
  <c r="X60" i="13"/>
  <c r="J72" i="13" l="1"/>
  <c r="J73" i="13" s="1"/>
  <c r="BG10" i="13"/>
  <c r="AX14" i="13"/>
  <c r="BG20" i="13" s="1"/>
  <c r="AX10" i="13"/>
  <c r="AX12" i="13" s="1"/>
  <c r="BF12" i="13"/>
  <c r="BF14" i="13" s="1"/>
  <c r="BB61" i="13"/>
  <c r="BD10" i="13"/>
  <c r="BE10" i="13" s="1"/>
  <c r="AW14" i="13"/>
  <c r="BF20" i="13" s="1"/>
  <c r="BA61" i="13"/>
  <c r="BF10" i="13"/>
  <c r="BE12" i="13"/>
  <c r="BE14" i="13" s="1"/>
  <c r="AW12" i="13"/>
  <c r="AW10" i="13"/>
  <c r="B11" i="18"/>
  <c r="K6" i="18"/>
  <c r="D9" i="7"/>
  <c r="C7" i="19"/>
  <c r="E17" i="18"/>
  <c r="E19" i="18"/>
  <c r="E18" i="18"/>
  <c r="E20" i="18"/>
  <c r="E21" i="18"/>
  <c r="BC61" i="13" l="1"/>
  <c r="BD62" i="13" s="1"/>
  <c r="C8" i="19"/>
  <c r="D10" i="7"/>
  <c r="BE22" i="13"/>
  <c r="BE62" i="13" l="1"/>
  <c r="BC62" i="13"/>
  <c r="AZ65" i="13"/>
  <c r="C9" i="19"/>
  <c r="D11" i="7"/>
  <c r="D12" i="7" l="1"/>
  <c r="C10" i="19"/>
  <c r="C11" i="19" l="1"/>
  <c r="D13" i="7"/>
  <c r="D14" i="7" l="1"/>
  <c r="C12" i="19"/>
  <c r="D15" i="7" l="1"/>
  <c r="C13" i="19"/>
  <c r="D16" i="7" l="1"/>
  <c r="C14" i="19"/>
  <c r="C15" i="19" l="1"/>
  <c r="D17" i="7"/>
  <c r="D18" i="7" l="1"/>
  <c r="C16" i="19"/>
  <c r="D19" i="7" l="1"/>
  <c r="C17" i="19"/>
  <c r="D20" i="7" l="1"/>
  <c r="C18" i="19"/>
  <c r="C19" i="19" l="1"/>
  <c r="D21" i="7"/>
  <c r="D22" i="7" l="1"/>
  <c r="C20" i="19"/>
  <c r="D23" i="7" l="1"/>
  <c r="C21" i="19"/>
  <c r="C22" i="19" l="1"/>
  <c r="D24" i="7"/>
  <c r="C23" i="19" l="1"/>
  <c r="D25" i="7"/>
  <c r="D26" i="7" l="1"/>
  <c r="C24" i="19"/>
  <c r="D27" i="7" l="1"/>
  <c r="C25" i="19"/>
  <c r="C26" i="19" l="1"/>
  <c r="D28" i="7"/>
  <c r="D29" i="7" l="1"/>
  <c r="C27" i="19"/>
  <c r="D30" i="7" l="1"/>
  <c r="C28" i="19"/>
  <c r="C29" i="19" l="1"/>
  <c r="D31" i="7"/>
  <c r="D32" i="7" l="1"/>
  <c r="C30" i="19"/>
  <c r="D33" i="7" l="1"/>
  <c r="C31" i="19"/>
  <c r="D34" i="7" l="1"/>
  <c r="C32" i="19"/>
  <c r="C33" i="19" l="1"/>
  <c r="D35" i="7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G5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 assay sampel</t>
      </text>
    </comment>
  </commentList>
</comments>
</file>

<file path=xl/sharedStrings.xml><?xml version="1.0" encoding="utf-8"?>
<sst xmlns="http://schemas.openxmlformats.org/spreadsheetml/2006/main" count="1376" uniqueCount="583">
  <si>
    <t xml:space="preserve">Daily summary Production PT Bulawan Daya Lestari </t>
  </si>
  <si>
    <t>Site Gunung Patung, Mopait, Bolaang Mongondow, Sulawesi Utara</t>
  </si>
  <si>
    <t xml:space="preserve">Date </t>
  </si>
  <si>
    <t>Feeding, ton</t>
  </si>
  <si>
    <t>Hours Run Crushing</t>
  </si>
  <si>
    <t>Hours Milling</t>
  </si>
  <si>
    <t>Availability, %</t>
  </si>
  <si>
    <t>Plant Usability</t>
  </si>
  <si>
    <t>Gold Rom ( Elution and Electrowinning )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</si>
  <si>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</si>
  <si>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</si>
  <si>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</si>
  <si>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</si>
  <si>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</si>
  <si>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</si>
  <si>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</si>
  <si>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</si>
  <si>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</si>
  <si>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gr</t>
  </si>
  <si>
    <t>Au, kg</t>
  </si>
  <si>
    <t>Crusher</t>
  </si>
  <si>
    <t>Mill</t>
  </si>
  <si>
    <t>CIP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</si>
  <si>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</si>
  <si>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</si>
  <si>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</si>
  <si>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</si>
  <si>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</si>
  <si>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</si>
  <si>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</si>
  <si>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</si>
  <si>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</si>
  <si>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</si>
  <si>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</si>
  <si>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Sandios kg</t>
  </si>
  <si>
    <t>Fuel Diesel</t>
  </si>
  <si>
    <t>Carbon kg</t>
  </si>
  <si>
    <t>Lime kg</t>
  </si>
  <si>
    <t>NaOH, kg</t>
  </si>
  <si>
    <t>HCL, Liter</t>
  </si>
  <si>
    <t>Floculant, kg</t>
  </si>
  <si>
    <t>Fuel, L</t>
  </si>
  <si>
    <t xml:space="preserve">Ore Inventory, ton </t>
  </si>
  <si>
    <t>Au Inventory, kg</t>
  </si>
  <si>
    <t>Cyanide,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</si>
  <si>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</si>
  <si>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</si>
  <si>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</si>
  <si>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</si>
  <si>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</si>
  <si>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</si>
  <si>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</si>
  <si>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</si>
  <si>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</si>
  <si>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</si>
  <si>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</si>
  <si>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</si>
  <si>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</si>
  <si>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</si>
  <si>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Total</t>
  </si>
  <si>
    <t>Average</t>
  </si>
  <si>
    <t xml:space="preserve">Median </t>
  </si>
  <si>
    <t>Max</t>
  </si>
  <si>
    <t>Au Grade</t>
  </si>
  <si>
    <t>Min</t>
  </si>
  <si>
    <t>Median</t>
  </si>
  <si>
    <t>Metal Content (gr)</t>
  </si>
  <si>
    <t>Estimate By Metal Contenct</t>
  </si>
  <si>
    <t>Tonage Production Average</t>
  </si>
  <si>
    <t xml:space="preserve">Tpd </t>
  </si>
  <si>
    <t>Tph</t>
  </si>
  <si>
    <t>Assay Lab Result</t>
  </si>
  <si>
    <t>No</t>
  </si>
  <si>
    <t>Id Sampel</t>
  </si>
  <si>
    <t>Date</t>
  </si>
  <si>
    <t>Au (g/t)</t>
  </si>
  <si>
    <t>Ag (g/t)</t>
  </si>
  <si>
    <t>Cu (g/t)</t>
  </si>
  <si>
    <t>SR COM 24/06/2026 1</t>
  </si>
  <si>
    <t>Crusher 11:00</t>
  </si>
  <si>
    <t>SR COM 24/06/2026 2</t>
  </si>
  <si>
    <t>Crusher 11:30</t>
  </si>
  <si>
    <t>SR COM 24/06/2026 3</t>
  </si>
  <si>
    <t>Crusher 13:00</t>
  </si>
  <si>
    <t>SR COM 24/06/2026 4</t>
  </si>
  <si>
    <t>Crusher 13:30</t>
  </si>
  <si>
    <t>SR COM 24/06/2026 5</t>
  </si>
  <si>
    <t>Crusher 14:00</t>
  </si>
  <si>
    <t>SR COM 24/06/2026 6</t>
  </si>
  <si>
    <t>Crusher 14:30</t>
  </si>
  <si>
    <t>SR COM 24/06/2026 7</t>
  </si>
  <si>
    <t>Crusher 15:00</t>
  </si>
  <si>
    <t>SR COM 24/06/2026 8</t>
  </si>
  <si>
    <t>Crusher 15:30</t>
  </si>
  <si>
    <t>SR COM 24/06/2026 9</t>
  </si>
  <si>
    <t>Crusher 16:00</t>
  </si>
  <si>
    <t>SR COM 24/06/2026 10</t>
  </si>
  <si>
    <t>Crusher 16:30</t>
  </si>
  <si>
    <t>Clay and Sandly 1</t>
  </si>
  <si>
    <t>Crusher 17:00</t>
  </si>
  <si>
    <t>Clay and Sandly 2</t>
  </si>
  <si>
    <t>Crusher 17:30</t>
  </si>
  <si>
    <t>Clay and Sandly 3</t>
  </si>
  <si>
    <t>Crusher 18:00</t>
  </si>
  <si>
    <t>Clay and Sandly 4</t>
  </si>
  <si>
    <t>Crusher 18:30</t>
  </si>
  <si>
    <t>Clay and Sandly 5</t>
  </si>
  <si>
    <t>Crusher 08:00</t>
  </si>
  <si>
    <t>Crusher DS 1</t>
  </si>
  <si>
    <t>Crusher 09:00</t>
  </si>
  <si>
    <t>Crusher DS 2</t>
  </si>
  <si>
    <t>Crusher 10:00</t>
  </si>
  <si>
    <t>Crusher DS 3</t>
  </si>
  <si>
    <t>Crusher DS 4</t>
  </si>
  <si>
    <t>Crusher DS 5</t>
  </si>
  <si>
    <t>Crusher DS 6</t>
  </si>
  <si>
    <t>Crusher DS 7</t>
  </si>
  <si>
    <t>Crusher 19:00</t>
  </si>
  <si>
    <t>Crusher DS 8</t>
  </si>
  <si>
    <t>Crusher DS 9</t>
  </si>
  <si>
    <t>Crusher DS 10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</si>
  <si>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</si>
  <si>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</si>
  <si>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</si>
  <si>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</si>
  <si>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</si>
  <si>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</si>
  <si>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</si>
  <si>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</si>
  <si>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</si>
  <si>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08:30</t>
  </si>
  <si>
    <t>Crusher 09:30</t>
  </si>
  <si>
    <t>Crusher 10:30</t>
  </si>
  <si>
    <t xml:space="preserve">Data Reagent Additional and Reagent Consumption Processing Plant </t>
  </si>
  <si>
    <t>PT Bulawan Daya Lestari</t>
  </si>
  <si>
    <t>Metalurgi PT BDL, PIC DYAN RAMDHANI</t>
  </si>
  <si>
    <t>Data ragents consumption</t>
  </si>
  <si>
    <t>Leaching</t>
  </si>
  <si>
    <t>Goldroom</t>
  </si>
  <si>
    <t xml:space="preserve">Thickener Tank </t>
  </si>
  <si>
    <t>Crushing</t>
  </si>
  <si>
    <t>Gold Rom</t>
  </si>
  <si>
    <t>Shift</t>
  </si>
  <si>
    <t>PIC</t>
  </si>
  <si>
    <t>Sandios (kg) :</t>
  </si>
  <si>
    <t>Lime (kg) :</t>
  </si>
  <si>
    <t>Carbon (kg) :</t>
  </si>
  <si>
    <t>NaOH (kg) :</t>
  </si>
  <si>
    <t>HCL (Jerigen) :</t>
  </si>
  <si>
    <t>Floculant (kg) :</t>
  </si>
  <si>
    <t>Cement (kg)</t>
  </si>
  <si>
    <t>Sandios  (kg) :</t>
  </si>
  <si>
    <t>HCL (jerigen)</t>
  </si>
  <si>
    <t>Reagent Additional (kg)</t>
  </si>
  <si>
    <t>Day</t>
  </si>
  <si>
    <t>Hadi/Yan</t>
  </si>
  <si>
    <t>Sandios (kg)</t>
  </si>
  <si>
    <t>Lime (kg)</t>
  </si>
  <si>
    <t>Carbon (kg)</t>
  </si>
  <si>
    <t>Floculant (kg)</t>
  </si>
  <si>
    <t>NaOH  (kg)</t>
  </si>
  <si>
    <t>Hcl (jerigen)</t>
  </si>
  <si>
    <t xml:space="preserve">Reagent Consumption </t>
  </si>
  <si>
    <t>Yanli/Hadi</t>
  </si>
  <si>
    <t>Night</t>
  </si>
  <si>
    <t>Kristo/Ulan</t>
  </si>
  <si>
    <t>Sandios (kg/t)</t>
  </si>
  <si>
    <t>Lime (kg/t)</t>
  </si>
  <si>
    <t>Carbon (kg/t)</t>
  </si>
  <si>
    <t>Floculant (kg/t)</t>
  </si>
  <si>
    <t>NaOH (kg/t)</t>
  </si>
  <si>
    <t>HCL (L/t)</t>
  </si>
  <si>
    <t>Ulan</t>
  </si>
  <si>
    <t>hcl 1 file 35 kg/30 Liter</t>
  </si>
  <si>
    <t>Sandios</t>
  </si>
  <si>
    <t>Lime</t>
  </si>
  <si>
    <t>Floculant</t>
  </si>
  <si>
    <t>Carbon</t>
  </si>
  <si>
    <t>Data Crushing February 2025</t>
  </si>
  <si>
    <t xml:space="preserve">Shift 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</si>
  <si>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</si>
  <si>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</si>
  <si>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</si>
  <si>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</si>
  <si>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</si>
  <si>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</si>
  <si>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</si>
  <si>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</si>
  <si>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</si>
  <si>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 xml:space="preserve">Keterangan </t>
  </si>
  <si>
    <t>Volume Unit (m3)</t>
  </si>
  <si>
    <t xml:space="preserve">Moisture Check Daily </t>
  </si>
  <si>
    <t>Exca PC 130</t>
  </si>
  <si>
    <t>Tanggal</t>
  </si>
  <si>
    <t>BT</t>
  </si>
  <si>
    <t xml:space="preserve">Wet </t>
  </si>
  <si>
    <t>Dry</t>
  </si>
  <si>
    <t>%</t>
  </si>
  <si>
    <t>Exca PC 200</t>
  </si>
  <si>
    <t>Toni</t>
  </si>
  <si>
    <t>Loader</t>
  </si>
  <si>
    <t>Deni</t>
  </si>
  <si>
    <t xml:space="preserve">Adi </t>
  </si>
  <si>
    <t>perbaikan conveyor cone crusher to ball mill</t>
  </si>
  <si>
    <t>Istirahat jam 12:00-13:00</t>
  </si>
  <si>
    <t>material vein bolder agustus 2026</t>
  </si>
  <si>
    <t>3 bucket louder 24 april 2026</t>
  </si>
  <si>
    <t xml:space="preserve">Vein Bolder Agustus </t>
  </si>
  <si>
    <t xml:space="preserve">Toni </t>
  </si>
  <si>
    <t>Rata-rata</t>
  </si>
  <si>
    <t>Stock ROM CIL APRIL-Agustus 2026</t>
  </si>
  <si>
    <t xml:space="preserve">PT BULAWAN DAYA LESTARI 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</si>
  <si>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</si>
  <si>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</si>
  <si>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</si>
  <si>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</si>
  <si>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</si>
  <si>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</si>
  <si>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>Tonage by survey</t>
  </si>
  <si>
    <t>Toange By Truckcount</t>
  </si>
  <si>
    <t>Grade (g/t)</t>
  </si>
  <si>
    <t>G 00290-00313 BB</t>
  </si>
  <si>
    <t>RP_VM_1</t>
  </si>
  <si>
    <t>Vein</t>
  </si>
  <si>
    <t>G 00272-00279 BB</t>
  </si>
  <si>
    <t>RP_SV_1</t>
  </si>
  <si>
    <t>Sandy Oxide</t>
  </si>
  <si>
    <t>Averge</t>
  </si>
  <si>
    <t xml:space="preserve">Average </t>
  </si>
  <si>
    <t>G 00318-00329 BB</t>
  </si>
  <si>
    <t>RP_VM-2</t>
  </si>
  <si>
    <t>Sisa Sandy Oxide</t>
  </si>
  <si>
    <t>G 00330-00333 BB</t>
  </si>
  <si>
    <t>RP_SV_2</t>
  </si>
  <si>
    <t>G 00350-00352 BB</t>
  </si>
  <si>
    <t>RP_VM_3</t>
  </si>
  <si>
    <t>Vein Sandly</t>
  </si>
  <si>
    <t>%Different Avg Vs Median</t>
  </si>
  <si>
    <t>Bolder Vein</t>
  </si>
  <si>
    <t>Au Variance</t>
  </si>
  <si>
    <t>Untuk Grafik Line</t>
  </si>
  <si>
    <t>Estimate by metal contenct</t>
  </si>
  <si>
    <t>Pengukuran pada sr setelah crusher</t>
  </si>
  <si>
    <t>Total Material after Crusher</t>
  </si>
  <si>
    <t>SR Agustus 2026</t>
  </si>
  <si>
    <t>Update data topo surveyor material stock rom dan seduah crusher pada area ball mill</t>
  </si>
  <si>
    <t>Crusher 17:00 A</t>
  </si>
  <si>
    <t>Crusher 17:00 B</t>
  </si>
  <si>
    <t>Crusher 17:00 C</t>
  </si>
  <si>
    <t>Id Survey</t>
  </si>
  <si>
    <t xml:space="preserve">Volume </t>
  </si>
  <si>
    <t>Sg Bulk Density (ton/m3)</t>
  </si>
  <si>
    <t>Tonage</t>
  </si>
  <si>
    <t>material setelah crusher cut off 27 agustus 2026</t>
  </si>
  <si>
    <t xml:space="preserve">CIP Batch Process Month To Date </t>
  </si>
  <si>
    <t>Batch Process</t>
  </si>
  <si>
    <t>Running Hours</t>
  </si>
  <si>
    <t>Tank CIP</t>
  </si>
  <si>
    <t>Date start</t>
  </si>
  <si>
    <t>Time Start</t>
  </si>
  <si>
    <t xml:space="preserve">Date Finish </t>
  </si>
  <si>
    <t>Time Finish</t>
  </si>
  <si>
    <t>Volume Slurry (m3)</t>
  </si>
  <si>
    <t>%solid</t>
  </si>
  <si>
    <t>Solid (Ton)</t>
  </si>
  <si>
    <t>Sg Slurry</t>
  </si>
  <si>
    <t xml:space="preserve">Leaching </t>
  </si>
  <si>
    <t>%solid sisa pada tanki</t>
  </si>
  <si>
    <t>sg slurry</t>
  </si>
  <si>
    <t xml:space="preserve">Volume slurry </t>
  </si>
  <si>
    <t>Solid on Tank,</t>
  </si>
  <si>
    <t>Solution (m3)</t>
  </si>
  <si>
    <t xml:space="preserve">Cumulative </t>
  </si>
  <si>
    <t>Head Grade LF Ball Mill</t>
  </si>
  <si>
    <t>Lab AAS Result (gpt)</t>
  </si>
  <si>
    <t>%Different</t>
  </si>
  <si>
    <t>Lab AAS Result Tail</t>
  </si>
  <si>
    <t>Metal Content Head Grade Calculated (gr)</t>
  </si>
  <si>
    <t>Metal Content Calculated Solid Tail (gr)</t>
  </si>
  <si>
    <t>Batch</t>
  </si>
  <si>
    <t xml:space="preserve">Estimasi %Recovery Metal </t>
  </si>
  <si>
    <t>Lab AAS Loaded Carbon</t>
  </si>
  <si>
    <t xml:space="preserve">Batch </t>
  </si>
  <si>
    <t>Estimasi Metal Content Recovered</t>
  </si>
  <si>
    <t>milling process</t>
  </si>
  <si>
    <t>pengurangan oleh batch sebelum</t>
  </si>
  <si>
    <t>Tank</t>
  </si>
  <si>
    <t>setelah selesai batch</t>
  </si>
  <si>
    <t>sisa pada tanki</t>
  </si>
  <si>
    <t xml:space="preserve">sisa pada tanki </t>
  </si>
  <si>
    <t xml:space="preserve">After Finish </t>
  </si>
  <si>
    <t xml:space="preserve">Tonage </t>
  </si>
  <si>
    <t>gpt</t>
  </si>
  <si>
    <t>Leach Feed Head Grade Calculated</t>
  </si>
  <si>
    <t>Solid (gpt)</t>
  </si>
  <si>
    <t>Solution (gr/m3)</t>
  </si>
  <si>
    <t xml:space="preserve">Solid </t>
  </si>
  <si>
    <t>Solid</t>
  </si>
  <si>
    <t>Solution</t>
  </si>
  <si>
    <t>Process</t>
  </si>
  <si>
    <t>Leach Tank No</t>
  </si>
  <si>
    <t>gr</t>
  </si>
  <si>
    <t>to tank leaching</t>
  </si>
  <si>
    <t>Solid Before-After Batch</t>
  </si>
  <si>
    <t>selesai batch</t>
  </si>
  <si>
    <t>Process Batch</t>
  </si>
  <si>
    <t xml:space="preserve">Production </t>
  </si>
  <si>
    <t>Au</t>
  </si>
  <si>
    <t>Ag</t>
  </si>
  <si>
    <t>Cu</t>
  </si>
  <si>
    <t>Usage (Ton)</t>
  </si>
  <si>
    <t>%Au</t>
  </si>
  <si>
    <t>%Ag</t>
  </si>
  <si>
    <t>%Cu</t>
  </si>
  <si>
    <t>x</t>
  </si>
  <si>
    <t xml:space="preserve">Leach Feed Ball Mill Head Grade </t>
  </si>
  <si>
    <t>Running Hour</t>
  </si>
  <si>
    <t>Downtime Hour</t>
  </si>
  <si>
    <t>Tph Production</t>
  </si>
  <si>
    <t>Tpd Production</t>
  </si>
  <si>
    <t>Daily Time Production (Day)</t>
  </si>
  <si>
    <t>Average (Rata-rata)</t>
  </si>
  <si>
    <t>No Tanki</t>
  </si>
  <si>
    <t>Total Hour Process</t>
  </si>
  <si>
    <t xml:space="preserve">%Avabiality </t>
  </si>
  <si>
    <t>%Losetime Production</t>
  </si>
  <si>
    <t>No Tank</t>
  </si>
  <si>
    <t>Material Solid (Ton)</t>
  </si>
  <si>
    <t>Assay Lab Result Fresh Ore</t>
  </si>
  <si>
    <t>Assay Lab Result Tail</t>
  </si>
  <si>
    <t>Siklus Pengolahan</t>
  </si>
  <si>
    <t>Rata-Rata</t>
  </si>
  <si>
    <t xml:space="preserve">Total Material </t>
  </si>
  <si>
    <t>Composite</t>
  </si>
  <si>
    <t>Average Daily</t>
  </si>
  <si>
    <t>Variance Com Vs Time</t>
  </si>
  <si>
    <t xml:space="preserve">id batch </t>
  </si>
  <si>
    <t>Id sampel</t>
  </si>
  <si>
    <t>date</t>
  </si>
  <si>
    <t>au (g/t)</t>
  </si>
  <si>
    <t>ag (g/t)</t>
  </si>
  <si>
    <t>LF Ball Mill DS 1</t>
  </si>
  <si>
    <t>LF Ball Mill DS 10:00</t>
  </si>
  <si>
    <t>LF Ball Mill DS 2</t>
  </si>
  <si>
    <t>LF Ball Mill DS 12:00</t>
  </si>
  <si>
    <t>LF Ball Mill DS 3</t>
  </si>
  <si>
    <t>LF Ball Mill DS 14:00</t>
  </si>
  <si>
    <t>LF Ball Mill NS 1</t>
  </si>
  <si>
    <t>LF Ball Mill DS 16:00</t>
  </si>
  <si>
    <t>LF Ball Mill NS 2</t>
  </si>
  <si>
    <t>LF Ball Mill DS 18:00</t>
  </si>
  <si>
    <t>LF Ball Mill NS 3</t>
  </si>
  <si>
    <t>LF Ball Mill DS 08:00</t>
  </si>
  <si>
    <t>LF Ball Mill DS 09:00</t>
  </si>
  <si>
    <t>LF Ball Mill DS 11:00</t>
  </si>
  <si>
    <t>LF Ball Mill DS 13:00</t>
  </si>
  <si>
    <t>LF Ball Mill DS 15:00</t>
  </si>
  <si>
    <t xml:space="preserve">PIC </t>
  </si>
  <si>
    <t>DYAN RAMDHANI</t>
  </si>
  <si>
    <t xml:space="preserve">Milling And Leach Feed Material </t>
  </si>
  <si>
    <t>%Solid</t>
  </si>
  <si>
    <t>Slurry Pump to Tank Leaching (m3)</t>
  </si>
  <si>
    <t>Estimasi Flow Rate to leaching (m3/h)</t>
  </si>
  <si>
    <t>Slurry On Tank Leaching</t>
  </si>
  <si>
    <t xml:space="preserve">Sg Slurry </t>
  </si>
  <si>
    <t>passing -75 micron (%)</t>
  </si>
  <si>
    <t>Tonage/Shift</t>
  </si>
  <si>
    <t>Running (hour)</t>
  </si>
  <si>
    <t>Running Time (mins)</t>
  </si>
  <si>
    <t>lose time(Mins)</t>
  </si>
  <si>
    <t>tonage/Batch '</t>
  </si>
  <si>
    <t>Au Lab (g/t)</t>
  </si>
  <si>
    <t>Ag Lab (g/t)</t>
  </si>
  <si>
    <t>Cu Lab (g/t)</t>
  </si>
  <si>
    <t>Au (gr)</t>
  </si>
  <si>
    <t>Ag (gr)</t>
  </si>
  <si>
    <t>Cu (gr)</t>
  </si>
  <si>
    <t>Au Recovered Price (rp)</t>
  </si>
  <si>
    <t>Batch 1 Tank 2</t>
  </si>
  <si>
    <t>pct solids from known Pulp Weight</t>
  </si>
  <si>
    <t>Batch 1 Tank 2 finish milling jam 06:00</t>
  </si>
  <si>
    <t>W Pulp</t>
  </si>
  <si>
    <t>Batch 2 Tank 3 start</t>
  </si>
  <si>
    <t>V Pulp</t>
  </si>
  <si>
    <t>mL</t>
  </si>
  <si>
    <t>Ulan/Kristo</t>
  </si>
  <si>
    <t>SG pulp</t>
  </si>
  <si>
    <t>g/mL</t>
  </si>
  <si>
    <t>Finish pump tank 3, batch 2 jam 06:00</t>
  </si>
  <si>
    <t>SG Solid</t>
  </si>
  <si>
    <t xml:space="preserve">Stop Drain slurry tank 2, batch 1 </t>
  </si>
  <si>
    <t>SG Soln</t>
  </si>
  <si>
    <t xml:space="preserve">Stop drain slurry </t>
  </si>
  <si>
    <t>%sd</t>
  </si>
  <si>
    <t>W Solid</t>
  </si>
  <si>
    <t>stop genset rusak</t>
  </si>
  <si>
    <t>W Sln</t>
  </si>
  <si>
    <t>start batch 3, ball mill no 3 only</t>
  </si>
  <si>
    <t>Batch 3, tank 2</t>
  </si>
  <si>
    <t>batch 3 tank 2 finish pump jam 22:00</t>
  </si>
  <si>
    <t>Yanli</t>
  </si>
  <si>
    <t>Batch 4 tank 3</t>
  </si>
  <si>
    <t>jalan bm 1 dan 2, bm no 3 start jam 14:30</t>
  </si>
  <si>
    <t>Diameter Tank</t>
  </si>
  <si>
    <t>m</t>
  </si>
  <si>
    <t>Tinggi</t>
  </si>
  <si>
    <t>r2</t>
  </si>
  <si>
    <t xml:space="preserve"> </t>
  </si>
  <si>
    <t>Volume Tank</t>
  </si>
  <si>
    <t>Berat solid</t>
  </si>
  <si>
    <t>\</t>
  </si>
  <si>
    <t xml:space="preserve">Down Time Process Crushing PT Bulawan Daya Lestari </t>
  </si>
  <si>
    <t>Agustus 2026</t>
  </si>
  <si>
    <t>DOWN TIME (HOUR)</t>
  </si>
  <si>
    <t>Stop Time</t>
  </si>
  <si>
    <t>Start Time</t>
  </si>
  <si>
    <t>Down Time (Mins)</t>
  </si>
  <si>
    <t>Reason</t>
  </si>
  <si>
    <t>Total Down Time (Mins)</t>
  </si>
  <si>
    <t>Running Time (Hours)</t>
  </si>
  <si>
    <t>Availability (%)</t>
  </si>
  <si>
    <t>Down Time (Hours)</t>
  </si>
  <si>
    <t xml:space="preserve">Perbaikan Conveyor Cone Crusher, dan satu shift kerja </t>
  </si>
  <si>
    <t>Satu shift kerja, istirahat jam 12-13:00</t>
  </si>
  <si>
    <t xml:space="preserve">Running Hours Vs Down Time Hours </t>
  </si>
  <si>
    <t>isitrahat jumat 11-13, 16:20-16:55 Perbaikan Cone Crusher</t>
  </si>
  <si>
    <t>Total Running Hour</t>
  </si>
  <si>
    <t xml:space="preserve">Material Habis hanya running 9 Jam </t>
  </si>
  <si>
    <t>Total Down Time Hours</t>
  </si>
  <si>
    <t>Tidak ada material</t>
  </si>
  <si>
    <t>Crushing Availability, %</t>
  </si>
  <si>
    <t>istirahat jam 12-13, material habis dan selesai jam 17:30</t>
  </si>
  <si>
    <t>Crushing %Loss Time</t>
  </si>
  <si>
    <t>Start Crusher jam 10:00, dikarenakan bari loading material jam 08:00, pada jam 15:30-17:15 stop dikarenakan material stuck pada cone crusher</t>
  </si>
  <si>
    <t>Start Crusher jam 08:00, istirahat jam 11:00-13:00</t>
  </si>
  <si>
    <t>istirahat jam 12-13, 14:00-15:00 ada loading material dari mining</t>
  </si>
  <si>
    <t>Habis Material dan jalan ball mill</t>
  </si>
  <si>
    <t>Satu Shift</t>
  </si>
  <si>
    <t>Total Hours</t>
  </si>
  <si>
    <t>Hours</t>
  </si>
  <si>
    <t>Data milling</t>
  </si>
  <si>
    <t>Running Time (Hr)</t>
  </si>
  <si>
    <t>Availbility (%)</t>
  </si>
  <si>
    <t>Downtime (hr)</t>
  </si>
  <si>
    <t>Start Ball Mill 1 08:35, start ball mill 2 13:15, start ball mill 3 16:50, ball mill 1,2 dan 3 ada trouble kebocoran dan baud bermasalah</t>
  </si>
  <si>
    <t>shift malam jam 20:59-21:40 stop thicekener tank bermasalah, jam 06:00-07:00 houskepping ball mill 3 meluap</t>
  </si>
  <si>
    <t xml:space="preserve">Hadi </t>
  </si>
  <si>
    <t>Ball mill sampai jam 12 Cuma berjalan 1, housekepping material meluap dari ball mill 3 hingga jam 9</t>
  </si>
  <si>
    <t>Stop ball mill jam 18:00 material finish pump ke tank 3, shift malam drain slurry tank 2</t>
  </si>
  <si>
    <t>drain slurry tank 2 dan 3, batch process 1 dan 2</t>
  </si>
  <si>
    <t xml:space="preserve">Drain Slurry tank 3, genset 600 dan 750 rusak, ball mill baru mulai shift malam, hanya 1 ball milll dikarenakan genset pakai 300 </t>
  </si>
  <si>
    <t>Kristo</t>
  </si>
  <si>
    <t>Genset mengalami masalah sekitar 120 menit</t>
  </si>
  <si>
    <t>Shift malam ada kebocoran pada ball mill 3 jam 06:30, jalan ball mill 1 dan 2</t>
  </si>
  <si>
    <t>Ball mill 3 yang baru start jam 09:15, pada jam 13:40 ball mill baru kapasitas 300 tpd mati jam 08:37-09:45</t>
  </si>
  <si>
    <t xml:space="preserve">Start ball mill 19:30 jalan 2 ball mill no 1 dan 2, jam 21:30 jalan 3 ball mill, no 3 ball mill baru jalan sampai jam 01:45. dari jam 02:25 jalan hanya 1 ball mill, ball mill no 1, karena genset 750 rusak, hanya pakai genset 300 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</si>
  <si>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</si>
  <si>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Tanggal </t>
  </si>
  <si>
    <t xml:space="preserve">Lab AAS Result </t>
  </si>
  <si>
    <t xml:space="preserve">Id sampel </t>
  </si>
  <si>
    <t>LT-Floc NS 1</t>
  </si>
  <si>
    <t>LT-Floc NS 2</t>
  </si>
  <si>
    <t>LT-Floc NS 3</t>
  </si>
  <si>
    <t>LT-Floc NS 4</t>
  </si>
  <si>
    <t xml:space="preserve">Data Filter Press </t>
  </si>
  <si>
    <t xml:space="preserve">Remarks </t>
  </si>
  <si>
    <t>start filter press jam 21:50 pengisian oli hidrolik</t>
  </si>
  <si>
    <t xml:space="preserve">filter press block dan kebocoran pada floculation tank </t>
  </si>
  <si>
    <t>Genset 300 trouble</t>
  </si>
  <si>
    <t>Id Batch Process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</si>
  <si>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</si>
  <si>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</si>
  <si>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</si>
  <si>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</si>
  <si>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</si>
  <si>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</si>
  <si>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Time Process (Hour)</t>
  </si>
  <si>
    <t>Remarks</t>
  </si>
  <si>
    <t>Total Time Process and Down Time Process/Month (September-2026)</t>
  </si>
  <si>
    <t>Normal Operation</t>
  </si>
  <si>
    <t>-</t>
  </si>
  <si>
    <t xml:space="preserve">finish pump to tank 3 jam 06:-00 </t>
  </si>
  <si>
    <t>leaching process dan adsorption batch 1 tk 2</t>
  </si>
  <si>
    <t>1 dan 2</t>
  </si>
  <si>
    <t>2 dan 3</t>
  </si>
  <si>
    <t>batch 1 drain slurry jam start 21:30 finish jam 06:30, tank 3 finish pump jam 18:00 start adsorption</t>
  </si>
  <si>
    <t xml:space="preserve">Description </t>
  </si>
  <si>
    <t>Duration (hours)</t>
  </si>
  <si>
    <t>Total Days Procces</t>
  </si>
  <si>
    <t>Avibiality</t>
  </si>
  <si>
    <t>leaching and drain slurry batch 3, start drain slurry jam 19:00 finish jam 6:00</t>
  </si>
  <si>
    <t>Unplaned Downtime</t>
  </si>
  <si>
    <t>genset 600 dan 750 bermasalah</t>
  </si>
  <si>
    <t>Downtime Planed</t>
  </si>
  <si>
    <t xml:space="preserve">Unplaned Downtime </t>
  </si>
  <si>
    <t>Total Time (Hour)</t>
  </si>
  <si>
    <t>Data Leaching</t>
  </si>
  <si>
    <t>06.00</t>
  </si>
  <si>
    <t>08.00</t>
  </si>
  <si>
    <t>10.00</t>
  </si>
  <si>
    <t>12.00</t>
  </si>
  <si>
    <t>14.00</t>
  </si>
  <si>
    <t>16.00/04.00</t>
  </si>
  <si>
    <t>18.00/06.00</t>
  </si>
  <si>
    <t>Keterangan</t>
  </si>
  <si>
    <t>Batch/Striping</t>
  </si>
  <si>
    <t>PIC Operator</t>
  </si>
  <si>
    <t>Batch Striping Start</t>
  </si>
  <si>
    <t xml:space="preserve">Batch Striping Finish </t>
  </si>
  <si>
    <t>Ket start to finish</t>
  </si>
  <si>
    <t>Kon. Karbon (gpl)</t>
  </si>
  <si>
    <t>Tonage on tank</t>
  </si>
  <si>
    <t>Volume solution (m3)</t>
  </si>
  <si>
    <t xml:space="preserve">pH </t>
  </si>
  <si>
    <t>Sandios ppm</t>
  </si>
  <si>
    <t>Day Shift</t>
  </si>
  <si>
    <t>Night Shift</t>
  </si>
  <si>
    <t>Start Batch 1</t>
  </si>
  <si>
    <t xml:space="preserve">Day: 14:11 Start </t>
  </si>
  <si>
    <t xml:space="preserve">terjadi masalah pada pompa mixxing tank sandios jadi tidak menaikan sandios ke tanki oper ke night shift </t>
  </si>
  <si>
    <t>Batch 1, Start 03:11 Tank Leach 1</t>
  </si>
  <si>
    <t>06/05/2025  ,jam 03:00:00</t>
  </si>
  <si>
    <t>batch 1 dimulai pada tank 1 start jam 03:00, sandios 15 karung, carbon baru 1,5 ton davao</t>
  </si>
  <si>
    <t>Start Batch 1 jam 03:00 sandios 375 kg. 06/05/2026</t>
  </si>
  <si>
    <t>Batch 1 process Finish</t>
  </si>
  <si>
    <t>Start Batch 2 pada cip tank 2, jam start 02:00 sandios 15 karung, carbon bekas batch sebelumnya 1,2 ton</t>
  </si>
  <si>
    <t>Batch 2 Start 02:00</t>
  </si>
  <si>
    <t>start batch 2, 02:00</t>
  </si>
  <si>
    <t xml:space="preserve">Batch Process 1 Finish </t>
  </si>
  <si>
    <t xml:space="preserve">23:00 Batch 1 selesai drain </t>
  </si>
  <si>
    <t xml:space="preserve">Batch Process 2 Finish </t>
  </si>
  <si>
    <t>batch 2 selesai night shift 07:00 pagi  08/05/2026</t>
  </si>
  <si>
    <t>Start Batch 6</t>
  </si>
  <si>
    <t>Start Jam 15:00</t>
  </si>
  <si>
    <t>Finish Batch 6</t>
  </si>
  <si>
    <t>Finish 07:00</t>
  </si>
  <si>
    <t>Diesel Consumption Process Plant</t>
  </si>
  <si>
    <t>Diesel Consumption (L)</t>
  </si>
  <si>
    <t>PT Bulawan Daya Lestari | Site Gunung Patung, Bolaang Mongondow</t>
  </si>
  <si>
    <t>Data through</t>
  </si>
  <si>
    <t>Ore Processed</t>
  </si>
  <si>
    <t>Average TPD</t>
  </si>
  <si>
    <t>Weighted Throughput</t>
  </si>
  <si>
    <t>Weighted Au Grade</t>
  </si>
  <si>
    <t>Crushing Availability</t>
  </si>
  <si>
    <t>Milling Availability</t>
  </si>
  <si>
    <t>Au in Feed</t>
  </si>
  <si>
    <t>Sandios Intensity</t>
  </si>
  <si>
    <t>Consumption Intensity</t>
  </si>
  <si>
    <t>Legacy Data Quality Notes</t>
  </si>
  <si>
    <t>Material</t>
  </si>
  <si>
    <t>Unit</t>
  </si>
  <si>
    <t>Per tonne</t>
  </si>
  <si>
    <t>Rate unit</t>
  </si>
  <si>
    <t>Source</t>
  </si>
  <si>
    <t>kg</t>
  </si>
  <si>
    <t>kg/t</t>
  </si>
  <si>
    <t>Daily Production</t>
  </si>
  <si>
    <t>Gold recovery is not shown until feed, tail, solution, and carbon results reconcile.</t>
  </si>
  <si>
    <t>Flocculant</t>
  </si>
  <si>
    <t>All legacy worksheets remain unchanged as the supporting source.</t>
  </si>
  <si>
    <t>Fuel</t>
  </si>
  <si>
    <t>L</t>
  </si>
  <si>
    <t>L/t</t>
  </si>
  <si>
    <t>KPI denominator</t>
  </si>
  <si>
    <t>t</t>
  </si>
  <si>
    <t>PT Bulawan Daya Lestari | linked operational view through 10-Sep-2026</t>
  </si>
  <si>
    <t>Ore Processed (t)</t>
  </si>
  <si>
    <t>MTD (t)</t>
  </si>
  <si>
    <t>Crushing Run (h)</t>
  </si>
  <si>
    <t>Milling Run (h)</t>
  </si>
  <si>
    <t>Throughput (t/h)</t>
  </si>
  <si>
    <t>Au Grade (g/t)</t>
  </si>
  <si>
    <t>Au in Feed (g)</t>
  </si>
  <si>
    <t>CIP Availability</t>
  </si>
  <si>
    <t>Flocculant (kg)</t>
  </si>
  <si>
    <t>Fuel (L)</t>
  </si>
  <si>
    <t>Berkas tersebut memuat data dari beberapa bulan; KPI utama menggunakan tanggal yang tertaut hingga 10 September 2026.</t>
  </si>
  <si>
    <t>Milling and Leach Feed: #REF! lama tetap ada di T80:Y94 dan dikecualikan dari dashboard</t>
  </si>
  <si>
    <t>Daily Summary: #DIV/0! muncul jika jam operasional atau input analitis bernilai nol.</t>
  </si>
  <si>
    <t>Production Performance ULULULU</t>
  </si>
  <si>
    <t xml:space="preserve">Tampilan ini diperbarui berdasarkan Ringkasan Harian </t>
  </si>
  <si>
    <t>Dashboard metrics use recorded rows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</si>
</sst>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dd\-mmm\-yy"/>
    <numFmt numFmtId="185" formatCode="#,##0.0"/>
    <numFmt numFmtId="186" formatCode="dd\-mmm\-yyyy"/>
    <numFmt numFmtId="187" formatCode="#,##0.0&quot; t&quot;"/>
    <numFmt numFmtId="188" formatCode="#,##0.0&quot; t/d&quot;"/>
    <numFmt numFmtId="189" formatCode="0.0&quot; t/h&quot;"/>
    <numFmt numFmtId="190" formatCode="0.000&quot; g/t&quot;"/>
    <numFmt numFmtId="191" formatCode="0.000&quot; kg&quot;"/>
    <numFmt numFmtId="192" formatCode="0.000&quot; kg/t&quot;"/>
  </numFmts>
  <fonts count="20" x14ac:knownFonts="1"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9"/>
      <color rgb="FF1F2937"/>
      <name val="Arial"/>
    </font>
    <font>
      <b/>
      <sz val="9"/>
      <color rgb="FF1F2937"/>
      <name val="Arial"/>
    </font>
    <font>
      <b/>
      <i/>
      <sz val="9"/>
      <color rgb="FF1F2937"/>
      <name val="Arial"/>
    </font>
    <font>
      <b/>
      <sz val="13"/>
      <color rgb="FF17324D"/>
      <name val="Arial"/>
    </font>
    <font>
      <i/>
      <sz val="10"/>
      <color rgb="FF667085"/>
      <name val="Arial"/>
    </font>
    <font>
      <b/>
      <sz val="9"/>
      <color rgb="FFFFFFFF"/>
      <name val="Arial"/>
    </font>
    <font>
      <b/>
      <sz val="9"/>
      <color rgb="FF1F2937"/>
      <name val="Arial"/>
    </font>
    <font>
      <b/>
      <sz val="9"/>
      <color rgb="FF17324D"/>
      <name val="Arial"/>
    </font>
    <font>
      <b/>
      <sz val="12"/>
      <color rgb="FF17324D"/>
      <name val="Arial"/>
    </font>
    <font>
      <b/>
      <sz val="9"/>
      <color rgb="FF17324D"/>
      <name val="Arial"/>
    </font>
    <font>
      <b/>
      <sz val="15"/>
      <color rgb="FF17324D"/>
      <name val="Arial"/>
    </font>
    <font>
      <i/>
      <sz val="9"/>
      <color rgb="FF17324D"/>
      <name val="Arial"/>
    </font>
    <font>
      <b/>
      <sz val="10"/>
      <color rgb="FFFFFFFF"/>
      <name val="Arial"/>
    </font>
    <font>
      <sz val="9"/>
      <color rgb="FF92400E"/>
      <name val="Arial"/>
    </font>
    <font>
      <sz val="8"/>
      <color rgb="FFFFFFFF"/>
      <name val="Arial"/>
    </font>
  </fonts>
  <fills count="2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rgb="FFFFFF0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theme="7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D8AE4B"/>
      </patternFill>
    </fill>
    <fill>
      <patternFill patternType="solid">
        <fgColor rgb="FF274C67"/>
      </patternFill>
    </fill>
    <fill>
      <patternFill patternType="solid">
        <fgColor rgb="FFF4E7BA"/>
      </patternFill>
    </fill>
    <fill>
      <patternFill patternType="solid">
        <fgColor rgb="FFDCE8F1"/>
      </patternFill>
    </fill>
    <fill>
      <patternFill patternType="solid">
        <fgColor rgb="FFDCE8F1"/>
      </patternFill>
    </fill>
    <fill>
      <patternFill patternType="solid">
        <fgColor rgb="FF17324D"/>
      </patternFill>
    </fill>
    <fill>
      <patternFill patternType="solid">
        <fgColor rgb="FFF4E7BA"/>
      </patternFill>
    </fill>
    <fill>
      <patternFill patternType="solid">
        <fgColor rgb="FFF7F9FB"/>
      </patternFill>
    </fill>
    <fill>
      <patternFill patternType="solid">
        <fgColor rgb="FFFEF3C7"/>
      </patternFill>
    </fill>
    <fill>
      <patternFill patternType="solid">
        <fgColor theme="8" tint="0.59999389629810485"/>
        <bgColor indexed="64"/>
      </patternFill>
    </fill>
  </fills>
  <borders count="10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D8AE4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indexed="64"/>
      </left>
      <right style="thin">
        <color indexed="64"/>
      </right>
      <top style="medium">
        <color rgb="FF17324D"/>
      </top>
      <bottom style="medium">
        <color rgb="FF17324D"/>
      </bottom>
      <diagonal/>
    </border>
    <border>
      <left/>
      <right style="thin">
        <color rgb="FF000000"/>
      </right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thin">
        <color indexed="64"/>
      </right>
      <top style="medium">
        <color rgb="FF17324D"/>
      </top>
      <bottom style="medium">
        <color rgb="FF17324D"/>
      </bottom>
      <diagonal/>
    </border>
    <border>
      <left style="thin">
        <color indexed="64"/>
      </left>
      <right style="thin">
        <color indexed="64"/>
      </right>
      <top style="thin">
        <color rgb="FFD8AE4B"/>
      </top>
      <bottom style="double">
        <color rgb="FFD8AE4B"/>
      </bottom>
      <diagonal/>
    </border>
    <border>
      <left/>
      <right/>
      <top style="thin">
        <color rgb="FFD8AE4B"/>
      </top>
      <bottom style="double">
        <color rgb="FFD8AE4B"/>
      </bottom>
      <diagonal/>
    </border>
    <border>
      <left/>
      <right style="thin">
        <color indexed="64"/>
      </right>
      <top style="thin">
        <color rgb="FFD8AE4B"/>
      </top>
      <bottom style="double">
        <color rgb="FFD8AE4B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medium">
        <color indexed="64"/>
      </left>
      <right/>
      <top style="medium">
        <color indexed="64"/>
      </top>
      <bottom style="medium">
        <color rgb="FFD8AE4B"/>
      </bottom>
      <diagonal/>
    </border>
    <border>
      <left/>
      <right/>
      <top style="medium">
        <color indexed="64"/>
      </top>
      <bottom style="medium">
        <color rgb="FFD8AE4B"/>
      </bottom>
      <diagonal/>
    </border>
    <border>
      <left/>
      <right style="medium">
        <color indexed="64"/>
      </right>
      <top style="medium">
        <color indexed="64"/>
      </top>
      <bottom style="medium">
        <color rgb="FFD8AE4B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D8AE4B"/>
      </bottom>
      <diagonal/>
    </border>
    <border>
      <left style="thin">
        <color rgb="FFD4D9DF"/>
      </left>
      <right style="thin">
        <color rgb="FFD4D9DF"/>
      </right>
      <top style="thin">
        <color rgb="FFD4D9DF"/>
      </top>
      <bottom style="thin">
        <color rgb="FFD4D9DF"/>
      </bottom>
      <diagonal/>
    </border>
    <border>
      <left/>
      <right/>
      <top style="thin">
        <color rgb="FFD8AE4B"/>
      </top>
      <bottom/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/>
      <top/>
      <bottom/>
      <diagonal/>
    </border>
    <border>
      <left/>
      <right style="thin">
        <color rgb="FFF59E0B"/>
      </right>
      <top/>
      <bottom/>
      <diagonal/>
    </border>
    <border>
      <left style="thin">
        <color rgb="FFF59E0B"/>
      </left>
      <right/>
      <top/>
      <bottom style="thin">
        <color rgb="FFF59E0B"/>
      </bottom>
      <diagonal/>
    </border>
    <border>
      <left/>
      <right/>
      <top/>
      <bottom style="thin">
        <color rgb="FFF59E0B"/>
      </bottom>
      <diagonal/>
    </border>
    <border>
      <left/>
      <right style="thin">
        <color rgb="FFF59E0B"/>
      </right>
      <top/>
      <bottom style="thin">
        <color rgb="FFF59E0B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4D9DF"/>
      </left>
      <right/>
      <top style="medium">
        <color rgb="FF17324D"/>
      </top>
      <bottom style="thin">
        <color rgb="FFD4D9DF"/>
      </bottom>
      <diagonal/>
    </border>
    <border>
      <left style="thin">
        <color rgb="FFD4D9DF"/>
      </left>
      <right/>
      <top style="thin">
        <color rgb="FFD4D9DF"/>
      </top>
      <bottom style="thin">
        <color rgb="FFD4D9D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rgb="FF17324D"/>
      </top>
      <bottom style="thin">
        <color rgb="FFD4D9DF"/>
      </bottom>
      <diagonal/>
    </border>
    <border>
      <left style="medium">
        <color indexed="64"/>
      </left>
      <right style="medium">
        <color indexed="64"/>
      </right>
      <top style="thin">
        <color rgb="FFD4D9DF"/>
      </top>
      <bottom style="thin">
        <color rgb="FFD4D9DF"/>
      </bottom>
      <diagonal/>
    </border>
    <border>
      <left style="medium">
        <color indexed="64"/>
      </left>
      <right style="medium">
        <color indexed="64"/>
      </right>
      <top style="thin">
        <color rgb="FFD4D9DF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1">
    <xf numFmtId="0" fontId="0" fillId="0" borderId="0" xfId="0"/>
    <xf numFmtId="0" fontId="0" fillId="2" borderId="0" xfId="0" applyFill="1"/>
    <xf numFmtId="0" fontId="2" fillId="2" borderId="15" xfId="0" applyFont="1" applyFill="1" applyBorder="1" applyAlignment="1">
      <alignment vertical="center"/>
    </xf>
    <xf numFmtId="1" fontId="0" fillId="2" borderId="0" xfId="0" applyNumberFormat="1" applyFill="1"/>
    <xf numFmtId="164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2" fontId="0" fillId="2" borderId="0" xfId="0" applyNumberFormat="1" applyFill="1"/>
    <xf numFmtId="0" fontId="0" fillId="0" borderId="0" xfId="0" applyAlignment="1">
      <alignment horizontal="center"/>
    </xf>
    <xf numFmtId="14" fontId="0" fillId="2" borderId="12" xfId="0" applyNumberForma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177" fontId="0" fillId="2" borderId="0" xfId="0" applyNumberFormat="1" applyFill="1"/>
    <xf numFmtId="178" fontId="0" fillId="2" borderId="0" xfId="0" applyNumberFormat="1" applyFill="1"/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164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164" fontId="0" fillId="2" borderId="0" xfId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0" fillId="2" borderId="57" xfId="0" applyFill="1" applyBorder="1"/>
    <xf numFmtId="0" fontId="0" fillId="2" borderId="26" xfId="0" applyFill="1" applyBorder="1"/>
    <xf numFmtId="0" fontId="0" fillId="6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5" fillId="0" borderId="0" xfId="0" applyFont="1"/>
    <xf numFmtId="9" fontId="5" fillId="0" borderId="38" xfId="0" applyNumberFormat="1" applyFont="1" applyBorder="1" applyAlignment="1">
      <alignment horizontal="center" vertical="center"/>
    </xf>
    <xf numFmtId="9" fontId="5" fillId="0" borderId="37" xfId="0" applyNumberFormat="1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5" xfId="0" applyFont="1" applyBorder="1" applyAlignment="1">
      <alignment vertical="center"/>
    </xf>
    <xf numFmtId="1" fontId="5" fillId="0" borderId="35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173" fontId="5" fillId="0" borderId="38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74" fontId="5" fillId="0" borderId="38" xfId="0" applyNumberFormat="1" applyFont="1" applyBorder="1" applyAlignment="1">
      <alignment horizontal="center" vertical="center"/>
    </xf>
    <xf numFmtId="176" fontId="5" fillId="0" borderId="38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76" fontId="5" fillId="0" borderId="40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9" fontId="5" fillId="0" borderId="39" xfId="0" applyNumberFormat="1" applyFont="1" applyBorder="1" applyAlignment="1">
      <alignment horizontal="center" vertical="center"/>
    </xf>
    <xf numFmtId="2" fontId="5" fillId="0" borderId="38" xfId="0" applyNumberFormat="1" applyFont="1" applyBorder="1" applyAlignment="1">
      <alignment horizontal="center" vertical="center"/>
    </xf>
    <xf numFmtId="1" fontId="5" fillId="12" borderId="38" xfId="0" applyNumberFormat="1" applyFont="1" applyFill="1" applyBorder="1" applyAlignment="1">
      <alignment horizontal="center" vertical="center"/>
    </xf>
    <xf numFmtId="174" fontId="5" fillId="12" borderId="38" xfId="0" applyNumberFormat="1" applyFont="1" applyFill="1" applyBorder="1" applyAlignment="1">
      <alignment horizontal="center" vertical="center"/>
    </xf>
    <xf numFmtId="176" fontId="5" fillId="12" borderId="38" xfId="0" applyNumberFormat="1" applyFont="1" applyFill="1" applyBorder="1" applyAlignment="1">
      <alignment horizontal="center" vertical="center"/>
    </xf>
    <xf numFmtId="0" fontId="5" fillId="12" borderId="38" xfId="0" applyFont="1" applyFill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174" fontId="5" fillId="0" borderId="37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74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3" fontId="5" fillId="0" borderId="37" xfId="0" applyNumberFormat="1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174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9" fontId="5" fillId="0" borderId="0" xfId="0" applyNumberFormat="1" applyFont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4" fontId="5" fillId="2" borderId="12" xfId="0" applyNumberFormat="1" applyFont="1" applyFill="1" applyBorder="1" applyAlignment="1">
      <alignment vertical="center"/>
    </xf>
    <xf numFmtId="14" fontId="5" fillId="2" borderId="12" xfId="0" applyNumberFormat="1" applyFont="1" applyFill="1" applyBorder="1" applyAlignment="1">
      <alignment horizontal="left" vertical="center"/>
    </xf>
    <xf numFmtId="14" fontId="5" fillId="2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vertical="center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vertical="center"/>
    </xf>
    <xf numFmtId="0" fontId="6" fillId="8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vertical="center"/>
    </xf>
    <xf numFmtId="2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5" fillId="0" borderId="0" xfId="0" applyNumberFormat="1" applyFont="1" applyAlignment="1">
      <alignment vertical="center"/>
    </xf>
    <xf numFmtId="1" fontId="5" fillId="2" borderId="12" xfId="0" applyNumberFormat="1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14" fontId="5" fillId="2" borderId="9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165" fontId="5" fillId="2" borderId="10" xfId="0" applyNumberFormat="1" applyFont="1" applyFill="1" applyBorder="1" applyAlignment="1">
      <alignment horizontal="center" vertical="center"/>
    </xf>
    <xf numFmtId="166" fontId="5" fillId="2" borderId="10" xfId="0" applyNumberFormat="1" applyFont="1" applyFill="1" applyBorder="1" applyAlignment="1">
      <alignment horizontal="center" vertical="center"/>
    </xf>
    <xf numFmtId="9" fontId="5" fillId="2" borderId="10" xfId="0" applyNumberFormat="1" applyFont="1" applyFill="1" applyBorder="1" applyAlignment="1">
      <alignment horizontal="center" vertical="center"/>
    </xf>
    <xf numFmtId="167" fontId="5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165" fontId="5" fillId="2" borderId="15" xfId="0" applyNumberFormat="1" applyFont="1" applyFill="1" applyBorder="1" applyAlignment="1">
      <alignment horizontal="center" vertical="center"/>
    </xf>
    <xf numFmtId="166" fontId="5" fillId="2" borderId="15" xfId="0" applyNumberFormat="1" applyFont="1" applyFill="1" applyBorder="1" applyAlignment="1">
      <alignment horizontal="center" vertical="center"/>
    </xf>
    <xf numFmtId="9" fontId="5" fillId="2" borderId="15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4" fontId="5" fillId="7" borderId="9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/>
    </xf>
    <xf numFmtId="165" fontId="5" fillId="7" borderId="10" xfId="0" applyNumberFormat="1" applyFont="1" applyFill="1" applyBorder="1" applyAlignment="1">
      <alignment horizontal="center" vertical="center"/>
    </xf>
    <xf numFmtId="166" fontId="5" fillId="7" borderId="10" xfId="0" applyNumberFormat="1" applyFont="1" applyFill="1" applyBorder="1" applyAlignment="1">
      <alignment horizontal="center" vertical="center"/>
    </xf>
    <xf numFmtId="9" fontId="5" fillId="7" borderId="10" xfId="0" applyNumberFormat="1" applyFont="1" applyFill="1" applyBorder="1" applyAlignment="1">
      <alignment horizontal="center" vertical="center"/>
    </xf>
    <xf numFmtId="167" fontId="5" fillId="7" borderId="11" xfId="0" applyNumberFormat="1" applyFont="1" applyFill="1" applyBorder="1" applyAlignment="1">
      <alignment horizontal="center" vertical="center"/>
    </xf>
    <xf numFmtId="1" fontId="5" fillId="7" borderId="11" xfId="0" applyNumberFormat="1" applyFont="1" applyFill="1" applyBorder="1" applyAlignment="1">
      <alignment horizontal="center" vertical="center"/>
    </xf>
    <xf numFmtId="14" fontId="5" fillId="7" borderId="14" xfId="0" applyNumberFormat="1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vertical="center"/>
    </xf>
    <xf numFmtId="165" fontId="5" fillId="7" borderId="17" xfId="0" applyNumberFormat="1" applyFont="1" applyFill="1" applyBorder="1" applyAlignment="1">
      <alignment horizontal="center" vertical="center"/>
    </xf>
    <xf numFmtId="9" fontId="5" fillId="7" borderId="15" xfId="0" applyNumberFormat="1" applyFont="1" applyFill="1" applyBorder="1" applyAlignment="1">
      <alignment horizontal="center" vertical="center"/>
    </xf>
    <xf numFmtId="167" fontId="5" fillId="7" borderId="16" xfId="0" applyNumberFormat="1" applyFont="1" applyFill="1" applyBorder="1" applyAlignment="1">
      <alignment horizontal="center" vertical="center"/>
    </xf>
    <xf numFmtId="165" fontId="5" fillId="7" borderId="15" xfId="0" applyNumberFormat="1" applyFont="1" applyFill="1" applyBorder="1" applyAlignment="1">
      <alignment horizontal="center" vertical="center"/>
    </xf>
    <xf numFmtId="165" fontId="5" fillId="2" borderId="17" xfId="0" applyNumberFormat="1" applyFont="1" applyFill="1" applyBorder="1" applyAlignment="1">
      <alignment horizontal="center" vertical="center"/>
    </xf>
    <xf numFmtId="167" fontId="5" fillId="2" borderId="16" xfId="0" applyNumberFormat="1" applyFont="1" applyFill="1" applyBorder="1" applyAlignment="1">
      <alignment horizontal="center" vertical="center"/>
    </xf>
    <xf numFmtId="166" fontId="5" fillId="7" borderId="15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1" fontId="5" fillId="2" borderId="16" xfId="0" applyNumberFormat="1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vertical="center"/>
    </xf>
    <xf numFmtId="1" fontId="5" fillId="7" borderId="16" xfId="0" applyNumberFormat="1" applyFont="1" applyFill="1" applyBorder="1" applyAlignment="1">
      <alignment horizontal="center" vertical="center"/>
    </xf>
    <xf numFmtId="14" fontId="5" fillId="2" borderId="19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vertical="center"/>
    </xf>
    <xf numFmtId="165" fontId="5" fillId="2" borderId="20" xfId="0" applyNumberFormat="1" applyFont="1" applyFill="1" applyBorder="1" applyAlignment="1">
      <alignment horizontal="center" vertical="center"/>
    </xf>
    <xf numFmtId="166" fontId="5" fillId="2" borderId="21" xfId="0" applyNumberFormat="1" applyFont="1" applyFill="1" applyBorder="1" applyAlignment="1">
      <alignment horizontal="center" vertical="center"/>
    </xf>
    <xf numFmtId="9" fontId="5" fillId="2" borderId="21" xfId="0" applyNumberFormat="1" applyFont="1" applyFill="1" applyBorder="1" applyAlignment="1">
      <alignment horizontal="center" vertical="center"/>
    </xf>
    <xf numFmtId="167" fontId="5" fillId="2" borderId="22" xfId="0" applyNumberFormat="1" applyFont="1" applyFill="1" applyBorder="1" applyAlignment="1">
      <alignment horizontal="center" vertical="center"/>
    </xf>
    <xf numFmtId="1" fontId="5" fillId="2" borderId="22" xfId="0" applyNumberFormat="1" applyFont="1" applyFill="1" applyBorder="1" applyAlignment="1">
      <alignment horizontal="center" vertical="center"/>
    </xf>
    <xf numFmtId="165" fontId="5" fillId="2" borderId="21" xfId="0" applyNumberFormat="1" applyFont="1" applyFill="1" applyBorder="1" applyAlignment="1">
      <alignment horizontal="center" vertical="center"/>
    </xf>
    <xf numFmtId="165" fontId="5" fillId="2" borderId="23" xfId="0" applyNumberFormat="1" applyFont="1" applyFill="1" applyBorder="1" applyAlignment="1">
      <alignment horizontal="center" vertical="center"/>
    </xf>
    <xf numFmtId="165" fontId="5" fillId="2" borderId="25" xfId="0" applyNumberFormat="1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vertical="center"/>
    </xf>
    <xf numFmtId="165" fontId="5" fillId="2" borderId="27" xfId="0" applyNumberFormat="1" applyFont="1" applyFill="1" applyBorder="1" applyAlignment="1">
      <alignment horizontal="center" vertical="center"/>
    </xf>
    <xf numFmtId="166" fontId="5" fillId="2" borderId="27" xfId="0" applyNumberFormat="1" applyFont="1" applyFill="1" applyBorder="1" applyAlignment="1">
      <alignment horizontal="center" vertical="center"/>
    </xf>
    <xf numFmtId="9" fontId="5" fillId="2" borderId="27" xfId="0" applyNumberFormat="1" applyFont="1" applyFill="1" applyBorder="1" applyAlignment="1">
      <alignment horizontal="center" vertical="center"/>
    </xf>
    <xf numFmtId="165" fontId="5" fillId="2" borderId="15" xfId="0" applyNumberFormat="1" applyFont="1" applyFill="1" applyBorder="1" applyAlignment="1">
      <alignment vertical="center"/>
    </xf>
    <xf numFmtId="165" fontId="5" fillId="2" borderId="17" xfId="0" applyNumberFormat="1" applyFont="1" applyFill="1" applyBorder="1" applyAlignment="1">
      <alignment vertical="center"/>
    </xf>
    <xf numFmtId="175" fontId="5" fillId="2" borderId="27" xfId="0" applyNumberFormat="1" applyFont="1" applyFill="1" applyBorder="1" applyAlignment="1">
      <alignment horizontal="center" vertical="center"/>
    </xf>
    <xf numFmtId="14" fontId="6" fillId="4" borderId="19" xfId="0" applyNumberFormat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vertical="center"/>
    </xf>
    <xf numFmtId="165" fontId="6" fillId="4" borderId="21" xfId="0" applyNumberFormat="1" applyFont="1" applyFill="1" applyBorder="1" applyAlignment="1">
      <alignment horizontal="center" vertical="center"/>
    </xf>
    <xf numFmtId="166" fontId="6" fillId="4" borderId="21" xfId="0" applyNumberFormat="1" applyFont="1" applyFill="1" applyBorder="1" applyAlignment="1">
      <alignment horizontal="center" vertical="center"/>
    </xf>
    <xf numFmtId="9" fontId="6" fillId="4" borderId="21" xfId="0" applyNumberFormat="1" applyFont="1" applyFill="1" applyBorder="1" applyAlignment="1">
      <alignment horizontal="center" vertical="center"/>
    </xf>
    <xf numFmtId="167" fontId="6" fillId="4" borderId="22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1" fontId="6" fillId="4" borderId="22" xfId="0" applyNumberFormat="1" applyFont="1" applyFill="1" applyBorder="1" applyAlignment="1">
      <alignment horizontal="center" vertical="center"/>
    </xf>
    <xf numFmtId="165" fontId="5" fillId="4" borderId="28" xfId="0" applyNumberFormat="1" applyFont="1" applyFill="1" applyBorder="1" applyAlignment="1">
      <alignment horizontal="center" vertical="center"/>
    </xf>
    <xf numFmtId="165" fontId="6" fillId="4" borderId="6" xfId="0" applyNumberFormat="1" applyFont="1" applyFill="1" applyBorder="1" applyAlignment="1">
      <alignment horizontal="center" vertical="center"/>
    </xf>
    <xf numFmtId="165" fontId="6" fillId="4" borderId="17" xfId="0" applyNumberFormat="1" applyFont="1" applyFill="1" applyBorder="1" applyAlignment="1">
      <alignment horizontal="center" vertical="center"/>
    </xf>
    <xf numFmtId="9" fontId="6" fillId="4" borderId="17" xfId="0" applyNumberFormat="1" applyFont="1" applyFill="1" applyBorder="1" applyAlignment="1">
      <alignment horizontal="center" vertical="center"/>
    </xf>
    <xf numFmtId="165" fontId="6" fillId="4" borderId="44" xfId="0" applyNumberFormat="1" applyFont="1" applyFill="1" applyBorder="1" applyAlignment="1">
      <alignment vertical="center"/>
    </xf>
    <xf numFmtId="9" fontId="5" fillId="2" borderId="0" xfId="0" applyNumberFormat="1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9" fontId="5" fillId="2" borderId="12" xfId="0" applyNumberFormat="1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vertical="center"/>
    </xf>
    <xf numFmtId="165" fontId="5" fillId="7" borderId="12" xfId="0" applyNumberFormat="1" applyFont="1" applyFill="1" applyBorder="1" applyAlignment="1">
      <alignment vertical="center"/>
    </xf>
    <xf numFmtId="168" fontId="5" fillId="2" borderId="12" xfId="0" applyNumberFormat="1" applyFont="1" applyFill="1" applyBorder="1" applyAlignment="1">
      <alignment vertical="center"/>
    </xf>
    <xf numFmtId="167" fontId="5" fillId="2" borderId="12" xfId="0" applyNumberFormat="1" applyFont="1" applyFill="1" applyBorder="1" applyAlignment="1">
      <alignment vertical="center"/>
    </xf>
    <xf numFmtId="10" fontId="5" fillId="2" borderId="0" xfId="0" applyNumberFormat="1" applyFont="1" applyFill="1" applyAlignment="1">
      <alignment vertical="center"/>
    </xf>
    <xf numFmtId="175" fontId="5" fillId="2" borderId="0" xfId="0" applyNumberFormat="1" applyFont="1" applyFill="1" applyAlignment="1">
      <alignment vertical="center"/>
    </xf>
    <xf numFmtId="165" fontId="5" fillId="2" borderId="12" xfId="0" applyNumberFormat="1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5" fillId="2" borderId="12" xfId="0" applyFont="1" applyFill="1" applyBorder="1" applyAlignment="1">
      <alignment vertical="center" wrapText="1"/>
    </xf>
    <xf numFmtId="9" fontId="5" fillId="2" borderId="0" xfId="0" applyNumberFormat="1" applyFont="1" applyFill="1" applyAlignment="1">
      <alignment horizontal="center" vertical="center"/>
    </xf>
    <xf numFmtId="0" fontId="5" fillId="2" borderId="28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vertical="center"/>
    </xf>
    <xf numFmtId="1" fontId="6" fillId="4" borderId="17" xfId="0" applyNumberFormat="1" applyFont="1" applyFill="1" applyBorder="1" applyAlignment="1">
      <alignment horizontal="center" vertical="center"/>
    </xf>
    <xf numFmtId="165" fontId="6" fillId="4" borderId="17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1" fontId="5" fillId="2" borderId="12" xfId="0" applyNumberFormat="1" applyFont="1" applyFill="1" applyBorder="1" applyAlignment="1">
      <alignment horizontal="center" vertical="center" wrapText="1"/>
    </xf>
    <xf numFmtId="2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176" fontId="5" fillId="2" borderId="12" xfId="0" applyNumberFormat="1" applyFont="1" applyFill="1" applyBorder="1" applyAlignment="1">
      <alignment horizontal="center" vertical="center"/>
    </xf>
    <xf numFmtId="176" fontId="5" fillId="2" borderId="12" xfId="0" applyNumberFormat="1" applyFont="1" applyFill="1" applyBorder="1" applyAlignment="1">
      <alignment horizontal="center" vertical="center" wrapText="1"/>
    </xf>
    <xf numFmtId="4" fontId="5" fillId="2" borderId="12" xfId="0" applyNumberFormat="1" applyFont="1" applyFill="1" applyBorder="1" applyAlignment="1">
      <alignment horizontal="center" vertical="center" wrapText="1"/>
    </xf>
    <xf numFmtId="2" fontId="5" fillId="2" borderId="12" xfId="0" applyNumberFormat="1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/>
    </xf>
    <xf numFmtId="1" fontId="6" fillId="2" borderId="1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vertical="center"/>
    </xf>
    <xf numFmtId="0" fontId="5" fillId="2" borderId="18" xfId="0" applyFont="1" applyFill="1" applyBorder="1" applyAlignment="1">
      <alignment vertical="center"/>
    </xf>
    <xf numFmtId="174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1" fontId="5" fillId="2" borderId="0" xfId="0" applyNumberFormat="1" applyFont="1" applyFill="1" applyAlignment="1">
      <alignment vertical="center" wrapText="1"/>
    </xf>
    <xf numFmtId="1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13" xfId="0" applyFont="1" applyFill="1" applyBorder="1" applyAlignment="1">
      <alignment vertical="center"/>
    </xf>
    <xf numFmtId="0" fontId="5" fillId="2" borderId="41" xfId="0" applyFont="1" applyFill="1" applyBorder="1" applyAlignment="1">
      <alignment vertical="center"/>
    </xf>
    <xf numFmtId="1" fontId="5" fillId="2" borderId="12" xfId="0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left" vertical="center"/>
    </xf>
    <xf numFmtId="1" fontId="5" fillId="2" borderId="0" xfId="0" applyNumberFormat="1" applyFont="1" applyFill="1" applyAlignment="1">
      <alignment vertical="center"/>
    </xf>
    <xf numFmtId="1" fontId="5" fillId="2" borderId="0" xfId="0" applyNumberFormat="1" applyFont="1" applyFill="1" applyAlignment="1">
      <alignment horizontal="center" vertical="center"/>
    </xf>
    <xf numFmtId="20" fontId="5" fillId="2" borderId="12" xfId="0" applyNumberFormat="1" applyFont="1" applyFill="1" applyBorder="1" applyAlignment="1">
      <alignment horizontal="center" vertical="center"/>
    </xf>
    <xf numFmtId="179" fontId="5" fillId="2" borderId="12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1" fontId="5" fillId="8" borderId="12" xfId="0" applyNumberFormat="1" applyFont="1" applyFill="1" applyBorder="1" applyAlignment="1">
      <alignment horizontal="center" vertical="center"/>
    </xf>
    <xf numFmtId="176" fontId="5" fillId="8" borderId="12" xfId="0" applyNumberFormat="1" applyFont="1" applyFill="1" applyBorder="1" applyAlignment="1">
      <alignment horizontal="center" vertical="center"/>
    </xf>
    <xf numFmtId="9" fontId="5" fillId="8" borderId="12" xfId="0" applyNumberFormat="1" applyFont="1" applyFill="1" applyBorder="1" applyAlignment="1">
      <alignment horizontal="center" vertical="center"/>
    </xf>
    <xf numFmtId="164" fontId="5" fillId="8" borderId="12" xfId="0" applyNumberFormat="1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1" fontId="5" fillId="8" borderId="12" xfId="0" applyNumberFormat="1" applyFont="1" applyFill="1" applyBorder="1" applyAlignment="1">
      <alignment vertical="center"/>
    </xf>
    <xf numFmtId="1" fontId="6" fillId="8" borderId="12" xfId="0" applyNumberFormat="1" applyFont="1" applyFill="1" applyBorder="1" applyAlignment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12" xfId="0" applyFont="1" applyFill="1" applyBorder="1" applyAlignment="1">
      <alignment vertical="center"/>
    </xf>
    <xf numFmtId="9" fontId="5" fillId="2" borderId="12" xfId="0" applyNumberFormat="1" applyFont="1" applyFill="1" applyBorder="1" applyAlignment="1">
      <alignment vertical="center"/>
    </xf>
    <xf numFmtId="2" fontId="5" fillId="2" borderId="12" xfId="0" applyNumberFormat="1" applyFont="1" applyFill="1" applyBorder="1" applyAlignment="1">
      <alignment vertical="center"/>
    </xf>
    <xf numFmtId="1" fontId="6" fillId="4" borderId="12" xfId="0" applyNumberFormat="1" applyFont="1" applyFill="1" applyBorder="1" applyAlignment="1">
      <alignment horizontal="center" vertical="center"/>
    </xf>
    <xf numFmtId="176" fontId="6" fillId="4" borderId="12" xfId="0" applyNumberFormat="1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14" fontId="5" fillId="7" borderId="12" xfId="0" applyNumberFormat="1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vertical="center"/>
    </xf>
    <xf numFmtId="2" fontId="5" fillId="2" borderId="0" xfId="0" applyNumberFormat="1" applyFont="1" applyFill="1" applyAlignment="1">
      <alignment horizontal="center" vertical="center"/>
    </xf>
    <xf numFmtId="0" fontId="5" fillId="11" borderId="12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12" xfId="0" applyFont="1" applyFill="1" applyBorder="1" applyAlignment="1">
      <alignment vertical="center"/>
    </xf>
    <xf numFmtId="176" fontId="5" fillId="2" borderId="12" xfId="0" applyNumberFormat="1" applyFont="1" applyFill="1" applyBorder="1" applyAlignment="1">
      <alignment vertical="center"/>
    </xf>
    <xf numFmtId="14" fontId="5" fillId="2" borderId="10" xfId="0" applyNumberFormat="1" applyFont="1" applyFill="1" applyBorder="1" applyAlignment="1">
      <alignment horizontal="left" vertical="center"/>
    </xf>
    <xf numFmtId="14" fontId="5" fillId="2" borderId="10" xfId="0" applyNumberFormat="1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20" xfId="0" applyNumberFormat="1" applyFont="1" applyFill="1" applyBorder="1" applyAlignment="1">
      <alignment horizontal="center" vertical="center"/>
    </xf>
    <xf numFmtId="176" fontId="5" fillId="2" borderId="23" xfId="0" applyNumberFormat="1" applyFont="1" applyFill="1" applyBorder="1" applyAlignment="1">
      <alignment horizontal="center" vertical="center"/>
    </xf>
    <xf numFmtId="174" fontId="5" fillId="2" borderId="12" xfId="0" applyNumberFormat="1" applyFont="1" applyFill="1" applyBorder="1" applyAlignment="1">
      <alignment horizontal="center" vertical="center"/>
    </xf>
    <xf numFmtId="14" fontId="5" fillId="2" borderId="17" xfId="0" applyNumberFormat="1" applyFont="1" applyFill="1" applyBorder="1" applyAlignment="1">
      <alignment horizontal="left" vertical="center"/>
    </xf>
    <xf numFmtId="164" fontId="5" fillId="2" borderId="17" xfId="0" applyNumberFormat="1" applyFont="1" applyFill="1" applyBorder="1" applyAlignment="1">
      <alignment vertical="center"/>
    </xf>
    <xf numFmtId="1" fontId="5" fillId="2" borderId="15" xfId="0" applyNumberFormat="1" applyFont="1" applyFill="1" applyBorder="1" applyAlignment="1">
      <alignment horizontal="center" vertical="center"/>
    </xf>
    <xf numFmtId="1" fontId="5" fillId="2" borderId="28" xfId="0" applyNumberFormat="1" applyFont="1" applyFill="1" applyBorder="1" applyAlignment="1">
      <alignment horizontal="center" vertical="center"/>
    </xf>
    <xf numFmtId="1" fontId="5" fillId="2" borderId="21" xfId="0" applyNumberFormat="1" applyFont="1" applyFill="1" applyBorder="1" applyAlignment="1">
      <alignment horizontal="center" vertical="center"/>
    </xf>
    <xf numFmtId="176" fontId="5" fillId="2" borderId="25" xfId="0" applyNumberFormat="1" applyFont="1" applyFill="1" applyBorder="1" applyAlignment="1">
      <alignment horizontal="center" vertical="center"/>
    </xf>
    <xf numFmtId="14" fontId="5" fillId="6" borderId="10" xfId="0" applyNumberFormat="1" applyFont="1" applyFill="1" applyBorder="1" applyAlignment="1">
      <alignment horizontal="left" vertical="center"/>
    </xf>
    <xf numFmtId="164" fontId="5" fillId="6" borderId="10" xfId="0" applyNumberFormat="1" applyFont="1" applyFill="1" applyBorder="1" applyAlignment="1">
      <alignment horizontal="center" vertical="center"/>
    </xf>
    <xf numFmtId="176" fontId="5" fillId="6" borderId="23" xfId="0" applyNumberFormat="1" applyFont="1" applyFill="1" applyBorder="1" applyAlignment="1">
      <alignment horizontal="center" vertical="center"/>
    </xf>
    <xf numFmtId="174" fontId="5" fillId="6" borderId="12" xfId="0" applyNumberFormat="1" applyFont="1" applyFill="1" applyBorder="1" applyAlignment="1">
      <alignment horizontal="center" vertical="center"/>
    </xf>
    <xf numFmtId="1" fontId="5" fillId="6" borderId="12" xfId="0" applyNumberFormat="1" applyFont="1" applyFill="1" applyBorder="1" applyAlignment="1">
      <alignment vertical="center"/>
    </xf>
    <xf numFmtId="14" fontId="5" fillId="6" borderId="17" xfId="0" applyNumberFormat="1" applyFont="1" applyFill="1" applyBorder="1" applyAlignment="1">
      <alignment horizontal="left" vertical="center"/>
    </xf>
    <xf numFmtId="1" fontId="5" fillId="6" borderId="17" xfId="0" applyNumberFormat="1" applyFont="1" applyFill="1" applyBorder="1" applyAlignment="1">
      <alignment horizontal="center" vertical="center"/>
    </xf>
    <xf numFmtId="1" fontId="5" fillId="6" borderId="15" xfId="0" applyNumberFormat="1" applyFont="1" applyFill="1" applyBorder="1" applyAlignment="1">
      <alignment horizontal="center" vertical="center"/>
    </xf>
    <xf numFmtId="176" fontId="5" fillId="6" borderId="25" xfId="0" applyNumberFormat="1" applyFont="1" applyFill="1" applyBorder="1" applyAlignment="1">
      <alignment horizontal="center" vertical="center"/>
    </xf>
    <xf numFmtId="14" fontId="5" fillId="2" borderId="17" xfId="0" applyNumberFormat="1" applyFont="1" applyFill="1" applyBorder="1" applyAlignment="1">
      <alignment horizontal="center" vertical="center"/>
    </xf>
    <xf numFmtId="176" fontId="5" fillId="6" borderId="25" xfId="0" applyNumberFormat="1" applyFont="1" applyFill="1" applyBorder="1" applyAlignment="1">
      <alignment vertical="center"/>
    </xf>
    <xf numFmtId="176" fontId="5" fillId="6" borderId="44" xfId="0" applyNumberFormat="1" applyFont="1" applyFill="1" applyBorder="1" applyAlignment="1">
      <alignment vertical="center"/>
    </xf>
    <xf numFmtId="14" fontId="5" fillId="2" borderId="28" xfId="0" applyNumberFormat="1" applyFont="1" applyFill="1" applyBorder="1" applyAlignment="1">
      <alignment horizontal="center" vertical="center"/>
    </xf>
    <xf numFmtId="176" fontId="5" fillId="2" borderId="11" xfId="0" applyNumberFormat="1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>
      <alignment horizontal="center" vertical="center"/>
    </xf>
    <xf numFmtId="176" fontId="5" fillId="2" borderId="42" xfId="0" applyNumberFormat="1" applyFont="1" applyFill="1" applyBorder="1" applyAlignment="1">
      <alignment horizontal="center" vertical="center"/>
    </xf>
    <xf numFmtId="176" fontId="5" fillId="2" borderId="30" xfId="0" applyNumberFormat="1" applyFont="1" applyFill="1" applyBorder="1" applyAlignment="1">
      <alignment horizontal="center" vertical="center"/>
    </xf>
    <xf numFmtId="174" fontId="5" fillId="2" borderId="20" xfId="0" applyNumberFormat="1" applyFont="1" applyFill="1" applyBorder="1" applyAlignment="1">
      <alignment horizontal="center" vertical="center"/>
    </xf>
    <xf numFmtId="1" fontId="5" fillId="2" borderId="20" xfId="0" applyNumberFormat="1" applyFont="1" applyFill="1" applyBorder="1" applyAlignment="1">
      <alignment vertical="center"/>
    </xf>
    <xf numFmtId="14" fontId="5" fillId="6" borderId="12" xfId="0" applyNumberFormat="1" applyFont="1" applyFill="1" applyBorder="1" applyAlignment="1">
      <alignment horizontal="left" vertical="center" wrapText="1"/>
    </xf>
    <xf numFmtId="1" fontId="5" fillId="6" borderId="12" xfId="0" applyNumberFormat="1" applyFont="1" applyFill="1" applyBorder="1" applyAlignment="1">
      <alignment horizontal="center" vertical="center"/>
    </xf>
    <xf numFmtId="176" fontId="5" fillId="6" borderId="12" xfId="0" applyNumberFormat="1" applyFont="1" applyFill="1" applyBorder="1" applyAlignment="1">
      <alignment horizontal="center" vertical="center"/>
    </xf>
    <xf numFmtId="176" fontId="5" fillId="2" borderId="56" xfId="0" applyNumberFormat="1" applyFont="1" applyFill="1" applyBorder="1" applyAlignment="1">
      <alignment horizontal="center" vertical="center"/>
    </xf>
    <xf numFmtId="174" fontId="5" fillId="2" borderId="28" xfId="0" applyNumberFormat="1" applyFont="1" applyFill="1" applyBorder="1" applyAlignment="1">
      <alignment horizontal="center" vertical="center"/>
    </xf>
    <xf numFmtId="1" fontId="5" fillId="2" borderId="28" xfId="0" applyNumberFormat="1" applyFont="1" applyFill="1" applyBorder="1" applyAlignment="1">
      <alignment vertical="center"/>
    </xf>
    <xf numFmtId="14" fontId="5" fillId="10" borderId="28" xfId="0" applyNumberFormat="1" applyFont="1" applyFill="1" applyBorder="1" applyAlignment="1">
      <alignment horizontal="center" vertical="center"/>
    </xf>
    <xf numFmtId="1" fontId="5" fillId="2" borderId="56" xfId="0" applyNumberFormat="1" applyFont="1" applyFill="1" applyBorder="1" applyAlignment="1">
      <alignment vertical="center"/>
    </xf>
    <xf numFmtId="1" fontId="5" fillId="2" borderId="31" xfId="0" applyNumberFormat="1" applyFont="1" applyFill="1" applyBorder="1" applyAlignment="1">
      <alignment vertical="center"/>
    </xf>
    <xf numFmtId="1" fontId="5" fillId="2" borderId="25" xfId="0" applyNumberFormat="1" applyFont="1" applyFill="1" applyBorder="1" applyAlignment="1">
      <alignment vertical="center"/>
    </xf>
    <xf numFmtId="1" fontId="5" fillId="2" borderId="44" xfId="0" applyNumberFormat="1" applyFont="1" applyFill="1" applyBorder="1" applyAlignment="1">
      <alignment vertical="center"/>
    </xf>
    <xf numFmtId="0" fontId="5" fillId="2" borderId="28" xfId="0" applyFont="1" applyFill="1" applyBorder="1" applyAlignment="1">
      <alignment horizontal="center" vertical="center"/>
    </xf>
    <xf numFmtId="1" fontId="5" fillId="2" borderId="17" xfId="0" applyNumberFormat="1" applyFont="1" applyFill="1" applyBorder="1" applyAlignment="1">
      <alignment horizontal="center" vertical="center"/>
    </xf>
    <xf numFmtId="176" fontId="5" fillId="2" borderId="17" xfId="0" applyNumberFormat="1" applyFont="1" applyFill="1" applyBorder="1" applyAlignment="1">
      <alignment horizontal="center" vertical="center"/>
    </xf>
    <xf numFmtId="1" fontId="5" fillId="2" borderId="27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76" fontId="5" fillId="2" borderId="44" xfId="0" applyNumberFormat="1" applyFont="1" applyFill="1" applyBorder="1" applyAlignment="1">
      <alignment horizontal="center" vertical="center"/>
    </xf>
    <xf numFmtId="14" fontId="6" fillId="2" borderId="12" xfId="0" applyNumberFormat="1" applyFont="1" applyFill="1" applyBorder="1" applyAlignment="1">
      <alignment horizontal="center" vertical="center"/>
    </xf>
    <xf numFmtId="1" fontId="6" fillId="2" borderId="27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76" fontId="6" fillId="2" borderId="23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176" fontId="6" fillId="2" borderId="25" xfId="0" applyNumberFormat="1" applyFont="1" applyFill="1" applyBorder="1" applyAlignment="1">
      <alignment horizontal="center" vertical="center"/>
    </xf>
    <xf numFmtId="176" fontId="6" fillId="2" borderId="44" xfId="0" applyNumberFormat="1" applyFont="1" applyFill="1" applyBorder="1" applyAlignment="1">
      <alignment horizontal="center" vertical="center"/>
    </xf>
    <xf numFmtId="1" fontId="5" fillId="2" borderId="25" xfId="0" applyNumberFormat="1" applyFont="1" applyFill="1" applyBorder="1" applyAlignment="1">
      <alignment horizontal="center" vertical="center"/>
    </xf>
    <xf numFmtId="1" fontId="5" fillId="2" borderId="44" xfId="0" applyNumberFormat="1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vertical="center"/>
    </xf>
    <xf numFmtId="14" fontId="5" fillId="2" borderId="14" xfId="0" applyNumberFormat="1" applyFont="1" applyFill="1" applyBorder="1" applyAlignment="1">
      <alignment vertical="center"/>
    </xf>
    <xf numFmtId="180" fontId="5" fillId="2" borderId="10" xfId="0" applyNumberFormat="1" applyFont="1" applyFill="1" applyBorder="1" applyAlignment="1">
      <alignment horizontal="center" vertical="center"/>
    </xf>
    <xf numFmtId="183" fontId="5" fillId="2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9" fontId="5" fillId="2" borderId="17" xfId="0" applyNumberFormat="1" applyFont="1" applyFill="1" applyBorder="1" applyAlignment="1">
      <alignment horizontal="center" vertical="center"/>
    </xf>
    <xf numFmtId="180" fontId="5" fillId="2" borderId="17" xfId="0" applyNumberFormat="1" applyFont="1" applyFill="1" applyBorder="1" applyAlignment="1">
      <alignment horizontal="center" vertical="center"/>
    </xf>
    <xf numFmtId="178" fontId="5" fillId="2" borderId="0" xfId="0" applyNumberFormat="1" applyFont="1" applyFill="1" applyAlignment="1">
      <alignment vertical="center"/>
    </xf>
    <xf numFmtId="0" fontId="5" fillId="6" borderId="10" xfId="0" applyFont="1" applyFill="1" applyBorder="1" applyAlignment="1">
      <alignment horizontal="center" vertical="center"/>
    </xf>
    <xf numFmtId="9" fontId="5" fillId="6" borderId="10" xfId="0" applyNumberFormat="1" applyFont="1" applyFill="1" applyBorder="1" applyAlignment="1">
      <alignment horizontal="center" vertical="center"/>
    </xf>
    <xf numFmtId="1" fontId="5" fillId="6" borderId="10" xfId="0" applyNumberFormat="1" applyFont="1" applyFill="1" applyBorder="1" applyAlignment="1">
      <alignment horizontal="center" vertical="center"/>
    </xf>
    <xf numFmtId="1" fontId="5" fillId="6" borderId="2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6" borderId="17" xfId="0" applyFont="1" applyFill="1" applyBorder="1" applyAlignment="1">
      <alignment horizontal="center" vertical="center"/>
    </xf>
    <xf numFmtId="9" fontId="5" fillId="6" borderId="17" xfId="0" applyNumberFormat="1" applyFont="1" applyFill="1" applyBorder="1" applyAlignment="1">
      <alignment horizontal="center" vertical="center"/>
    </xf>
    <xf numFmtId="180" fontId="5" fillId="6" borderId="0" xfId="0" applyNumberFormat="1" applyFont="1" applyFill="1" applyAlignment="1">
      <alignment vertical="center"/>
    </xf>
    <xf numFmtId="181" fontId="5" fillId="6" borderId="0" xfId="0" applyNumberFormat="1" applyFont="1" applyFill="1" applyAlignment="1">
      <alignment vertical="center"/>
    </xf>
    <xf numFmtId="169" fontId="5" fillId="2" borderId="0" xfId="0" applyNumberFormat="1" applyFont="1" applyFill="1" applyAlignment="1">
      <alignment vertical="center"/>
    </xf>
    <xf numFmtId="170" fontId="5" fillId="5" borderId="0" xfId="0" applyNumberFormat="1" applyFont="1" applyFill="1" applyAlignment="1">
      <alignment vertical="center"/>
    </xf>
    <xf numFmtId="1" fontId="5" fillId="6" borderId="19" xfId="0" applyNumberFormat="1" applyFont="1" applyFill="1" applyBorder="1" applyAlignment="1">
      <alignment horizontal="center" vertical="center"/>
    </xf>
    <xf numFmtId="171" fontId="5" fillId="6" borderId="0" xfId="0" applyNumberFormat="1" applyFont="1" applyFill="1" applyAlignment="1">
      <alignment vertical="center"/>
    </xf>
    <xf numFmtId="1" fontId="5" fillId="6" borderId="14" xfId="0" applyNumberFormat="1" applyFont="1" applyFill="1" applyBorder="1" applyAlignment="1">
      <alignment horizontal="center" vertical="center"/>
    </xf>
    <xf numFmtId="9" fontId="5" fillId="2" borderId="28" xfId="0" applyNumberFormat="1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vertical="center"/>
    </xf>
    <xf numFmtId="10" fontId="6" fillId="5" borderId="0" xfId="0" applyNumberFormat="1" applyFont="1" applyFill="1" applyAlignment="1">
      <alignment vertical="center"/>
    </xf>
    <xf numFmtId="0" fontId="5" fillId="2" borderId="20" xfId="0" applyFont="1" applyFill="1" applyBorder="1" applyAlignment="1">
      <alignment horizontal="center" vertical="center"/>
    </xf>
    <xf numFmtId="9" fontId="5" fillId="2" borderId="20" xfId="0" applyNumberFormat="1" applyFont="1" applyFill="1" applyBorder="1" applyAlignment="1">
      <alignment horizontal="center" vertical="center"/>
    </xf>
    <xf numFmtId="172" fontId="5" fillId="5" borderId="0" xfId="0" applyNumberFormat="1" applyFont="1" applyFill="1" applyAlignment="1">
      <alignment vertical="center"/>
    </xf>
    <xf numFmtId="0" fontId="5" fillId="6" borderId="12" xfId="0" applyFont="1" applyFill="1" applyBorder="1" applyAlignment="1">
      <alignment horizontal="center" vertical="center"/>
    </xf>
    <xf numFmtId="9" fontId="5" fillId="6" borderId="12" xfId="0" applyNumberFormat="1" applyFont="1" applyFill="1" applyBorder="1" applyAlignment="1">
      <alignment horizontal="center" vertical="center"/>
    </xf>
    <xf numFmtId="1" fontId="5" fillId="6" borderId="20" xfId="0" applyNumberFormat="1" applyFont="1" applyFill="1" applyBorder="1" applyAlignment="1">
      <alignment vertical="center"/>
    </xf>
    <xf numFmtId="0" fontId="5" fillId="10" borderId="28" xfId="0" applyFont="1" applyFill="1" applyBorder="1" applyAlignment="1">
      <alignment horizontal="center" vertical="center"/>
    </xf>
    <xf numFmtId="9" fontId="5" fillId="10" borderId="28" xfId="0" applyNumberFormat="1" applyFont="1" applyFill="1" applyBorder="1" applyAlignment="1">
      <alignment horizontal="center" vertical="center"/>
    </xf>
    <xf numFmtId="1" fontId="5" fillId="10" borderId="12" xfId="0" applyNumberFormat="1" applyFont="1" applyFill="1" applyBorder="1" applyAlignment="1">
      <alignment horizontal="center" vertical="center"/>
    </xf>
    <xf numFmtId="1" fontId="5" fillId="10" borderId="10" xfId="0" applyNumberFormat="1" applyFont="1" applyFill="1" applyBorder="1" applyAlignment="1">
      <alignment horizontal="center" vertical="center"/>
    </xf>
    <xf numFmtId="1" fontId="5" fillId="10" borderId="15" xfId="0" applyNumberFormat="1" applyFont="1" applyFill="1" applyBorder="1" applyAlignment="1">
      <alignment horizontal="center" vertical="center"/>
    </xf>
    <xf numFmtId="1" fontId="5" fillId="2" borderId="21" xfId="0" applyNumberFormat="1" applyFont="1" applyFill="1" applyBorder="1" applyAlignment="1">
      <alignment vertical="center"/>
    </xf>
    <xf numFmtId="1" fontId="5" fillId="2" borderId="15" xfId="0" applyNumberFormat="1" applyFont="1" applyFill="1" applyBorder="1" applyAlignment="1">
      <alignment vertical="center"/>
    </xf>
    <xf numFmtId="182" fontId="5" fillId="2" borderId="0" xfId="0" applyNumberFormat="1" applyFont="1" applyFill="1" applyAlignment="1">
      <alignment vertical="center"/>
    </xf>
    <xf numFmtId="0" fontId="5" fillId="2" borderId="23" xfId="0" applyFont="1" applyFill="1" applyBorder="1" applyAlignment="1">
      <alignment vertical="center"/>
    </xf>
    <xf numFmtId="0" fontId="5" fillId="2" borderId="25" xfId="0" applyFont="1" applyFill="1" applyBorder="1" applyAlignment="1">
      <alignment vertical="center"/>
    </xf>
    <xf numFmtId="9" fontId="6" fillId="2" borderId="12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2" fontId="5" fillId="2" borderId="15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vertical="center"/>
    </xf>
    <xf numFmtId="0" fontId="6" fillId="8" borderId="29" xfId="0" applyFont="1" applyFill="1" applyBorder="1" applyAlignment="1">
      <alignment vertical="center"/>
    </xf>
    <xf numFmtId="9" fontId="6" fillId="8" borderId="29" xfId="0" applyNumberFormat="1" applyFont="1" applyFill="1" applyBorder="1" applyAlignment="1">
      <alignment horizontal="center" vertical="center"/>
    </xf>
    <xf numFmtId="1" fontId="6" fillId="8" borderId="29" xfId="0" applyNumberFormat="1" applyFont="1" applyFill="1" applyBorder="1" applyAlignment="1">
      <alignment horizontal="center" vertical="center"/>
    </xf>
    <xf numFmtId="174" fontId="6" fillId="8" borderId="29" xfId="0" applyNumberFormat="1" applyFont="1" applyFill="1" applyBorder="1" applyAlignment="1">
      <alignment horizontal="center" vertical="center"/>
    </xf>
    <xf numFmtId="176" fontId="6" fillId="8" borderId="12" xfId="0" applyNumberFormat="1" applyFont="1" applyFill="1" applyBorder="1" applyAlignment="1">
      <alignment horizontal="center" vertical="center"/>
    </xf>
    <xf numFmtId="2" fontId="6" fillId="8" borderId="12" xfId="0" applyNumberFormat="1" applyFont="1" applyFill="1" applyBorder="1" applyAlignment="1">
      <alignment horizontal="center" vertical="center"/>
    </xf>
    <xf numFmtId="14" fontId="5" fillId="2" borderId="32" xfId="0" applyNumberFormat="1" applyFont="1" applyFill="1" applyBorder="1" applyAlignment="1">
      <alignment horizontal="center" vertical="center"/>
    </xf>
    <xf numFmtId="20" fontId="5" fillId="2" borderId="28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166" fontId="5" fillId="2" borderId="1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14" fontId="5" fillId="2" borderId="28" xfId="0" applyNumberFormat="1" applyFont="1" applyFill="1" applyBorder="1" applyAlignment="1">
      <alignment vertical="center"/>
    </xf>
    <xf numFmtId="0" fontId="6" fillId="3" borderId="12" xfId="0" applyFont="1" applyFill="1" applyBorder="1" applyAlignment="1">
      <alignment horizontal="right" vertical="center"/>
    </xf>
    <xf numFmtId="1" fontId="6" fillId="3" borderId="20" xfId="0" applyNumberFormat="1" applyFont="1" applyFill="1" applyBorder="1" applyAlignment="1">
      <alignment horizontal="right" vertical="center"/>
    </xf>
    <xf numFmtId="9" fontId="6" fillId="3" borderId="20" xfId="0" applyNumberFormat="1" applyFont="1" applyFill="1" applyBorder="1" applyAlignment="1">
      <alignment horizontal="right" vertical="center"/>
    </xf>
    <xf numFmtId="1" fontId="5" fillId="2" borderId="12" xfId="0" applyNumberFormat="1" applyFont="1" applyFill="1" applyBorder="1" applyAlignment="1">
      <alignment horizontal="right" vertical="center"/>
    </xf>
    <xf numFmtId="1" fontId="6" fillId="3" borderId="12" xfId="0" applyNumberFormat="1" applyFont="1" applyFill="1" applyBorder="1" applyAlignment="1">
      <alignment horizontal="right" vertical="center"/>
    </xf>
    <xf numFmtId="2" fontId="6" fillId="3" borderId="20" xfId="0" applyNumberFormat="1" applyFont="1" applyFill="1" applyBorder="1" applyAlignment="1">
      <alignment horizontal="right" vertical="center"/>
    </xf>
    <xf numFmtId="46" fontId="5" fillId="2" borderId="12" xfId="0" applyNumberFormat="1" applyFont="1" applyFill="1" applyBorder="1" applyAlignment="1">
      <alignment horizontal="center" vertical="center"/>
    </xf>
    <xf numFmtId="16" fontId="5" fillId="2" borderId="12" xfId="0" applyNumberFormat="1" applyFont="1" applyFill="1" applyBorder="1" applyAlignment="1">
      <alignment horizontal="center" vertical="center"/>
    </xf>
    <xf numFmtId="14" fontId="5" fillId="2" borderId="21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>
      <alignment vertical="center"/>
    </xf>
    <xf numFmtId="14" fontId="5" fillId="2" borderId="10" xfId="0" applyNumberFormat="1" applyFont="1" applyFill="1" applyBorder="1" applyAlignment="1">
      <alignment vertical="center"/>
    </xf>
    <xf numFmtId="14" fontId="5" fillId="2" borderId="17" xfId="0" applyNumberFormat="1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8" fillId="13" borderId="58" xfId="0" applyFont="1" applyFill="1" applyBorder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10" fillId="14" borderId="59" xfId="0" applyFont="1" applyFill="1" applyBorder="1" applyAlignment="1">
      <alignment horizontal="center" vertical="center" wrapText="1"/>
    </xf>
    <xf numFmtId="0" fontId="11" fillId="15" borderId="60" xfId="0" applyFont="1" applyFill="1" applyBorder="1" applyAlignment="1">
      <alignment horizontal="center" vertical="center" wrapText="1"/>
    </xf>
    <xf numFmtId="1" fontId="11" fillId="15" borderId="60" xfId="0" applyNumberFormat="1" applyFont="1" applyFill="1" applyBorder="1" applyAlignment="1">
      <alignment horizontal="center" vertical="center" wrapText="1"/>
    </xf>
    <xf numFmtId="164" fontId="11" fillId="15" borderId="60" xfId="0" applyNumberFormat="1" applyFont="1" applyFill="1" applyBorder="1" applyAlignment="1">
      <alignment horizontal="center" vertical="center" wrapText="1"/>
    </xf>
    <xf numFmtId="1" fontId="10" fillId="16" borderId="61" xfId="0" applyNumberFormat="1" applyFont="1" applyFill="1" applyBorder="1" applyAlignment="1">
      <alignment horizontal="center" vertical="center"/>
    </xf>
    <xf numFmtId="2" fontId="10" fillId="16" borderId="61" xfId="0" applyNumberFormat="1" applyFont="1" applyFill="1" applyBorder="1" applyAlignment="1">
      <alignment horizontal="center" vertical="center"/>
    </xf>
    <xf numFmtId="176" fontId="10" fillId="16" borderId="61" xfId="0" applyNumberFormat="1" applyFont="1" applyFill="1" applyBorder="1" applyAlignment="1">
      <alignment horizontal="center" vertical="center"/>
    </xf>
    <xf numFmtId="1" fontId="10" fillId="16" borderId="62" xfId="0" applyNumberFormat="1" applyFont="1" applyFill="1" applyBorder="1" applyAlignment="1">
      <alignment horizontal="center" vertical="center"/>
    </xf>
    <xf numFmtId="9" fontId="10" fillId="16" borderId="61" xfId="0" applyNumberFormat="1" applyFont="1" applyFill="1" applyBorder="1" applyAlignment="1">
      <alignment horizontal="center" vertical="center"/>
    </xf>
    <xf numFmtId="0" fontId="10" fillId="16" borderId="61" xfId="0" applyFont="1" applyFill="1" applyBorder="1" applyAlignment="1">
      <alignment horizontal="center" vertical="center"/>
    </xf>
    <xf numFmtId="164" fontId="10" fillId="16" borderId="61" xfId="0" applyNumberFormat="1" applyFont="1" applyFill="1" applyBorder="1" applyAlignment="1">
      <alignment horizontal="center" vertical="center"/>
    </xf>
    <xf numFmtId="0" fontId="10" fillId="16" borderId="61" xfId="0" applyFont="1" applyFill="1" applyBorder="1" applyAlignment="1">
      <alignment vertical="center"/>
    </xf>
    <xf numFmtId="0" fontId="10" fillId="16" borderId="63" xfId="0" applyFont="1" applyFill="1" applyBorder="1" applyAlignment="1">
      <alignment vertical="center"/>
    </xf>
    <xf numFmtId="0" fontId="10" fillId="16" borderId="64" xfId="0" applyFont="1" applyFill="1" applyBorder="1" applyAlignment="1">
      <alignment vertical="center"/>
    </xf>
    <xf numFmtId="0" fontId="12" fillId="17" borderId="65" xfId="0" applyFont="1" applyFill="1" applyBorder="1" applyAlignment="1">
      <alignment horizontal="center" vertical="center" wrapText="1"/>
    </xf>
    <xf numFmtId="1" fontId="12" fillId="17" borderId="65" xfId="0" applyNumberFormat="1" applyFont="1" applyFill="1" applyBorder="1" applyAlignment="1">
      <alignment horizontal="center" vertical="center"/>
    </xf>
    <xf numFmtId="176" fontId="12" fillId="17" borderId="65" xfId="0" applyNumberFormat="1" applyFont="1" applyFill="1" applyBorder="1" applyAlignment="1">
      <alignment horizontal="center" vertical="center"/>
    </xf>
    <xf numFmtId="9" fontId="12" fillId="17" borderId="65" xfId="0" applyNumberFormat="1" applyFont="1" applyFill="1" applyBorder="1" applyAlignment="1">
      <alignment horizontal="center" vertical="center"/>
    </xf>
    <xf numFmtId="164" fontId="12" fillId="17" borderId="65" xfId="0" applyNumberFormat="1" applyFont="1" applyFill="1" applyBorder="1" applyAlignment="1">
      <alignment horizontal="center" vertical="center"/>
    </xf>
    <xf numFmtId="2" fontId="12" fillId="17" borderId="65" xfId="0" applyNumberFormat="1" applyFont="1" applyFill="1" applyBorder="1" applyAlignment="1">
      <alignment horizontal="center" vertical="center"/>
    </xf>
    <xf numFmtId="0" fontId="12" fillId="17" borderId="66" xfId="0" applyFont="1" applyFill="1" applyBorder="1" applyAlignment="1">
      <alignment vertical="center"/>
    </xf>
    <xf numFmtId="0" fontId="12" fillId="17" borderId="67" xfId="0" applyFont="1" applyFill="1" applyBorder="1" applyAlignment="1">
      <alignment vertical="center"/>
    </xf>
    <xf numFmtId="0" fontId="12" fillId="18" borderId="68" xfId="0" applyFont="1" applyFill="1" applyBorder="1" applyAlignment="1">
      <alignment horizontal="center" vertical="center" wrapText="1"/>
    </xf>
    <xf numFmtId="176" fontId="12" fillId="18" borderId="68" xfId="0" applyNumberFormat="1" applyFont="1" applyFill="1" applyBorder="1" applyAlignment="1">
      <alignment horizontal="center" vertical="center" wrapText="1"/>
    </xf>
    <xf numFmtId="9" fontId="12" fillId="18" borderId="68" xfId="0" applyNumberFormat="1" applyFont="1" applyFill="1" applyBorder="1" applyAlignment="1">
      <alignment horizontal="center" vertical="center" wrapText="1"/>
    </xf>
    <xf numFmtId="1" fontId="12" fillId="18" borderId="68" xfId="0" applyNumberFormat="1" applyFont="1" applyFill="1" applyBorder="1" applyAlignment="1">
      <alignment horizontal="center" vertical="center" wrapText="1"/>
    </xf>
    <xf numFmtId="0" fontId="13" fillId="13" borderId="58" xfId="0" applyFont="1" applyFill="1" applyBorder="1" applyAlignment="1">
      <alignment horizontal="left" vertical="center"/>
    </xf>
    <xf numFmtId="0" fontId="8" fillId="13" borderId="70" xfId="0" applyFont="1" applyFill="1" applyBorder="1" applyAlignment="1">
      <alignment horizontal="left" vertical="center"/>
    </xf>
    <xf numFmtId="165" fontId="10" fillId="14" borderId="59" xfId="0" applyNumberFormat="1" applyFont="1" applyFill="1" applyBorder="1" applyAlignment="1">
      <alignment horizontal="center" vertical="center" wrapText="1"/>
    </xf>
    <xf numFmtId="166" fontId="10" fillId="14" borderId="59" xfId="0" applyNumberFormat="1" applyFont="1" applyFill="1" applyBorder="1" applyAlignment="1">
      <alignment horizontal="center" vertical="center" wrapText="1"/>
    </xf>
    <xf numFmtId="9" fontId="10" fillId="14" borderId="59" xfId="0" applyNumberFormat="1" applyFont="1" applyFill="1" applyBorder="1" applyAlignment="1">
      <alignment horizontal="center" vertical="center" wrapText="1"/>
    </xf>
    <xf numFmtId="0" fontId="8" fillId="13" borderId="72" xfId="0" applyFont="1" applyFill="1" applyBorder="1" applyAlignment="1">
      <alignment horizontal="left" vertical="center"/>
    </xf>
    <xf numFmtId="0" fontId="9" fillId="13" borderId="12" xfId="0" applyFont="1" applyFill="1" applyBorder="1" applyAlignment="1">
      <alignment horizontal="left" vertical="center"/>
    </xf>
    <xf numFmtId="0" fontId="12" fillId="17" borderId="65" xfId="0" applyFont="1" applyFill="1" applyBorder="1" applyAlignment="1">
      <alignment horizontal="center" vertical="center"/>
    </xf>
    <xf numFmtId="2" fontId="12" fillId="17" borderId="65" xfId="0" applyNumberFormat="1" applyFont="1" applyFill="1" applyBorder="1" applyAlignment="1">
      <alignment horizontal="center" vertical="center" wrapText="1"/>
    </xf>
    <xf numFmtId="1" fontId="12" fillId="17" borderId="65" xfId="0" applyNumberFormat="1" applyFont="1" applyFill="1" applyBorder="1" applyAlignment="1">
      <alignment horizontal="center" vertical="center" wrapText="1"/>
    </xf>
    <xf numFmtId="0" fontId="10" fillId="16" borderId="61" xfId="0" applyFont="1" applyFill="1" applyBorder="1" applyAlignment="1">
      <alignment horizontal="center" vertical="center" wrapText="1"/>
    </xf>
    <xf numFmtId="1" fontId="10" fillId="16" borderId="61" xfId="0" applyNumberFormat="1" applyFont="1" applyFill="1" applyBorder="1" applyAlignment="1">
      <alignment horizontal="center" vertical="center" wrapText="1"/>
    </xf>
    <xf numFmtId="2" fontId="10" fillId="16" borderId="61" xfId="0" applyNumberFormat="1" applyFont="1" applyFill="1" applyBorder="1" applyAlignment="1">
      <alignment horizontal="center" vertical="center" wrapText="1"/>
    </xf>
    <xf numFmtId="177" fontId="9" fillId="13" borderId="0" xfId="0" applyNumberFormat="1" applyFont="1" applyFill="1" applyAlignment="1">
      <alignment horizontal="left" vertical="center"/>
    </xf>
    <xf numFmtId="0" fontId="5" fillId="13" borderId="0" xfId="0" applyFont="1" applyFill="1" applyAlignment="1">
      <alignment vertical="center"/>
    </xf>
    <xf numFmtId="9" fontId="5" fillId="13" borderId="0" xfId="0" applyNumberFormat="1" applyFont="1" applyFill="1" applyAlignment="1">
      <alignment vertical="center"/>
    </xf>
    <xf numFmtId="164" fontId="10" fillId="14" borderId="59" xfId="0" applyNumberFormat="1" applyFont="1" applyFill="1" applyBorder="1" applyAlignment="1">
      <alignment horizontal="center" vertical="center" wrapText="1"/>
    </xf>
    <xf numFmtId="164" fontId="12" fillId="18" borderId="68" xfId="0" applyNumberFormat="1" applyFont="1" applyFill="1" applyBorder="1" applyAlignment="1">
      <alignment horizontal="center" vertical="center" wrapText="1"/>
    </xf>
    <xf numFmtId="14" fontId="5" fillId="2" borderId="10" xfId="0" applyNumberFormat="1" applyFont="1" applyFill="1" applyBorder="1" applyAlignment="1">
      <alignment horizontal="center" vertical="center" wrapText="1"/>
    </xf>
    <xf numFmtId="14" fontId="5" fillId="6" borderId="10" xfId="0" applyNumberFormat="1" applyFont="1" applyFill="1" applyBorder="1" applyAlignment="1">
      <alignment horizontal="center" vertical="center" wrapText="1"/>
    </xf>
    <xf numFmtId="14" fontId="5" fillId="2" borderId="17" xfId="0" applyNumberFormat="1" applyFont="1" applyFill="1" applyBorder="1" applyAlignment="1">
      <alignment horizontal="center" vertical="center" wrapText="1"/>
    </xf>
    <xf numFmtId="14" fontId="5" fillId="6" borderId="9" xfId="0" applyNumberFormat="1" applyFont="1" applyFill="1" applyBorder="1" applyAlignment="1">
      <alignment horizontal="center" vertical="center" wrapText="1"/>
    </xf>
    <xf numFmtId="14" fontId="5" fillId="6" borderId="48" xfId="0" applyNumberFormat="1" applyFont="1" applyFill="1" applyBorder="1" applyAlignment="1">
      <alignment horizontal="center" vertical="center" wrapText="1"/>
    </xf>
    <xf numFmtId="14" fontId="5" fillId="2" borderId="28" xfId="0" applyNumberFormat="1" applyFont="1" applyFill="1" applyBorder="1" applyAlignment="1">
      <alignment horizontal="center" vertical="center" wrapText="1"/>
    </xf>
    <xf numFmtId="14" fontId="5" fillId="2" borderId="20" xfId="0" applyNumberFormat="1" applyFont="1" applyFill="1" applyBorder="1" applyAlignment="1">
      <alignment horizontal="center" vertical="center" wrapText="1"/>
    </xf>
    <xf numFmtId="14" fontId="5" fillId="2" borderId="12" xfId="0" applyNumberFormat="1" applyFont="1" applyFill="1" applyBorder="1" applyAlignment="1">
      <alignment horizontal="left" vertical="center" wrapText="1"/>
    </xf>
    <xf numFmtId="14" fontId="5" fillId="10" borderId="28" xfId="0" applyNumberFormat="1" applyFont="1" applyFill="1" applyBorder="1" applyAlignment="1">
      <alignment horizontal="center" vertical="center" wrapText="1"/>
    </xf>
    <xf numFmtId="14" fontId="5" fillId="2" borderId="12" xfId="0" applyNumberFormat="1" applyFont="1" applyFill="1" applyBorder="1" applyAlignment="1">
      <alignment horizontal="center" vertical="center" wrapText="1"/>
    </xf>
    <xf numFmtId="14" fontId="5" fillId="2" borderId="27" xfId="0" applyNumberFormat="1" applyFont="1" applyFill="1" applyBorder="1" applyAlignment="1">
      <alignment horizontal="center" vertical="center" wrapText="1"/>
    </xf>
    <xf numFmtId="14" fontId="6" fillId="2" borderId="12" xfId="0" applyNumberFormat="1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vertical="center" wrapText="1"/>
    </xf>
    <xf numFmtId="0" fontId="5" fillId="2" borderId="33" xfId="0" applyFont="1" applyFill="1" applyBorder="1" applyAlignment="1">
      <alignment vertical="center" wrapText="1"/>
    </xf>
    <xf numFmtId="0" fontId="6" fillId="8" borderId="29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14" fontId="11" fillId="15" borderId="60" xfId="0" applyNumberFormat="1" applyFont="1" applyFill="1" applyBorder="1" applyAlignment="1">
      <alignment horizontal="center" vertical="center" wrapText="1"/>
    </xf>
    <xf numFmtId="173" fontId="12" fillId="17" borderId="61" xfId="0" applyNumberFormat="1" applyFont="1" applyFill="1" applyBorder="1" applyAlignment="1">
      <alignment horizontal="center" vertical="center"/>
    </xf>
    <xf numFmtId="0" fontId="12" fillId="17" borderId="68" xfId="0" applyFont="1" applyFill="1" applyBorder="1" applyAlignment="1">
      <alignment horizontal="center" vertical="center" wrapText="1"/>
    </xf>
    <xf numFmtId="0" fontId="14" fillId="17" borderId="12" xfId="0" applyFont="1" applyFill="1" applyBorder="1" applyAlignment="1">
      <alignment vertical="center"/>
    </xf>
    <xf numFmtId="0" fontId="14" fillId="17" borderId="0" xfId="0" applyFont="1" applyFill="1" applyAlignment="1">
      <alignment vertical="center"/>
    </xf>
    <xf numFmtId="2" fontId="14" fillId="17" borderId="0" xfId="0" applyNumberFormat="1" applyFont="1" applyFill="1" applyAlignment="1">
      <alignment vertical="center"/>
    </xf>
    <xf numFmtId="0" fontId="12" fillId="17" borderId="61" xfId="0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center" vertical="center"/>
    </xf>
    <xf numFmtId="0" fontId="14" fillId="17" borderId="7" xfId="0" applyFont="1" applyFill="1" applyBorder="1" applyAlignment="1">
      <alignment vertical="center"/>
    </xf>
    <xf numFmtId="0" fontId="12" fillId="17" borderId="60" xfId="0" applyFont="1" applyFill="1" applyBorder="1" applyAlignment="1">
      <alignment horizontal="center" vertical="center" wrapText="1"/>
    </xf>
    <xf numFmtId="0" fontId="14" fillId="17" borderId="12" xfId="0" applyFont="1" applyFill="1" applyBorder="1" applyAlignment="1">
      <alignment horizontal="left" vertical="center"/>
    </xf>
    <xf numFmtId="0" fontId="16" fillId="19" borderId="0" xfId="0" applyFont="1" applyFill="1"/>
    <xf numFmtId="0" fontId="10" fillId="20" borderId="59" xfId="0" applyFont="1" applyFill="1" applyBorder="1" applyAlignment="1">
      <alignment horizontal="center" vertical="center" wrapText="1"/>
    </xf>
    <xf numFmtId="0" fontId="16" fillId="21" borderId="74" xfId="0" applyFont="1" applyFill="1" applyBorder="1"/>
    <xf numFmtId="0" fontId="5" fillId="0" borderId="73" xfId="0" applyFont="1" applyBorder="1"/>
    <xf numFmtId="185" fontId="5" fillId="0" borderId="73" xfId="0" applyNumberFormat="1" applyFont="1" applyBorder="1"/>
    <xf numFmtId="176" fontId="5" fillId="0" borderId="73" xfId="0" applyNumberFormat="1" applyFont="1" applyBorder="1"/>
    <xf numFmtId="185" fontId="16" fillId="19" borderId="0" xfId="0" applyNumberFormat="1" applyFont="1" applyFill="1"/>
    <xf numFmtId="0" fontId="19" fillId="0" borderId="0" xfId="0" applyFont="1"/>
    <xf numFmtId="0" fontId="15" fillId="0" borderId="5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19" borderId="0" xfId="0" applyFont="1" applyFill="1" applyAlignment="1">
      <alignment horizontal="center" vertical="center"/>
    </xf>
    <xf numFmtId="186" fontId="12" fillId="21" borderId="0" xfId="0" applyNumberFormat="1" applyFont="1" applyFill="1" applyAlignment="1">
      <alignment horizontal="center" vertical="center"/>
    </xf>
    <xf numFmtId="0" fontId="10" fillId="20" borderId="75" xfId="0" applyFont="1" applyFill="1" applyBorder="1" applyAlignment="1">
      <alignment horizontal="center" vertical="center"/>
    </xf>
    <xf numFmtId="0" fontId="10" fillId="20" borderId="76" xfId="0" applyFont="1" applyFill="1" applyBorder="1" applyAlignment="1">
      <alignment horizontal="center" vertical="center"/>
    </xf>
    <xf numFmtId="0" fontId="10" fillId="20" borderId="77" xfId="0" applyFont="1" applyFill="1" applyBorder="1" applyAlignment="1">
      <alignment horizontal="center" vertical="center"/>
    </xf>
    <xf numFmtId="187" fontId="15" fillId="22" borderId="78" xfId="0" applyNumberFormat="1" applyFont="1" applyFill="1" applyBorder="1" applyAlignment="1">
      <alignment horizontal="center" vertical="center"/>
    </xf>
    <xf numFmtId="187" fontId="15" fillId="22" borderId="79" xfId="0" applyNumberFormat="1" applyFont="1" applyFill="1" applyBorder="1" applyAlignment="1">
      <alignment horizontal="center" vertical="center"/>
    </xf>
    <xf numFmtId="187" fontId="15" fillId="22" borderId="80" xfId="0" applyNumberFormat="1" applyFont="1" applyFill="1" applyBorder="1" applyAlignment="1">
      <alignment horizontal="center" vertical="center"/>
    </xf>
    <xf numFmtId="187" fontId="15" fillId="22" borderId="81" xfId="0" applyNumberFormat="1" applyFont="1" applyFill="1" applyBorder="1" applyAlignment="1">
      <alignment horizontal="center" vertical="center"/>
    </xf>
    <xf numFmtId="187" fontId="15" fillId="22" borderId="0" xfId="0" applyNumberFormat="1" applyFont="1" applyFill="1" applyAlignment="1">
      <alignment horizontal="center" vertical="center"/>
    </xf>
    <xf numFmtId="187" fontId="15" fillId="22" borderId="82" xfId="0" applyNumberFormat="1" applyFont="1" applyFill="1" applyBorder="1" applyAlignment="1">
      <alignment horizontal="center" vertical="center"/>
    </xf>
    <xf numFmtId="187" fontId="15" fillId="22" borderId="83" xfId="0" applyNumberFormat="1" applyFont="1" applyFill="1" applyBorder="1" applyAlignment="1">
      <alignment horizontal="center" vertical="center"/>
    </xf>
    <xf numFmtId="187" fontId="15" fillId="22" borderId="84" xfId="0" applyNumberFormat="1" applyFont="1" applyFill="1" applyBorder="1" applyAlignment="1">
      <alignment horizontal="center" vertical="center"/>
    </xf>
    <xf numFmtId="187" fontId="15" fillId="22" borderId="85" xfId="0" applyNumberFormat="1" applyFont="1" applyFill="1" applyBorder="1" applyAlignment="1">
      <alignment horizontal="center" vertical="center"/>
    </xf>
    <xf numFmtId="188" fontId="15" fillId="22" borderId="78" xfId="0" applyNumberFormat="1" applyFont="1" applyFill="1" applyBorder="1" applyAlignment="1">
      <alignment horizontal="center" vertical="center"/>
    </xf>
    <xf numFmtId="188" fontId="15" fillId="22" borderId="79" xfId="0" applyNumberFormat="1" applyFont="1" applyFill="1" applyBorder="1" applyAlignment="1">
      <alignment horizontal="center" vertical="center"/>
    </xf>
    <xf numFmtId="188" fontId="15" fillId="22" borderId="80" xfId="0" applyNumberFormat="1" applyFont="1" applyFill="1" applyBorder="1" applyAlignment="1">
      <alignment horizontal="center" vertical="center"/>
    </xf>
    <xf numFmtId="188" fontId="15" fillId="22" borderId="81" xfId="0" applyNumberFormat="1" applyFont="1" applyFill="1" applyBorder="1" applyAlignment="1">
      <alignment horizontal="center" vertical="center"/>
    </xf>
    <xf numFmtId="188" fontId="15" fillId="22" borderId="0" xfId="0" applyNumberFormat="1" applyFont="1" applyFill="1" applyAlignment="1">
      <alignment horizontal="center" vertical="center"/>
    </xf>
    <xf numFmtId="188" fontId="15" fillId="22" borderId="82" xfId="0" applyNumberFormat="1" applyFont="1" applyFill="1" applyBorder="1" applyAlignment="1">
      <alignment horizontal="center" vertical="center"/>
    </xf>
    <xf numFmtId="188" fontId="15" fillId="22" borderId="83" xfId="0" applyNumberFormat="1" applyFont="1" applyFill="1" applyBorder="1" applyAlignment="1">
      <alignment horizontal="center" vertical="center"/>
    </xf>
    <xf numFmtId="188" fontId="15" fillId="22" borderId="84" xfId="0" applyNumberFormat="1" applyFont="1" applyFill="1" applyBorder="1" applyAlignment="1">
      <alignment horizontal="center" vertical="center"/>
    </xf>
    <xf numFmtId="188" fontId="15" fillId="22" borderId="85" xfId="0" applyNumberFormat="1" applyFont="1" applyFill="1" applyBorder="1" applyAlignment="1">
      <alignment horizontal="center" vertical="center"/>
    </xf>
    <xf numFmtId="189" fontId="15" fillId="22" borderId="78" xfId="0" applyNumberFormat="1" applyFont="1" applyFill="1" applyBorder="1" applyAlignment="1">
      <alignment horizontal="center" vertical="center"/>
    </xf>
    <xf numFmtId="189" fontId="15" fillId="22" borderId="79" xfId="0" applyNumberFormat="1" applyFont="1" applyFill="1" applyBorder="1" applyAlignment="1">
      <alignment horizontal="center" vertical="center"/>
    </xf>
    <xf numFmtId="189" fontId="15" fillId="22" borderId="80" xfId="0" applyNumberFormat="1" applyFont="1" applyFill="1" applyBorder="1" applyAlignment="1">
      <alignment horizontal="center" vertical="center"/>
    </xf>
    <xf numFmtId="189" fontId="15" fillId="22" borderId="81" xfId="0" applyNumberFormat="1" applyFont="1" applyFill="1" applyBorder="1" applyAlignment="1">
      <alignment horizontal="center" vertical="center"/>
    </xf>
    <xf numFmtId="189" fontId="15" fillId="22" borderId="0" xfId="0" applyNumberFormat="1" applyFont="1" applyFill="1" applyAlignment="1">
      <alignment horizontal="center" vertical="center"/>
    </xf>
    <xf numFmtId="189" fontId="15" fillId="22" borderId="82" xfId="0" applyNumberFormat="1" applyFont="1" applyFill="1" applyBorder="1" applyAlignment="1">
      <alignment horizontal="center" vertical="center"/>
    </xf>
    <xf numFmtId="189" fontId="15" fillId="22" borderId="83" xfId="0" applyNumberFormat="1" applyFont="1" applyFill="1" applyBorder="1" applyAlignment="1">
      <alignment horizontal="center" vertical="center"/>
    </xf>
    <xf numFmtId="189" fontId="15" fillId="22" borderId="84" xfId="0" applyNumberFormat="1" applyFont="1" applyFill="1" applyBorder="1" applyAlignment="1">
      <alignment horizontal="center" vertical="center"/>
    </xf>
    <xf numFmtId="189" fontId="15" fillId="22" borderId="85" xfId="0" applyNumberFormat="1" applyFont="1" applyFill="1" applyBorder="1" applyAlignment="1">
      <alignment horizontal="center" vertical="center"/>
    </xf>
    <xf numFmtId="190" fontId="15" fillId="22" borderId="78" xfId="0" applyNumberFormat="1" applyFont="1" applyFill="1" applyBorder="1" applyAlignment="1">
      <alignment horizontal="center" vertical="center"/>
    </xf>
    <xf numFmtId="190" fontId="15" fillId="22" borderId="79" xfId="0" applyNumberFormat="1" applyFont="1" applyFill="1" applyBorder="1" applyAlignment="1">
      <alignment horizontal="center" vertical="center"/>
    </xf>
    <xf numFmtId="190" fontId="15" fillId="22" borderId="80" xfId="0" applyNumberFormat="1" applyFont="1" applyFill="1" applyBorder="1" applyAlignment="1">
      <alignment horizontal="center" vertical="center"/>
    </xf>
    <xf numFmtId="190" fontId="15" fillId="22" borderId="81" xfId="0" applyNumberFormat="1" applyFont="1" applyFill="1" applyBorder="1" applyAlignment="1">
      <alignment horizontal="center" vertical="center"/>
    </xf>
    <xf numFmtId="190" fontId="15" fillId="22" borderId="0" xfId="0" applyNumberFormat="1" applyFont="1" applyFill="1" applyAlignment="1">
      <alignment horizontal="center" vertical="center"/>
    </xf>
    <xf numFmtId="190" fontId="15" fillId="22" borderId="82" xfId="0" applyNumberFormat="1" applyFont="1" applyFill="1" applyBorder="1" applyAlignment="1">
      <alignment horizontal="center" vertical="center"/>
    </xf>
    <xf numFmtId="190" fontId="15" fillId="22" borderId="83" xfId="0" applyNumberFormat="1" applyFont="1" applyFill="1" applyBorder="1" applyAlignment="1">
      <alignment horizontal="center" vertical="center"/>
    </xf>
    <xf numFmtId="190" fontId="15" fillId="22" borderId="84" xfId="0" applyNumberFormat="1" applyFont="1" applyFill="1" applyBorder="1" applyAlignment="1">
      <alignment horizontal="center" vertical="center"/>
    </xf>
    <xf numFmtId="190" fontId="15" fillId="22" borderId="85" xfId="0" applyNumberFormat="1" applyFont="1" applyFill="1" applyBorder="1" applyAlignment="1">
      <alignment horizontal="center" vertical="center"/>
    </xf>
    <xf numFmtId="191" fontId="15" fillId="22" borderId="78" xfId="0" applyNumberFormat="1" applyFont="1" applyFill="1" applyBorder="1" applyAlignment="1">
      <alignment horizontal="center" vertical="center"/>
    </xf>
    <xf numFmtId="191" fontId="15" fillId="22" borderId="79" xfId="0" applyNumberFormat="1" applyFont="1" applyFill="1" applyBorder="1" applyAlignment="1">
      <alignment horizontal="center" vertical="center"/>
    </xf>
    <xf numFmtId="191" fontId="15" fillId="22" borderId="80" xfId="0" applyNumberFormat="1" applyFont="1" applyFill="1" applyBorder="1" applyAlignment="1">
      <alignment horizontal="center" vertical="center"/>
    </xf>
    <xf numFmtId="191" fontId="15" fillId="22" borderId="81" xfId="0" applyNumberFormat="1" applyFont="1" applyFill="1" applyBorder="1" applyAlignment="1">
      <alignment horizontal="center" vertical="center"/>
    </xf>
    <xf numFmtId="191" fontId="15" fillId="22" borderId="0" xfId="0" applyNumberFormat="1" applyFont="1" applyFill="1" applyAlignment="1">
      <alignment horizontal="center" vertical="center"/>
    </xf>
    <xf numFmtId="191" fontId="15" fillId="22" borderId="82" xfId="0" applyNumberFormat="1" applyFont="1" applyFill="1" applyBorder="1" applyAlignment="1">
      <alignment horizontal="center" vertical="center"/>
    </xf>
    <xf numFmtId="191" fontId="15" fillId="22" borderId="83" xfId="0" applyNumberFormat="1" applyFont="1" applyFill="1" applyBorder="1" applyAlignment="1">
      <alignment horizontal="center" vertical="center"/>
    </xf>
    <xf numFmtId="191" fontId="15" fillId="22" borderId="84" xfId="0" applyNumberFormat="1" applyFont="1" applyFill="1" applyBorder="1" applyAlignment="1">
      <alignment horizontal="center" vertical="center"/>
    </xf>
    <xf numFmtId="191" fontId="15" fillId="22" borderId="85" xfId="0" applyNumberFormat="1" applyFont="1" applyFill="1" applyBorder="1" applyAlignment="1">
      <alignment horizontal="center" vertical="center"/>
    </xf>
    <xf numFmtId="175" fontId="15" fillId="22" borderId="78" xfId="0" applyNumberFormat="1" applyFont="1" applyFill="1" applyBorder="1" applyAlignment="1">
      <alignment horizontal="center" vertical="center"/>
    </xf>
    <xf numFmtId="175" fontId="15" fillId="22" borderId="79" xfId="0" applyNumberFormat="1" applyFont="1" applyFill="1" applyBorder="1" applyAlignment="1">
      <alignment horizontal="center" vertical="center"/>
    </xf>
    <xf numFmtId="175" fontId="15" fillId="22" borderId="80" xfId="0" applyNumberFormat="1" applyFont="1" applyFill="1" applyBorder="1" applyAlignment="1">
      <alignment horizontal="center" vertical="center"/>
    </xf>
    <xf numFmtId="175" fontId="15" fillId="22" borderId="81" xfId="0" applyNumberFormat="1" applyFont="1" applyFill="1" applyBorder="1" applyAlignment="1">
      <alignment horizontal="center" vertical="center"/>
    </xf>
    <xf numFmtId="175" fontId="15" fillId="22" borderId="0" xfId="0" applyNumberFormat="1" applyFont="1" applyFill="1" applyAlignment="1">
      <alignment horizontal="center" vertical="center"/>
    </xf>
    <xf numFmtId="175" fontId="15" fillId="22" borderId="82" xfId="0" applyNumberFormat="1" applyFont="1" applyFill="1" applyBorder="1" applyAlignment="1">
      <alignment horizontal="center" vertical="center"/>
    </xf>
    <xf numFmtId="175" fontId="15" fillId="22" borderId="83" xfId="0" applyNumberFormat="1" applyFont="1" applyFill="1" applyBorder="1" applyAlignment="1">
      <alignment horizontal="center" vertical="center"/>
    </xf>
    <xf numFmtId="175" fontId="15" fillId="22" borderId="84" xfId="0" applyNumberFormat="1" applyFont="1" applyFill="1" applyBorder="1" applyAlignment="1">
      <alignment horizontal="center" vertical="center"/>
    </xf>
    <xf numFmtId="175" fontId="15" fillId="22" borderId="85" xfId="0" applyNumberFormat="1" applyFont="1" applyFill="1" applyBorder="1" applyAlignment="1">
      <alignment horizontal="center" vertical="center"/>
    </xf>
    <xf numFmtId="192" fontId="15" fillId="22" borderId="78" xfId="0" applyNumberFormat="1" applyFont="1" applyFill="1" applyBorder="1" applyAlignment="1">
      <alignment horizontal="center" vertical="center"/>
    </xf>
    <xf numFmtId="192" fontId="15" fillId="22" borderId="79" xfId="0" applyNumberFormat="1" applyFont="1" applyFill="1" applyBorder="1" applyAlignment="1">
      <alignment horizontal="center" vertical="center"/>
    </xf>
    <xf numFmtId="192" fontId="15" fillId="22" borderId="80" xfId="0" applyNumberFormat="1" applyFont="1" applyFill="1" applyBorder="1" applyAlignment="1">
      <alignment horizontal="center" vertical="center"/>
    </xf>
    <xf numFmtId="192" fontId="15" fillId="22" borderId="81" xfId="0" applyNumberFormat="1" applyFont="1" applyFill="1" applyBorder="1" applyAlignment="1">
      <alignment horizontal="center" vertical="center"/>
    </xf>
    <xf numFmtId="192" fontId="15" fillId="22" borderId="0" xfId="0" applyNumberFormat="1" applyFont="1" applyFill="1" applyAlignment="1">
      <alignment horizontal="center" vertical="center"/>
    </xf>
    <xf numFmtId="192" fontId="15" fillId="22" borderId="82" xfId="0" applyNumberFormat="1" applyFont="1" applyFill="1" applyBorder="1" applyAlignment="1">
      <alignment horizontal="center" vertical="center"/>
    </xf>
    <xf numFmtId="192" fontId="15" fillId="22" borderId="83" xfId="0" applyNumberFormat="1" applyFont="1" applyFill="1" applyBorder="1" applyAlignment="1">
      <alignment horizontal="center" vertical="center"/>
    </xf>
    <xf numFmtId="192" fontId="15" fillId="22" borderId="84" xfId="0" applyNumberFormat="1" applyFont="1" applyFill="1" applyBorder="1" applyAlignment="1">
      <alignment horizontal="center" vertical="center"/>
    </xf>
    <xf numFmtId="192" fontId="15" fillId="22" borderId="85" xfId="0" applyNumberFormat="1" applyFont="1" applyFill="1" applyBorder="1" applyAlignment="1">
      <alignment horizontal="center" vertical="center"/>
    </xf>
    <xf numFmtId="0" fontId="17" fillId="20" borderId="0" xfId="0" applyFont="1" applyFill="1" applyAlignment="1">
      <alignment horizontal="left" vertical="center"/>
    </xf>
    <xf numFmtId="0" fontId="18" fillId="23" borderId="86" xfId="0" applyFont="1" applyFill="1" applyBorder="1" applyAlignment="1">
      <alignment horizontal="left" vertical="center" wrapText="1"/>
    </xf>
    <xf numFmtId="0" fontId="18" fillId="23" borderId="87" xfId="0" applyFont="1" applyFill="1" applyBorder="1" applyAlignment="1">
      <alignment horizontal="left" vertical="center" wrapText="1"/>
    </xf>
    <xf numFmtId="0" fontId="18" fillId="23" borderId="88" xfId="0" applyFont="1" applyFill="1" applyBorder="1" applyAlignment="1">
      <alignment horizontal="left" vertical="center" wrapText="1"/>
    </xf>
    <xf numFmtId="0" fontId="18" fillId="23" borderId="89" xfId="0" applyFont="1" applyFill="1" applyBorder="1" applyAlignment="1">
      <alignment horizontal="left" vertical="center" wrapText="1"/>
    </xf>
    <xf numFmtId="0" fontId="18" fillId="23" borderId="0" xfId="0" applyFont="1" applyFill="1" applyAlignment="1">
      <alignment horizontal="left" vertical="center" wrapText="1"/>
    </xf>
    <xf numFmtId="0" fontId="18" fillId="23" borderId="90" xfId="0" applyFont="1" applyFill="1" applyBorder="1" applyAlignment="1">
      <alignment horizontal="left" vertical="center" wrapText="1"/>
    </xf>
    <xf numFmtId="0" fontId="18" fillId="23" borderId="91" xfId="0" applyFont="1" applyFill="1" applyBorder="1" applyAlignment="1">
      <alignment horizontal="left" vertical="center" wrapText="1"/>
    </xf>
    <xf numFmtId="0" fontId="18" fillId="23" borderId="92" xfId="0" applyFont="1" applyFill="1" applyBorder="1" applyAlignment="1">
      <alignment horizontal="left" vertical="center" wrapText="1"/>
    </xf>
    <xf numFmtId="0" fontId="18" fillId="23" borderId="93" xfId="0" applyFont="1" applyFill="1" applyBorder="1" applyAlignment="1">
      <alignment horizontal="left" vertical="center" wrapText="1"/>
    </xf>
    <xf numFmtId="0" fontId="16" fillId="19" borderId="0" xfId="0" applyFont="1" applyFill="1" applyAlignment="1">
      <alignment horizontal="left" vertical="center"/>
    </xf>
    <xf numFmtId="0" fontId="12" fillId="18" borderId="68" xfId="0" applyFont="1" applyFill="1" applyBorder="1" applyAlignment="1">
      <alignment horizontal="center" vertical="center" wrapText="1"/>
    </xf>
    <xf numFmtId="0" fontId="10" fillId="14" borderId="59" xfId="0" applyFont="1" applyFill="1" applyBorder="1" applyAlignment="1">
      <alignment horizontal="center" vertical="center" wrapText="1"/>
    </xf>
    <xf numFmtId="0" fontId="8" fillId="13" borderId="58" xfId="0" applyFont="1" applyFill="1" applyBorder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11" fillId="15" borderId="60" xfId="0" applyFont="1" applyFill="1" applyBorder="1" applyAlignment="1">
      <alignment horizontal="center" vertical="center" wrapText="1"/>
    </xf>
    <xf numFmtId="1" fontId="10" fillId="14" borderId="59" xfId="0" applyNumberFormat="1" applyFont="1" applyFill="1" applyBorder="1" applyAlignment="1">
      <alignment horizontal="center" vertical="center" wrapText="1"/>
    </xf>
    <xf numFmtId="1" fontId="11" fillId="15" borderId="60" xfId="0" applyNumberFormat="1" applyFont="1" applyFill="1" applyBorder="1" applyAlignment="1">
      <alignment horizontal="center" vertical="center" wrapText="1"/>
    </xf>
    <xf numFmtId="0" fontId="13" fillId="13" borderId="58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0" fontId="8" fillId="13" borderId="69" xfId="0" applyFont="1" applyFill="1" applyBorder="1" applyAlignment="1">
      <alignment horizontal="left" vertical="center"/>
    </xf>
    <xf numFmtId="0" fontId="8" fillId="13" borderId="70" xfId="0" applyFont="1" applyFill="1" applyBorder="1" applyAlignment="1">
      <alignment horizontal="left" vertical="center"/>
    </xf>
    <xf numFmtId="0" fontId="8" fillId="13" borderId="7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14" fontId="5" fillId="7" borderId="4" xfId="0" applyNumberFormat="1" applyFont="1" applyFill="1" applyBorder="1" applyAlignment="1">
      <alignment horizontal="center" vertical="center"/>
    </xf>
    <xf numFmtId="14" fontId="5" fillId="7" borderId="13" xfId="0" applyNumberFormat="1" applyFont="1" applyFill="1" applyBorder="1" applyAlignment="1">
      <alignment horizontal="center" vertical="center"/>
    </xf>
    <xf numFmtId="14" fontId="5" fillId="7" borderId="14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center" vertical="center"/>
    </xf>
    <xf numFmtId="165" fontId="5" fillId="7" borderId="15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165" fontId="5" fillId="2" borderId="15" xfId="0" applyNumberFormat="1" applyFont="1" applyFill="1" applyBorder="1" applyAlignment="1">
      <alignment horizontal="center" vertical="center"/>
    </xf>
    <xf numFmtId="165" fontId="5" fillId="2" borderId="21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4" fontId="6" fillId="4" borderId="18" xfId="0" applyNumberFormat="1" applyFont="1" applyFill="1" applyBorder="1" applyAlignment="1">
      <alignment horizontal="center" vertical="center"/>
    </xf>
    <xf numFmtId="14" fontId="6" fillId="4" borderId="19" xfId="0" applyNumberFormat="1" applyFont="1" applyFill="1" applyBorder="1" applyAlignment="1">
      <alignment horizontal="center" vertical="center"/>
    </xf>
    <xf numFmtId="0" fontId="14" fillId="17" borderId="24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9" fillId="13" borderId="34" xfId="0" applyFont="1" applyFill="1" applyBorder="1" applyAlignment="1">
      <alignment horizontal="left" vertical="center"/>
    </xf>
    <xf numFmtId="0" fontId="9" fillId="13" borderId="45" xfId="0" applyFont="1" applyFill="1" applyBorder="1" applyAlignment="1">
      <alignment horizontal="left" vertical="center"/>
    </xf>
    <xf numFmtId="0" fontId="9" fillId="13" borderId="46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4" borderId="57" xfId="0" applyFont="1" applyFill="1" applyBorder="1" applyAlignment="1">
      <alignment horizontal="center"/>
    </xf>
    <xf numFmtId="17" fontId="6" fillId="13" borderId="34" xfId="0" applyNumberFormat="1" applyFont="1" applyFill="1" applyBorder="1" applyAlignment="1">
      <alignment horizontal="center" vertical="center"/>
    </xf>
    <xf numFmtId="17" fontId="6" fillId="13" borderId="45" xfId="0" applyNumberFormat="1" applyFont="1" applyFill="1" applyBorder="1" applyAlignment="1">
      <alignment horizontal="center" vertical="center"/>
    </xf>
    <xf numFmtId="17" fontId="6" fillId="13" borderId="46" xfId="0" applyNumberFormat="1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14" fontId="5" fillId="2" borderId="18" xfId="0" applyNumberFormat="1" applyFont="1" applyFill="1" applyBorder="1" applyAlignment="1">
      <alignment horizontal="center" vertical="center"/>
    </xf>
    <xf numFmtId="14" fontId="5" fillId="2" borderId="19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15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1" fontId="5" fillId="2" borderId="23" xfId="0" applyNumberFormat="1" applyFont="1" applyFill="1" applyBorder="1" applyAlignment="1">
      <alignment horizontal="center" vertical="center"/>
    </xf>
    <xf numFmtId="1" fontId="5" fillId="2" borderId="25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5" fillId="2" borderId="44" xfId="0" applyNumberFormat="1" applyFont="1" applyFill="1" applyBorder="1" applyAlignment="1">
      <alignment horizontal="center" vertical="center"/>
    </xf>
    <xf numFmtId="1" fontId="5" fillId="2" borderId="21" xfId="0" applyNumberFormat="1" applyFont="1" applyFill="1" applyBorder="1" applyAlignment="1">
      <alignment horizontal="center" vertical="center"/>
    </xf>
    <xf numFmtId="1" fontId="5" fillId="2" borderId="28" xfId="0" applyNumberFormat="1" applyFont="1" applyFill="1" applyBorder="1" applyAlignment="1">
      <alignment horizontal="center" vertical="center"/>
    </xf>
    <xf numFmtId="1" fontId="5" fillId="2" borderId="42" xfId="0" applyNumberFormat="1" applyFont="1" applyFill="1" applyBorder="1" applyAlignment="1">
      <alignment horizontal="center" vertical="center"/>
    </xf>
    <xf numFmtId="1" fontId="5" fillId="2" borderId="30" xfId="0" applyNumberFormat="1" applyFont="1" applyFill="1" applyBorder="1" applyAlignment="1">
      <alignment horizontal="center" vertical="center"/>
    </xf>
    <xf numFmtId="176" fontId="5" fillId="2" borderId="23" xfId="0" applyNumberFormat="1" applyFont="1" applyFill="1" applyBorder="1" applyAlignment="1">
      <alignment horizontal="center" vertical="center"/>
    </xf>
    <xf numFmtId="176" fontId="5" fillId="2" borderId="25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5" fillId="2" borderId="44" xfId="0" applyNumberFormat="1" applyFont="1" applyFill="1" applyBorder="1" applyAlignment="1">
      <alignment horizontal="center" vertical="center"/>
    </xf>
    <xf numFmtId="174" fontId="5" fillId="2" borderId="11" xfId="0" applyNumberFormat="1" applyFont="1" applyFill="1" applyBorder="1" applyAlignment="1">
      <alignment horizontal="center" vertical="center"/>
    </xf>
    <xf numFmtId="174" fontId="5" fillId="2" borderId="44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2" fontId="5" fillId="2" borderId="15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14" fontId="5" fillId="6" borderId="4" xfId="0" applyNumberFormat="1" applyFont="1" applyFill="1" applyBorder="1" applyAlignment="1">
      <alignment horizontal="center" vertical="center"/>
    </xf>
    <xf numFmtId="14" fontId="5" fillId="6" borderId="13" xfId="0" applyNumberFormat="1" applyFont="1" applyFill="1" applyBorder="1" applyAlignment="1">
      <alignment horizontal="center" vertical="center"/>
    </xf>
    <xf numFmtId="14" fontId="5" fillId="6" borderId="14" xfId="0" applyNumberFormat="1" applyFont="1" applyFill="1" applyBorder="1" applyAlignment="1">
      <alignment horizontal="center" vertical="center"/>
    </xf>
    <xf numFmtId="1" fontId="5" fillId="6" borderId="21" xfId="0" applyNumberFormat="1" applyFont="1" applyFill="1" applyBorder="1" applyAlignment="1">
      <alignment horizontal="center" vertical="center"/>
    </xf>
    <xf numFmtId="1" fontId="5" fillId="6" borderId="15" xfId="0" applyNumberFormat="1" applyFont="1" applyFill="1" applyBorder="1" applyAlignment="1">
      <alignment horizontal="center" vertical="center"/>
    </xf>
    <xf numFmtId="1" fontId="5" fillId="2" borderId="20" xfId="0" applyNumberFormat="1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left" vertical="center" wrapText="1"/>
    </xf>
    <xf numFmtId="14" fontId="5" fillId="2" borderId="21" xfId="0" applyNumberFormat="1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center" vertical="center"/>
    </xf>
    <xf numFmtId="14" fontId="5" fillId="6" borderId="12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 vertical="center"/>
    </xf>
    <xf numFmtId="1" fontId="5" fillId="6" borderId="14" xfId="0" applyNumberFormat="1" applyFont="1" applyFill="1" applyBorder="1" applyAlignment="1">
      <alignment horizontal="center" vertical="center"/>
    </xf>
    <xf numFmtId="14" fontId="5" fillId="2" borderId="31" xfId="0" applyNumberFormat="1" applyFont="1" applyFill="1" applyBorder="1" applyAlignment="1">
      <alignment horizontal="center" vertical="center"/>
    </xf>
    <xf numFmtId="14" fontId="5" fillId="2" borderId="3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vertical="center" wrapText="1"/>
    </xf>
    <xf numFmtId="14" fontId="5" fillId="2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14" fontId="5" fillId="2" borderId="20" xfId="0" applyNumberFormat="1" applyFont="1" applyFill="1" applyBorder="1" applyAlignment="1">
      <alignment horizontal="center" vertical="center"/>
    </xf>
    <xf numFmtId="14" fontId="5" fillId="2" borderId="21" xfId="0" applyNumberFormat="1" applyFont="1" applyFill="1" applyBorder="1" applyAlignment="1">
      <alignment horizontal="center" vertical="center"/>
    </xf>
    <xf numFmtId="14" fontId="5" fillId="2" borderId="47" xfId="0" applyNumberFormat="1" applyFont="1" applyFill="1" applyBorder="1" applyAlignment="1">
      <alignment horizontal="center" vertical="center"/>
    </xf>
    <xf numFmtId="14" fontId="5" fillId="2" borderId="50" xfId="0" applyNumberFormat="1" applyFont="1" applyFill="1" applyBorder="1" applyAlignment="1">
      <alignment horizontal="center" vertical="center"/>
    </xf>
    <xf numFmtId="14" fontId="5" fillId="2" borderId="24" xfId="0" applyNumberFormat="1" applyFont="1" applyFill="1" applyBorder="1" applyAlignment="1">
      <alignment horizontal="center" vertical="center"/>
    </xf>
    <xf numFmtId="14" fontId="5" fillId="2" borderId="28" xfId="0" applyNumberFormat="1" applyFont="1" applyFill="1" applyBorder="1" applyAlignment="1">
      <alignment horizontal="center" vertical="center"/>
    </xf>
    <xf numFmtId="20" fontId="10" fillId="14" borderId="59" xfId="0" applyNumberFormat="1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0" fillId="20" borderId="94" xfId="0" applyFont="1" applyFill="1" applyBorder="1" applyAlignment="1">
      <alignment horizontal="center" vertical="center" wrapText="1"/>
    </xf>
    <xf numFmtId="0" fontId="16" fillId="21" borderId="0" xfId="0" applyFont="1" applyFill="1" applyBorder="1"/>
    <xf numFmtId="0" fontId="10" fillId="20" borderId="97" xfId="0" applyFont="1" applyFill="1" applyBorder="1" applyAlignment="1">
      <alignment horizontal="center" vertical="center" wrapText="1"/>
    </xf>
    <xf numFmtId="174" fontId="5" fillId="0" borderId="98" xfId="0" applyNumberFormat="1" applyFont="1" applyBorder="1" applyAlignment="1">
      <alignment vertical="center"/>
    </xf>
    <xf numFmtId="174" fontId="5" fillId="24" borderId="99" xfId="0" applyNumberFormat="1" applyFont="1" applyFill="1" applyBorder="1" applyAlignment="1">
      <alignment vertical="center"/>
    </xf>
    <xf numFmtId="174" fontId="5" fillId="0" borderId="99" xfId="0" applyNumberFormat="1" applyFont="1" applyBorder="1" applyAlignment="1">
      <alignment vertical="center"/>
    </xf>
    <xf numFmtId="174" fontId="5" fillId="0" borderId="100" xfId="0" applyNumberFormat="1" applyFont="1" applyBorder="1" applyAlignment="1">
      <alignment vertical="center"/>
    </xf>
    <xf numFmtId="184" fontId="5" fillId="0" borderId="95" xfId="0" applyNumberFormat="1" applyFont="1" applyBorder="1" applyAlignment="1">
      <alignment horizontal="center" vertical="center"/>
    </xf>
    <xf numFmtId="184" fontId="5" fillId="0" borderId="96" xfId="0" applyNumberFormat="1" applyFont="1" applyBorder="1" applyAlignment="1">
      <alignment horizontal="center" vertical="center"/>
    </xf>
    <xf numFmtId="185" fontId="5" fillId="0" borderId="98" xfId="0" applyNumberFormat="1" applyFont="1" applyBorder="1" applyAlignment="1">
      <alignment vertical="center"/>
    </xf>
    <xf numFmtId="185" fontId="5" fillId="24" borderId="99" xfId="0" applyNumberFormat="1" applyFont="1" applyFill="1" applyBorder="1" applyAlignment="1">
      <alignment vertical="center"/>
    </xf>
    <xf numFmtId="185" fontId="5" fillId="0" borderId="99" xfId="0" applyNumberFormat="1" applyFont="1" applyBorder="1" applyAlignment="1">
      <alignment vertical="center"/>
    </xf>
    <xf numFmtId="185" fontId="5" fillId="0" borderId="100" xfId="0" applyNumberFormat="1" applyFont="1" applyBorder="1" applyAlignment="1">
      <alignment vertical="center"/>
    </xf>
    <xf numFmtId="2" fontId="5" fillId="0" borderId="98" xfId="0" applyNumberFormat="1" applyFont="1" applyBorder="1" applyAlignment="1">
      <alignment vertical="center"/>
    </xf>
    <xf numFmtId="2" fontId="5" fillId="24" borderId="99" xfId="0" applyNumberFormat="1" applyFont="1" applyFill="1" applyBorder="1" applyAlignment="1">
      <alignment vertical="center"/>
    </xf>
    <xf numFmtId="2" fontId="5" fillId="0" borderId="99" xfId="0" applyNumberFormat="1" applyFont="1" applyBorder="1" applyAlignment="1">
      <alignment vertical="center"/>
    </xf>
    <xf numFmtId="2" fontId="5" fillId="0" borderId="100" xfId="0" applyNumberFormat="1" applyFont="1" applyBorder="1" applyAlignment="1">
      <alignment vertical="center"/>
    </xf>
    <xf numFmtId="175" fontId="5" fillId="0" borderId="98" xfId="0" applyNumberFormat="1" applyFont="1" applyBorder="1" applyAlignment="1">
      <alignment vertical="center"/>
    </xf>
    <xf numFmtId="175" fontId="5" fillId="24" borderId="99" xfId="0" applyNumberFormat="1" applyFont="1" applyFill="1" applyBorder="1" applyAlignment="1">
      <alignment vertical="center"/>
    </xf>
    <xf numFmtId="175" fontId="5" fillId="0" borderId="99" xfId="0" applyNumberFormat="1" applyFont="1" applyBorder="1" applyAlignment="1">
      <alignment vertical="center"/>
    </xf>
    <xf numFmtId="175" fontId="5" fillId="0" borderId="100" xfId="0" applyNumberFormat="1" applyFont="1" applyBorder="1" applyAlignment="1">
      <alignment vertical="center"/>
    </xf>
  </cellXfs>
  <cellStyles count="4">
    <cellStyle name="Comma" xfId="1" xr:uid="{00000000-0005-0000-0000-000000000000}"/>
    <cellStyle name="Comma 2" xfId="3" xr:uid="{00000000-0005-0000-0000-000001000000}"/>
    <cellStyle name="Normal" xfId="0" builtinId="0"/>
    <cellStyle name="Percent" xfId="2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Daily Ore Processed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Ore Processed</c:v>
          </c:tx>
          <c:spPr>
            <a:solidFill>
              <a:srgbClr val="D8AE4B"/>
            </a:solidFill>
          </c:spPr>
          <c:invertIfNegative val="1"/>
          <c:cat>
            <c:strRef>
              <c:f>Dashboard!$R$6:$R$33</c:f>
              <c:strCache>
                <c:ptCount val="28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18-Aug</c:v>
                </c:pt>
                <c:pt idx="5">
                  <c:v>19-Aug</c:v>
                </c:pt>
                <c:pt idx="6">
                  <c:v>20-Aug</c:v>
                </c:pt>
                <c:pt idx="7">
                  <c:v>21-Aug</c:v>
                </c:pt>
                <c:pt idx="8">
                  <c:v>22-Aug</c:v>
                </c:pt>
                <c:pt idx="9">
                  <c:v>23-Aug</c:v>
                </c:pt>
                <c:pt idx="10">
                  <c:v>24-Aug</c:v>
                </c:pt>
                <c:pt idx="11">
                  <c:v>25-Aug</c:v>
                </c:pt>
                <c:pt idx="12">
                  <c:v>26-Aug</c:v>
                </c:pt>
                <c:pt idx="13">
                  <c:v>27-Aug</c:v>
                </c:pt>
                <c:pt idx="14">
                  <c:v>28-Aug</c:v>
                </c:pt>
                <c:pt idx="15">
                  <c:v>29-Aug</c:v>
                </c:pt>
                <c:pt idx="16">
                  <c:v>30-Aug</c:v>
                </c:pt>
                <c:pt idx="17">
                  <c:v>31-Aug</c:v>
                </c:pt>
                <c:pt idx="18">
                  <c:v>01-Sep</c:v>
                </c:pt>
                <c:pt idx="19">
                  <c:v>02-Sep</c:v>
                </c:pt>
                <c:pt idx="20">
                  <c:v>03-Sep</c:v>
                </c:pt>
                <c:pt idx="21">
                  <c:v>04-Sep</c:v>
                </c:pt>
                <c:pt idx="22">
                  <c:v>05-Sep</c:v>
                </c:pt>
                <c:pt idx="23">
                  <c:v>06-Sep</c:v>
                </c:pt>
                <c:pt idx="24">
                  <c:v>07-Sep</c:v>
                </c:pt>
                <c:pt idx="25">
                  <c:v>08-Sep</c:v>
                </c:pt>
                <c:pt idx="26">
                  <c:v>09-Sep</c:v>
                </c:pt>
                <c:pt idx="27">
                  <c:v>10-Sep</c:v>
                </c:pt>
              </c:strCache>
            </c:strRef>
          </c:cat>
          <c:val>
            <c:numRef>
              <c:f>Dashboard!$S$6:$S$33</c:f>
              <c:numCache>
                <c:formatCode>General</c:formatCode>
                <c:ptCount val="28"/>
                <c:pt idx="0">
                  <c:v>0</c:v>
                </c:pt>
                <c:pt idx="1">
                  <c:v>78.043500000000009</c:v>
                </c:pt>
                <c:pt idx="2">
                  <c:v>17.712000000000003</c:v>
                </c:pt>
                <c:pt idx="3">
                  <c:v>157.9905</c:v>
                </c:pt>
                <c:pt idx="4">
                  <c:v>37.919199999999996</c:v>
                </c:pt>
                <c:pt idx="5">
                  <c:v>283.17079999999999</c:v>
                </c:pt>
                <c:pt idx="6">
                  <c:v>337.14449999999999</c:v>
                </c:pt>
                <c:pt idx="7">
                  <c:v>287.10449999999997</c:v>
                </c:pt>
                <c:pt idx="8">
                  <c:v>197.0325</c:v>
                </c:pt>
                <c:pt idx="9">
                  <c:v>0</c:v>
                </c:pt>
                <c:pt idx="10">
                  <c:v>162.00449999999998</c:v>
                </c:pt>
                <c:pt idx="11">
                  <c:v>0</c:v>
                </c:pt>
                <c:pt idx="12">
                  <c:v>0</c:v>
                </c:pt>
                <c:pt idx="13">
                  <c:v>124.94709999999999</c:v>
                </c:pt>
                <c:pt idx="14">
                  <c:v>167.76500000000001</c:v>
                </c:pt>
                <c:pt idx="15">
                  <c:v>240.43500000000003</c:v>
                </c:pt>
                <c:pt idx="16">
                  <c:v>53.820000000000007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40A-4A75-A7DF-43926EB35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Availability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Crushing Availability</c:v>
          </c:tx>
          <c:spPr>
            <a:ln w="19050">
              <a:solidFill>
                <a:srgbClr val="17324D"/>
              </a:solidFill>
              <a:prstDash val="solid"/>
            </a:ln>
          </c:spPr>
          <c:marker>
            <c:symbol val="none"/>
          </c:marker>
          <c:cat>
            <c:strRef>
              <c:f>Dashboard!$R$6:$R$33</c:f>
              <c:strCache>
                <c:ptCount val="28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18-Aug</c:v>
                </c:pt>
                <c:pt idx="5">
                  <c:v>19-Aug</c:v>
                </c:pt>
                <c:pt idx="6">
                  <c:v>20-Aug</c:v>
                </c:pt>
                <c:pt idx="7">
                  <c:v>21-Aug</c:v>
                </c:pt>
                <c:pt idx="8">
                  <c:v>22-Aug</c:v>
                </c:pt>
                <c:pt idx="9">
                  <c:v>23-Aug</c:v>
                </c:pt>
                <c:pt idx="10">
                  <c:v>24-Aug</c:v>
                </c:pt>
                <c:pt idx="11">
                  <c:v>25-Aug</c:v>
                </c:pt>
                <c:pt idx="12">
                  <c:v>26-Aug</c:v>
                </c:pt>
                <c:pt idx="13">
                  <c:v>27-Aug</c:v>
                </c:pt>
                <c:pt idx="14">
                  <c:v>28-Aug</c:v>
                </c:pt>
                <c:pt idx="15">
                  <c:v>29-Aug</c:v>
                </c:pt>
                <c:pt idx="16">
                  <c:v>30-Aug</c:v>
                </c:pt>
                <c:pt idx="17">
                  <c:v>31-Aug</c:v>
                </c:pt>
                <c:pt idx="18">
                  <c:v>01-Sep</c:v>
                </c:pt>
                <c:pt idx="19">
                  <c:v>02-Sep</c:v>
                </c:pt>
                <c:pt idx="20">
                  <c:v>03-Sep</c:v>
                </c:pt>
                <c:pt idx="21">
                  <c:v>04-Sep</c:v>
                </c:pt>
                <c:pt idx="22">
                  <c:v>05-Sep</c:v>
                </c:pt>
                <c:pt idx="23">
                  <c:v>06-Sep</c:v>
                </c:pt>
                <c:pt idx="24">
                  <c:v>07-Sep</c:v>
                </c:pt>
                <c:pt idx="25">
                  <c:v>08-Sep</c:v>
                </c:pt>
                <c:pt idx="26">
                  <c:v>09-Sep</c:v>
                </c:pt>
                <c:pt idx="27">
                  <c:v>10-Sep</c:v>
                </c:pt>
              </c:strCache>
            </c:strRef>
          </c:cat>
          <c:val>
            <c:numRef>
              <c:f>Dashboard!$T$6:$T$33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0.16944444444444443</c:v>
                </c:pt>
                <c:pt idx="5">
                  <c:v>0.9194444444444444</c:v>
                </c:pt>
                <c:pt idx="6">
                  <c:v>0.9194444444444444</c:v>
                </c:pt>
                <c:pt idx="7">
                  <c:v>0.78611111111111132</c:v>
                </c:pt>
                <c:pt idx="8">
                  <c:v>0.75138888888888899</c:v>
                </c:pt>
                <c:pt idx="9">
                  <c:v>2.7777777777777779E-3</c:v>
                </c:pt>
                <c:pt idx="10">
                  <c:v>0.83472222222222225</c:v>
                </c:pt>
                <c:pt idx="11">
                  <c:v>2.7777777777777779E-3</c:v>
                </c:pt>
                <c:pt idx="12">
                  <c:v>2.7777777777777779E-3</c:v>
                </c:pt>
                <c:pt idx="13">
                  <c:v>0.43888888888888888</c:v>
                </c:pt>
                <c:pt idx="14">
                  <c:v>0.66805555555555562</c:v>
                </c:pt>
                <c:pt idx="15">
                  <c:v>0.83472222222222225</c:v>
                </c:pt>
                <c:pt idx="16">
                  <c:v>0.16944444444444443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6-4066-A2BA-C0FDE226256B}"/>
            </c:ext>
          </c:extLst>
        </c:ser>
        <c:ser>
          <c:idx val="1"/>
          <c:order val="1"/>
          <c:tx>
            <c:v>Milling Availability</c:v>
          </c:tx>
          <c:spPr>
            <a:ln w="19050">
              <a:solidFill>
                <a:srgbClr val="D8AE4B"/>
              </a:solidFill>
              <a:prstDash val="solid"/>
            </a:ln>
          </c:spPr>
          <c:marker>
            <c:symbol val="none"/>
          </c:marker>
          <c:cat>
            <c:strRef>
              <c:f>Dashboard!$R$6:$R$33</c:f>
              <c:strCache>
                <c:ptCount val="28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18-Aug</c:v>
                </c:pt>
                <c:pt idx="5">
                  <c:v>19-Aug</c:v>
                </c:pt>
                <c:pt idx="6">
                  <c:v>20-Aug</c:v>
                </c:pt>
                <c:pt idx="7">
                  <c:v>21-Aug</c:v>
                </c:pt>
                <c:pt idx="8">
                  <c:v>22-Aug</c:v>
                </c:pt>
                <c:pt idx="9">
                  <c:v>23-Aug</c:v>
                </c:pt>
                <c:pt idx="10">
                  <c:v>24-Aug</c:v>
                </c:pt>
                <c:pt idx="11">
                  <c:v>25-Aug</c:v>
                </c:pt>
                <c:pt idx="12">
                  <c:v>26-Aug</c:v>
                </c:pt>
                <c:pt idx="13">
                  <c:v>27-Aug</c:v>
                </c:pt>
                <c:pt idx="14">
                  <c:v>28-Aug</c:v>
                </c:pt>
                <c:pt idx="15">
                  <c:v>29-Aug</c:v>
                </c:pt>
                <c:pt idx="16">
                  <c:v>30-Aug</c:v>
                </c:pt>
                <c:pt idx="17">
                  <c:v>31-Aug</c:v>
                </c:pt>
                <c:pt idx="18">
                  <c:v>01-Sep</c:v>
                </c:pt>
                <c:pt idx="19">
                  <c:v>02-Sep</c:v>
                </c:pt>
                <c:pt idx="20">
                  <c:v>03-Sep</c:v>
                </c:pt>
                <c:pt idx="21">
                  <c:v>04-Sep</c:v>
                </c:pt>
                <c:pt idx="22">
                  <c:v>05-Sep</c:v>
                </c:pt>
                <c:pt idx="23">
                  <c:v>06-Sep</c:v>
                </c:pt>
                <c:pt idx="24">
                  <c:v>07-Sep</c:v>
                </c:pt>
                <c:pt idx="25">
                  <c:v>08-Sep</c:v>
                </c:pt>
                <c:pt idx="26">
                  <c:v>09-Sep</c:v>
                </c:pt>
                <c:pt idx="27">
                  <c:v>10-Sep</c:v>
                </c:pt>
              </c:strCache>
            </c:strRef>
          </c:cat>
          <c:val>
            <c:numRef>
              <c:f>Dashboard!$U$6:$U$33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0.93472222222222223</c:v>
                </c:pt>
                <c:pt idx="18">
                  <c:v>0.95416666666666661</c:v>
                </c:pt>
                <c:pt idx="19">
                  <c:v>0.91666666666666663</c:v>
                </c:pt>
                <c:pt idx="20">
                  <c:v>0.45902777777777781</c:v>
                </c:pt>
                <c:pt idx="21">
                  <c:v>1.3888888888888889E-3</c:v>
                </c:pt>
                <c:pt idx="22">
                  <c:v>0.45902777777777781</c:v>
                </c:pt>
                <c:pt idx="23">
                  <c:v>0.90972222222222221</c:v>
                </c:pt>
                <c:pt idx="24">
                  <c:v>0.93541666666666667</c:v>
                </c:pt>
                <c:pt idx="25">
                  <c:v>0.9868055555555556</c:v>
                </c:pt>
                <c:pt idx="26">
                  <c:v>0.94861111111111107</c:v>
                </c:pt>
                <c:pt idx="27">
                  <c:v>0.93055555555555547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6-4066-A2BA-C0FDE226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ysClr val="windowText" lastClr="000000"/>
                </a:solidFill>
                <a:latin typeface="+mn-lt"/>
                <a:ea typeface="+mn-lt"/>
                <a:cs typeface="+mn-lt"/>
              </a:rPr>
              <a:t>Reagent Additional (kg)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D8E7-46D2-9743-36849131624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D8E7-46D2-9743-368491316245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D8E7-46D2-9743-36849131624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D8E7-46D2-9743-368491316245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1125</c:v>
                </c:pt>
                <c:pt idx="1">
                  <c:v>2250</c:v>
                </c:pt>
                <c:pt idx="2">
                  <c:v>2000</c:v>
                </c:pt>
                <c:pt idx="3">
                  <c:v>50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D8E7-46D2-9743-3684913162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887865327"/>
        <c:crosses val="autoZero"/>
        <c:auto val="1"/>
        <c:lblAlgn val="ctr"/>
        <c:lblOffset val="100"/>
        <c:noMultiLvlLbl val="1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/>
              <a:lstStyle/>
              <a:p>
                <a:r>
                  <a:rPr sz="10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rPr>
                  <a:t>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887864911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ysClr val="windowText" lastClr="000000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ysClr val="windowText" lastClr="000000"/>
                </a:solidFill>
                <a:latin typeface="+mn-lt"/>
                <a:ea typeface="+mn-lt"/>
                <a:cs typeface="+mn-lt"/>
              </a:rPr>
              <a:t>Reagent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87E6-41D2-AE09-ECD2DFF29D1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87E6-41D2-AE09-ECD2DFF29D1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87E6-41D2-AE09-ECD2DFF29D1C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87E6-41D2-AE09-ECD2DFF29D1C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1.1551941765891429</c:v>
                </c:pt>
                <c:pt idx="1">
                  <c:v>2.3103883531782858</c:v>
                </c:pt>
                <c:pt idx="2">
                  <c:v>2.053678536158476</c:v>
                </c:pt>
                <c:pt idx="3">
                  <c:v>5.1341963403961903E-2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7E6-41D2-AE09-ECD2DFF29D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336050703"/>
        <c:crosses val="autoZero"/>
        <c:auto val="1"/>
        <c:lblAlgn val="ctr"/>
        <c:lblOffset val="100"/>
        <c:noMultiLvlLbl val="1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/>
              <a:lstStyle/>
              <a:p>
                <a:r>
                  <a:rPr sz="10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rPr>
                  <a:t>Kg/t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Au distribution on crushing Process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C-487D-A78E-70819EBB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AC-487D-A78E-70819EBB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/>
              <a:lstStyle/>
              <a:p>
                <a:pPr>
                  <a:buNone/>
                  <a:defRPr sz="1000" b="0" i="0" u="none" kern="1200" baseline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r>
                  <a:t>Au 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Running Hours Vs Down Time 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A-44F9-A3F6-5D0D77D06EAC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A-44F9-A3F6-5D0D77D06E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ln w="9525" cmpd="sng">
            <a:solidFill>
              <a:schemeClr val="tx2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2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7</xdr:col>
      <xdr:colOff>0</xdr:colOff>
      <xdr:row>41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30</xdr:row>
      <xdr:rowOff>127000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39</xdr:row>
      <xdr:rowOff>91721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36</xdr:row>
      <xdr:rowOff>127506</xdr:rowOff>
    </xdr:to>
    <xdr:pic>
      <xdr:nvPicPr>
        <xdr:cNvPr id="2" name="/xl/media/image.emf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</xdr:col>
      <xdr:colOff>144780</xdr:colOff>
      <xdr:row>40</xdr:row>
      <xdr:rowOff>30480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10F65882-1FD6-F035-9384-C631DF3CB44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>Re assay sampel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U45"/>
  <sheetViews>
    <sheetView showGridLines="0" workbookViewId="0">
      <selection activeCell="G18" sqref="G18"/>
    </sheetView>
  </sheetViews>
  <sheetFormatPr defaultRowHeight="14.4" x14ac:dyDescent="0.3"/>
  <cols>
    <col min="1" max="1" width="3" customWidth="1"/>
    <col min="2" max="13" width="12" customWidth="1"/>
    <col min="14" max="14" width="3" customWidth="1"/>
    <col min="18" max="21" width="3" customWidth="1"/>
  </cols>
  <sheetData>
    <row r="1" spans="1:21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21" ht="19.2" x14ac:dyDescent="0.3">
      <c r="A2" s="450" t="s">
        <v>580</v>
      </c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</row>
    <row r="3" spans="1:21" x14ac:dyDescent="0.3">
      <c r="A3" s="451" t="s">
        <v>538</v>
      </c>
      <c r="B3" s="451"/>
      <c r="C3" s="451"/>
      <c r="D3" s="451"/>
      <c r="E3" s="451"/>
      <c r="F3" s="451"/>
      <c r="G3" s="451"/>
      <c r="H3" s="451"/>
      <c r="I3" s="451"/>
      <c r="J3" s="451"/>
      <c r="K3" s="452" t="s">
        <v>539</v>
      </c>
      <c r="L3" s="452" t="s">
        <v>539</v>
      </c>
      <c r="M3" s="453">
        <f>MAX('Daily Production'!A6:A33)</f>
        <v>46275</v>
      </c>
      <c r="N3" s="453"/>
    </row>
    <row r="4" spans="1:2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21" x14ac:dyDescent="0.3">
      <c r="A5" s="29"/>
      <c r="B5" s="454" t="s">
        <v>540</v>
      </c>
      <c r="C5" s="455" t="s">
        <v>540</v>
      </c>
      <c r="D5" s="456" t="s">
        <v>540</v>
      </c>
      <c r="E5" s="454" t="s">
        <v>541</v>
      </c>
      <c r="F5" s="455" t="s">
        <v>541</v>
      </c>
      <c r="G5" s="456" t="s">
        <v>541</v>
      </c>
      <c r="H5" s="454" t="s">
        <v>542</v>
      </c>
      <c r="I5" s="455" t="s">
        <v>542</v>
      </c>
      <c r="J5" s="456" t="s">
        <v>542</v>
      </c>
      <c r="K5" s="454" t="s">
        <v>543</v>
      </c>
      <c r="L5" s="455" t="s">
        <v>543</v>
      </c>
      <c r="M5" s="456" t="s">
        <v>543</v>
      </c>
      <c r="N5" s="29"/>
      <c r="R5" s="449" t="s">
        <v>74</v>
      </c>
      <c r="S5" s="449" t="s">
        <v>540</v>
      </c>
      <c r="T5" s="449" t="s">
        <v>544</v>
      </c>
      <c r="U5" s="449" t="s">
        <v>545</v>
      </c>
    </row>
    <row r="6" spans="1:21" x14ac:dyDescent="0.3">
      <c r="A6" s="29"/>
      <c r="B6" s="457">
        <f>SUM('Daily Production'!B6:B33)</f>
        <v>2145.0891000000006</v>
      </c>
      <c r="C6" s="458"/>
      <c r="D6" s="459"/>
      <c r="E6" s="466">
        <f>IFERROR(AVERAGEIF('Daily Production'!B6:B33,"&gt;0"),0)</f>
        <v>165.00685384615389</v>
      </c>
      <c r="F6" s="467"/>
      <c r="G6" s="468"/>
      <c r="H6" s="475">
        <f>IFERROR(SUM('Daily Production'!B6:B33)/SUM('Daily Production'!D6:D33),0)</f>
        <v>19.77344384698111</v>
      </c>
      <c r="I6" s="476"/>
      <c r="J6" s="477"/>
      <c r="K6" s="484">
        <f>IFERROR(SUM('Daily Production'!H6:H33)/SUM('Daily Production'!B6:B33),0)</f>
        <v>0.82786170329300968</v>
      </c>
      <c r="L6" s="485"/>
      <c r="M6" s="486"/>
      <c r="N6" s="29"/>
      <c r="R6" s="449" t="str">
        <f>TEXT('Daily Production'!A6,"dd-mmm")</f>
        <v>01-Jun</v>
      </c>
      <c r="S6" s="449">
        <f>'Daily Production'!B6</f>
        <v>0</v>
      </c>
      <c r="T6" s="449">
        <f>'Daily Production'!I6</f>
        <v>0</v>
      </c>
      <c r="U6" s="449">
        <f>'Daily Production'!J6</f>
        <v>0</v>
      </c>
    </row>
    <row r="7" spans="1:21" x14ac:dyDescent="0.3">
      <c r="A7" s="29"/>
      <c r="B7" s="460"/>
      <c r="C7" s="461"/>
      <c r="D7" s="462"/>
      <c r="E7" s="469"/>
      <c r="F7" s="470"/>
      <c r="G7" s="471"/>
      <c r="H7" s="478"/>
      <c r="I7" s="479"/>
      <c r="J7" s="480"/>
      <c r="K7" s="487"/>
      <c r="L7" s="488"/>
      <c r="M7" s="489"/>
      <c r="N7" s="29"/>
      <c r="R7" s="449" t="str">
        <f>TEXT('Daily Production'!A7,"dd-mmm")</f>
        <v>02-Jun</v>
      </c>
      <c r="S7" s="449">
        <f>'Daily Production'!B7</f>
        <v>78.043500000000009</v>
      </c>
      <c r="T7" s="449">
        <f>'Daily Production'!I7</f>
        <v>0</v>
      </c>
      <c r="U7" s="449">
        <f>'Daily Production'!J7</f>
        <v>0</v>
      </c>
    </row>
    <row r="8" spans="1:21" x14ac:dyDescent="0.3">
      <c r="A8" s="29"/>
      <c r="B8" s="463"/>
      <c r="C8" s="464"/>
      <c r="D8" s="465"/>
      <c r="E8" s="472"/>
      <c r="F8" s="473"/>
      <c r="G8" s="474"/>
      <c r="H8" s="481"/>
      <c r="I8" s="482"/>
      <c r="J8" s="483"/>
      <c r="K8" s="490"/>
      <c r="L8" s="491"/>
      <c r="M8" s="492"/>
      <c r="N8" s="29"/>
      <c r="R8" s="449" t="str">
        <f>TEXT('Daily Production'!A8,"dd-mmm")</f>
        <v>03-Jun</v>
      </c>
      <c r="S8" s="449">
        <f>'Daily Production'!B8</f>
        <v>17.712000000000003</v>
      </c>
      <c r="T8" s="449">
        <f>'Daily Production'!I8</f>
        <v>0</v>
      </c>
      <c r="U8" s="449">
        <f>'Daily Production'!J8</f>
        <v>0</v>
      </c>
    </row>
    <row r="9" spans="1:2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R9" s="449" t="str">
        <f>TEXT('Daily Production'!A9,"dd-mmm")</f>
        <v>04-Jun</v>
      </c>
      <c r="S9" s="449">
        <f>'Daily Production'!B9</f>
        <v>157.9905</v>
      </c>
      <c r="T9" s="449">
        <f>'Daily Production'!I9</f>
        <v>0</v>
      </c>
      <c r="U9" s="449">
        <f>'Daily Production'!J9</f>
        <v>0</v>
      </c>
    </row>
    <row r="10" spans="1:21" x14ac:dyDescent="0.3">
      <c r="A10" s="29"/>
      <c r="B10" s="454" t="s">
        <v>546</v>
      </c>
      <c r="C10" s="455" t="s">
        <v>546</v>
      </c>
      <c r="D10" s="456" t="s">
        <v>546</v>
      </c>
      <c r="E10" s="454" t="s">
        <v>544</v>
      </c>
      <c r="F10" s="455" t="s">
        <v>544</v>
      </c>
      <c r="G10" s="456" t="s">
        <v>544</v>
      </c>
      <c r="H10" s="454" t="s">
        <v>545</v>
      </c>
      <c r="I10" s="455" t="s">
        <v>545</v>
      </c>
      <c r="J10" s="456" t="s">
        <v>545</v>
      </c>
      <c r="K10" s="454" t="s">
        <v>547</v>
      </c>
      <c r="L10" s="455" t="s">
        <v>547</v>
      </c>
      <c r="M10" s="456" t="s">
        <v>547</v>
      </c>
      <c r="N10" s="29"/>
      <c r="R10" s="449" t="str">
        <f>TEXT('Daily Production'!A10,"dd-mmm")</f>
        <v>18-Aug</v>
      </c>
      <c r="S10" s="449">
        <f>'Daily Production'!B10</f>
        <v>37.919199999999996</v>
      </c>
      <c r="T10" s="449">
        <f>'Daily Production'!I10</f>
        <v>0.16944444444444443</v>
      </c>
      <c r="U10" s="449">
        <f>'Daily Production'!J10</f>
        <v>0</v>
      </c>
    </row>
    <row r="11" spans="1:21" x14ac:dyDescent="0.3">
      <c r="A11" s="29"/>
      <c r="B11" s="493">
        <f>SUM('Daily Production'!H6:H33)/1000</f>
        <v>1.7758371160412696</v>
      </c>
      <c r="C11" s="494"/>
      <c r="D11" s="495"/>
      <c r="E11" s="502">
        <f>IFERROR(AVERAGE('Daily Production'!I6:I33),0)</f>
        <v>0.23214285714285721</v>
      </c>
      <c r="F11" s="503"/>
      <c r="G11" s="504"/>
      <c r="H11" s="502">
        <f>IFERROR(AVERAGE('Daily Production'!J6:J33),0)</f>
        <v>0.30128968253968258</v>
      </c>
      <c r="I11" s="503"/>
      <c r="J11" s="504"/>
      <c r="K11" s="511">
        <f>IFERROR(SUM('Daily Production'!M6:M33)/SUM('Daily Production'!B6:B33),0)</f>
        <v>0.52445373947403851</v>
      </c>
      <c r="L11" s="512"/>
      <c r="M11" s="513"/>
      <c r="N11" s="29"/>
      <c r="R11" s="449" t="str">
        <f>TEXT('Daily Production'!A11,"dd-mmm")</f>
        <v>19-Aug</v>
      </c>
      <c r="S11" s="449">
        <f>'Daily Production'!B11</f>
        <v>283.17079999999999</v>
      </c>
      <c r="T11" s="449">
        <f>'Daily Production'!I11</f>
        <v>0.9194444444444444</v>
      </c>
      <c r="U11" s="449">
        <f>'Daily Production'!J11</f>
        <v>0</v>
      </c>
    </row>
    <row r="12" spans="1:21" x14ac:dyDescent="0.3">
      <c r="A12" s="29"/>
      <c r="B12" s="496"/>
      <c r="C12" s="497"/>
      <c r="D12" s="498"/>
      <c r="E12" s="505"/>
      <c r="F12" s="506"/>
      <c r="G12" s="507"/>
      <c r="H12" s="505"/>
      <c r="I12" s="506"/>
      <c r="J12" s="507"/>
      <c r="K12" s="514"/>
      <c r="L12" s="515"/>
      <c r="M12" s="516"/>
      <c r="N12" s="29"/>
      <c r="R12" s="449" t="str">
        <f>TEXT('Daily Production'!A12,"dd-mmm")</f>
        <v>20-Aug</v>
      </c>
      <c r="S12" s="449">
        <f>'Daily Production'!B12</f>
        <v>337.14449999999999</v>
      </c>
      <c r="T12" s="449">
        <f>'Daily Production'!I12</f>
        <v>0.9194444444444444</v>
      </c>
      <c r="U12" s="449">
        <f>'Daily Production'!J12</f>
        <v>0</v>
      </c>
    </row>
    <row r="13" spans="1:21" x14ac:dyDescent="0.3">
      <c r="A13" s="29"/>
      <c r="B13" s="499"/>
      <c r="C13" s="500"/>
      <c r="D13" s="501"/>
      <c r="E13" s="508"/>
      <c r="F13" s="509"/>
      <c r="G13" s="510"/>
      <c r="H13" s="508"/>
      <c r="I13" s="509"/>
      <c r="J13" s="510"/>
      <c r="K13" s="517"/>
      <c r="L13" s="518"/>
      <c r="M13" s="519"/>
      <c r="N13" s="29"/>
      <c r="R13" s="449" t="str">
        <f>TEXT('Daily Production'!A13,"dd-mmm")</f>
        <v>21-Aug</v>
      </c>
      <c r="S13" s="449">
        <f>'Daily Production'!B13</f>
        <v>287.10449999999997</v>
      </c>
      <c r="T13" s="449">
        <f>'Daily Production'!I13</f>
        <v>0.78611111111111132</v>
      </c>
      <c r="U13" s="449">
        <f>'Daily Production'!J13</f>
        <v>0</v>
      </c>
    </row>
    <row r="14" spans="1:2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R14" s="449" t="str">
        <f>TEXT('Daily Production'!A14,"dd-mmm")</f>
        <v>22-Aug</v>
      </c>
      <c r="S14" s="449">
        <f>'Daily Production'!B14</f>
        <v>197.0325</v>
      </c>
      <c r="T14" s="449">
        <f>'Daily Production'!I14</f>
        <v>0.75138888888888899</v>
      </c>
      <c r="U14" s="449">
        <f>'Daily Production'!J14</f>
        <v>0</v>
      </c>
    </row>
    <row r="15" spans="1:21" ht="23.4" customHeight="1" x14ac:dyDescent="0.3">
      <c r="A15" s="29"/>
      <c r="B15" s="520" t="s">
        <v>548</v>
      </c>
      <c r="C15" s="520"/>
      <c r="D15" s="520"/>
      <c r="E15" s="520"/>
      <c r="F15" s="520"/>
      <c r="G15" s="520"/>
      <c r="H15" s="29"/>
      <c r="I15" s="520" t="s">
        <v>549</v>
      </c>
      <c r="J15" s="520"/>
      <c r="K15" s="520"/>
      <c r="L15" s="520"/>
      <c r="M15" s="520"/>
      <c r="N15" s="520"/>
      <c r="R15" s="449" t="str">
        <f>TEXT('Daily Production'!A15,"dd-mmm")</f>
        <v>23-Aug</v>
      </c>
      <c r="S15" s="449">
        <f>'Daily Production'!B15</f>
        <v>0</v>
      </c>
      <c r="T15" s="449">
        <f>'Daily Production'!I15</f>
        <v>2.7777777777777779E-3</v>
      </c>
      <c r="U15" s="449">
        <f>'Daily Production'!J15</f>
        <v>0</v>
      </c>
    </row>
    <row r="16" spans="1:21" ht="43.2" customHeight="1" x14ac:dyDescent="0.3">
      <c r="A16" s="29"/>
      <c r="B16" s="443" t="s">
        <v>550</v>
      </c>
      <c r="C16" s="443" t="s">
        <v>59</v>
      </c>
      <c r="D16" s="443" t="s">
        <v>551</v>
      </c>
      <c r="E16" s="443" t="s">
        <v>552</v>
      </c>
      <c r="F16" s="443" t="s">
        <v>553</v>
      </c>
      <c r="G16" s="443" t="s">
        <v>554</v>
      </c>
      <c r="H16" s="29"/>
      <c r="I16" s="521" t="s">
        <v>579</v>
      </c>
      <c r="J16" s="522"/>
      <c r="K16" s="522"/>
      <c r="L16" s="522"/>
      <c r="M16" s="522"/>
      <c r="N16" s="523"/>
      <c r="R16" s="449" t="str">
        <f>TEXT('Daily Production'!A16,"dd-mmm")</f>
        <v>24-Aug</v>
      </c>
      <c r="S16" s="449">
        <f>'Daily Production'!B16</f>
        <v>162.00449999999998</v>
      </c>
      <c r="T16" s="449">
        <f>'Daily Production'!I16</f>
        <v>0.83472222222222225</v>
      </c>
      <c r="U16" s="449">
        <f>'Daily Production'!J16</f>
        <v>0</v>
      </c>
    </row>
    <row r="17" spans="1:21" ht="32.4" customHeight="1" x14ac:dyDescent="0.3">
      <c r="A17" s="29"/>
      <c r="B17" s="445" t="s">
        <v>174</v>
      </c>
      <c r="C17" s="446">
        <f>SUM('Daily Production'!M6:M33)</f>
        <v>1125</v>
      </c>
      <c r="D17" s="445" t="s">
        <v>555</v>
      </c>
      <c r="E17" s="447">
        <f>IFERROR(C17/$C$23,0)</f>
        <v>0.52445373947403851</v>
      </c>
      <c r="F17" s="445" t="s">
        <v>556</v>
      </c>
      <c r="G17" s="445" t="s">
        <v>557</v>
      </c>
      <c r="H17" s="29"/>
      <c r="I17" s="524" t="s">
        <v>578</v>
      </c>
      <c r="J17" s="525"/>
      <c r="K17" s="525"/>
      <c r="L17" s="525"/>
      <c r="M17" s="525"/>
      <c r="N17" s="526"/>
      <c r="R17" s="449" t="str">
        <f>TEXT('Daily Production'!A17,"dd-mmm")</f>
        <v>25-Aug</v>
      </c>
      <c r="S17" s="449">
        <f>'Daily Production'!B17</f>
        <v>0</v>
      </c>
      <c r="T17" s="449">
        <f>'Daily Production'!I17</f>
        <v>2.7777777777777779E-3</v>
      </c>
      <c r="U17" s="449">
        <f>'Daily Production'!J17</f>
        <v>0</v>
      </c>
    </row>
    <row r="18" spans="1:21" ht="27.6" customHeight="1" x14ac:dyDescent="0.3">
      <c r="A18" s="29"/>
      <c r="B18" s="445" t="s">
        <v>175</v>
      </c>
      <c r="C18" s="446">
        <f>SUM('Daily Production'!N6:N33)</f>
        <v>2250</v>
      </c>
      <c r="D18" s="445" t="s">
        <v>555</v>
      </c>
      <c r="E18" s="447">
        <f>IFERROR(C18/$C$23,0)</f>
        <v>1.048907478948077</v>
      </c>
      <c r="F18" s="445" t="s">
        <v>556</v>
      </c>
      <c r="G18" s="445" t="s">
        <v>557</v>
      </c>
      <c r="H18" s="29"/>
      <c r="I18" s="524" t="s">
        <v>577</v>
      </c>
      <c r="J18" s="525"/>
      <c r="K18" s="525"/>
      <c r="L18" s="525"/>
      <c r="M18" s="525"/>
      <c r="N18" s="526"/>
      <c r="R18" s="449" t="str">
        <f>TEXT('Daily Production'!A18,"dd-mmm")</f>
        <v>26-Aug</v>
      </c>
      <c r="S18" s="449">
        <f>'Daily Production'!B18</f>
        <v>0</v>
      </c>
      <c r="T18" s="449">
        <f>'Daily Production'!I18</f>
        <v>2.7777777777777779E-3</v>
      </c>
      <c r="U18" s="449">
        <f>'Daily Production'!J18</f>
        <v>0</v>
      </c>
    </row>
    <row r="19" spans="1:21" x14ac:dyDescent="0.3">
      <c r="A19" s="29"/>
      <c r="B19" s="445" t="s">
        <v>177</v>
      </c>
      <c r="C19" s="446">
        <f>SUM('Daily Production'!O6:O33)</f>
        <v>2000</v>
      </c>
      <c r="D19" s="445" t="s">
        <v>555</v>
      </c>
      <c r="E19" s="447">
        <f>IFERROR(C19/$C$23,0)</f>
        <v>0.9323622035094018</v>
      </c>
      <c r="F19" s="445" t="s">
        <v>556</v>
      </c>
      <c r="G19" s="445" t="s">
        <v>557</v>
      </c>
      <c r="H19" s="29"/>
      <c r="I19" s="524" t="s">
        <v>558</v>
      </c>
      <c r="J19" s="525"/>
      <c r="K19" s="525"/>
      <c r="L19" s="525"/>
      <c r="M19" s="525"/>
      <c r="N19" s="526"/>
      <c r="R19" s="449" t="str">
        <f>TEXT('Daily Production'!A19,"dd-mmm")</f>
        <v>27-Aug</v>
      </c>
      <c r="S19" s="449">
        <f>'Daily Production'!B19</f>
        <v>124.94709999999999</v>
      </c>
      <c r="T19" s="449">
        <f>'Daily Production'!I19</f>
        <v>0.43888888888888888</v>
      </c>
      <c r="U19" s="449">
        <f>'Daily Production'!J19</f>
        <v>0</v>
      </c>
    </row>
    <row r="20" spans="1:21" x14ac:dyDescent="0.3">
      <c r="A20" s="29"/>
      <c r="B20" s="445" t="s">
        <v>559</v>
      </c>
      <c r="C20" s="446">
        <f>SUM('Daily Production'!P6:P33)</f>
        <v>50</v>
      </c>
      <c r="D20" s="445" t="s">
        <v>555</v>
      </c>
      <c r="E20" s="447">
        <f>IFERROR(C20/$C$23,0)</f>
        <v>2.3309055087735044E-2</v>
      </c>
      <c r="F20" s="445" t="s">
        <v>556</v>
      </c>
      <c r="G20" s="445" t="s">
        <v>557</v>
      </c>
      <c r="H20" s="29"/>
      <c r="I20" s="527" t="s">
        <v>560</v>
      </c>
      <c r="J20" s="528"/>
      <c r="K20" s="528"/>
      <c r="L20" s="528"/>
      <c r="M20" s="528"/>
      <c r="N20" s="529"/>
      <c r="R20" s="449" t="str">
        <f>TEXT('Daily Production'!A20,"dd-mmm")</f>
        <v>28-Aug</v>
      </c>
      <c r="S20" s="449">
        <f>'Daily Production'!B20</f>
        <v>167.76500000000001</v>
      </c>
      <c r="T20" s="449">
        <f>'Daily Production'!I20</f>
        <v>0.66805555555555562</v>
      </c>
      <c r="U20" s="449">
        <f>'Daily Production'!J20</f>
        <v>0</v>
      </c>
    </row>
    <row r="21" spans="1:21" x14ac:dyDescent="0.3">
      <c r="A21" s="29"/>
      <c r="B21" s="445" t="s">
        <v>561</v>
      </c>
      <c r="C21" s="446">
        <f>SUM('Daily Production'!Q6:Q33)</f>
        <v>0</v>
      </c>
      <c r="D21" s="445" t="s">
        <v>562</v>
      </c>
      <c r="E21" s="447">
        <f>IFERROR(C21/$C$23,0)</f>
        <v>0</v>
      </c>
      <c r="F21" s="445" t="s">
        <v>563</v>
      </c>
      <c r="G21" s="445" t="s">
        <v>557</v>
      </c>
      <c r="H21" s="29"/>
      <c r="I21" s="29"/>
      <c r="J21" s="29"/>
      <c r="K21" s="29"/>
      <c r="L21" s="29"/>
      <c r="M21" s="29"/>
      <c r="N21" s="29"/>
      <c r="R21" s="449" t="str">
        <f>TEXT('Daily Production'!A21,"dd-mmm")</f>
        <v>29-Aug</v>
      </c>
      <c r="S21" s="449">
        <f>'Daily Production'!B21</f>
        <v>240.43500000000003</v>
      </c>
      <c r="T21" s="449">
        <f>'Daily Production'!I21</f>
        <v>0.83472222222222225</v>
      </c>
      <c r="U21" s="449">
        <f>'Daily Production'!J21</f>
        <v>0</v>
      </c>
    </row>
    <row r="22" spans="1:21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R22" s="449" t="str">
        <f>TEXT('Daily Production'!A22,"dd-mmm")</f>
        <v>30-Aug</v>
      </c>
      <c r="S22" s="449">
        <f>'Daily Production'!B22</f>
        <v>53.820000000000007</v>
      </c>
      <c r="T22" s="449">
        <f>'Daily Production'!I22</f>
        <v>0.16944444444444443</v>
      </c>
      <c r="U22" s="449">
        <f>'Daily Production'!J22</f>
        <v>0</v>
      </c>
    </row>
    <row r="23" spans="1:21" x14ac:dyDescent="0.3">
      <c r="A23" s="29"/>
      <c r="B23" s="442" t="s">
        <v>564</v>
      </c>
      <c r="C23" s="448">
        <f>SUM('Daily Production'!B6:B33)</f>
        <v>2145.0891000000006</v>
      </c>
      <c r="D23" s="442" t="s">
        <v>565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R23" s="449" t="str">
        <f>TEXT('Daily Production'!A23,"dd-mmm")</f>
        <v>31-Aug</v>
      </c>
      <c r="S23" s="449">
        <f>'Daily Production'!B23</f>
        <v>0</v>
      </c>
      <c r="T23" s="449">
        <f>'Daily Production'!I23</f>
        <v>0</v>
      </c>
      <c r="U23" s="449">
        <f>'Daily Production'!J23</f>
        <v>0.93472222222222223</v>
      </c>
    </row>
    <row r="24" spans="1:21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R24" s="449" t="str">
        <f>TEXT('Daily Production'!A24,"dd-mmm")</f>
        <v>01-Sep</v>
      </c>
      <c r="S24" s="449">
        <f>'Daily Production'!B24</f>
        <v>0</v>
      </c>
      <c r="T24" s="449">
        <f>'Daily Production'!I24</f>
        <v>0</v>
      </c>
      <c r="U24" s="449">
        <f>'Daily Production'!J24</f>
        <v>0.95416666666666661</v>
      </c>
    </row>
    <row r="25" spans="1:21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R25" s="449" t="str">
        <f>TEXT('Daily Production'!A25,"dd-mmm")</f>
        <v>02-Sep</v>
      </c>
      <c r="S25" s="449">
        <f>'Daily Production'!B25</f>
        <v>0</v>
      </c>
      <c r="T25" s="449">
        <f>'Daily Production'!I25</f>
        <v>0</v>
      </c>
      <c r="U25" s="449">
        <f>'Daily Production'!J25</f>
        <v>0.91666666666666663</v>
      </c>
    </row>
    <row r="26" spans="1:21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R26" s="449" t="str">
        <f>TEXT('Daily Production'!A26,"dd-mmm")</f>
        <v>03-Sep</v>
      </c>
      <c r="S26" s="449">
        <f>'Daily Production'!B26</f>
        <v>0</v>
      </c>
      <c r="T26" s="449">
        <f>'Daily Production'!I26</f>
        <v>0</v>
      </c>
      <c r="U26" s="449">
        <f>'Daily Production'!J26</f>
        <v>0.45902777777777781</v>
      </c>
    </row>
    <row r="27" spans="1:21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R27" s="449" t="str">
        <f>TEXT('Daily Production'!A27,"dd-mmm")</f>
        <v>04-Sep</v>
      </c>
      <c r="S27" s="449">
        <f>'Daily Production'!B27</f>
        <v>0</v>
      </c>
      <c r="T27" s="449">
        <f>'Daily Production'!I27</f>
        <v>0</v>
      </c>
      <c r="U27" s="449">
        <f>'Daily Production'!J27</f>
        <v>1.3888888888888889E-3</v>
      </c>
    </row>
    <row r="28" spans="1:21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R28" s="449" t="str">
        <f>TEXT('Daily Production'!A28,"dd-mmm")</f>
        <v>05-Sep</v>
      </c>
      <c r="S28" s="449">
        <f>'Daily Production'!B28</f>
        <v>0</v>
      </c>
      <c r="T28" s="449">
        <f>'Daily Production'!I28</f>
        <v>0</v>
      </c>
      <c r="U28" s="449">
        <f>'Daily Production'!J28</f>
        <v>0.45902777777777781</v>
      </c>
    </row>
    <row r="29" spans="1:21" x14ac:dyDescent="0.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R29" s="449" t="str">
        <f>TEXT('Daily Production'!A29,"dd-mmm")</f>
        <v>06-Sep</v>
      </c>
      <c r="S29" s="449">
        <f>'Daily Production'!B29</f>
        <v>0</v>
      </c>
      <c r="T29" s="449">
        <f>'Daily Production'!I29</f>
        <v>0</v>
      </c>
      <c r="U29" s="449">
        <f>'Daily Production'!J29</f>
        <v>0.90972222222222221</v>
      </c>
    </row>
    <row r="30" spans="1:21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R30" s="449" t="str">
        <f>TEXT('Daily Production'!A30,"dd-mmm")</f>
        <v>07-Sep</v>
      </c>
      <c r="S30" s="449">
        <f>'Daily Production'!B30</f>
        <v>0</v>
      </c>
      <c r="T30" s="449">
        <f>'Daily Production'!I30</f>
        <v>0</v>
      </c>
      <c r="U30" s="449">
        <f>'Daily Production'!J30</f>
        <v>0.93541666666666667</v>
      </c>
    </row>
    <row r="31" spans="1:21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R31" s="449" t="str">
        <f>TEXT('Daily Production'!A31,"dd-mmm")</f>
        <v>08-Sep</v>
      </c>
      <c r="S31" s="449">
        <f>'Daily Production'!B31</f>
        <v>0</v>
      </c>
      <c r="T31" s="449">
        <f>'Daily Production'!I31</f>
        <v>0</v>
      </c>
      <c r="U31" s="449">
        <f>'Daily Production'!J31</f>
        <v>0.9868055555555556</v>
      </c>
    </row>
    <row r="32" spans="1:21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R32" s="449" t="str">
        <f>TEXT('Daily Production'!A32,"dd-mmm")</f>
        <v>09-Sep</v>
      </c>
      <c r="S32" s="449">
        <f>'Daily Production'!B32</f>
        <v>0</v>
      </c>
      <c r="T32" s="449">
        <f>'Daily Production'!I32</f>
        <v>0</v>
      </c>
      <c r="U32" s="449">
        <f>'Daily Production'!J32</f>
        <v>0.94861111111111107</v>
      </c>
    </row>
    <row r="33" spans="1:21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R33" s="449" t="str">
        <f>TEXT('Daily Production'!A33,"dd-mmm")</f>
        <v>10-Sep</v>
      </c>
      <c r="S33" s="449">
        <f>'Daily Production'!B33</f>
        <v>0</v>
      </c>
      <c r="T33" s="449">
        <f>'Daily Production'!I33</f>
        <v>0</v>
      </c>
      <c r="U33" s="449">
        <f>'Daily Production'!J33</f>
        <v>0.93055555555555547</v>
      </c>
    </row>
    <row r="34" spans="1:21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21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1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21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1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21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1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21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21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21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spans="1:21" x14ac:dyDescent="0.3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21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</sheetData>
  <mergeCells count="27">
    <mergeCell ref="I19:N19"/>
    <mergeCell ref="I20:N20"/>
    <mergeCell ref="B15:G15"/>
    <mergeCell ref="I15:N15"/>
    <mergeCell ref="I16:N16"/>
    <mergeCell ref="I17:N17"/>
    <mergeCell ref="I18:N18"/>
    <mergeCell ref="K6:M8"/>
    <mergeCell ref="B10:D10"/>
    <mergeCell ref="B11:D13"/>
    <mergeCell ref="E10:G10"/>
    <mergeCell ref="E11:G13"/>
    <mergeCell ref="H10:J10"/>
    <mergeCell ref="H11:J13"/>
    <mergeCell ref="K10:M10"/>
    <mergeCell ref="K11:M13"/>
    <mergeCell ref="B6:D8"/>
    <mergeCell ref="E5:G5"/>
    <mergeCell ref="E6:G8"/>
    <mergeCell ref="H5:J5"/>
    <mergeCell ref="H6:J8"/>
    <mergeCell ref="A2:N2"/>
    <mergeCell ref="A3:J3"/>
    <mergeCell ref="K3:L3"/>
    <mergeCell ref="M3:N3"/>
    <mergeCell ref="B5:D5"/>
    <mergeCell ref="K5:M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8AE4B"/>
  </sheetPr>
  <dimension ref="A2:Q34"/>
  <sheetViews>
    <sheetView showGridLines="0" tabSelected="1" workbookViewId="0">
      <selection activeCell="F9" sqref="F9"/>
    </sheetView>
  </sheetViews>
  <sheetFormatPr defaultRowHeight="14.4" x14ac:dyDescent="0.3"/>
  <cols>
    <col min="1" max="1" width="12" customWidth="1"/>
    <col min="2" max="2" width="16" customWidth="1"/>
    <col min="3" max="3" width="13" customWidth="1"/>
    <col min="4" max="4" width="16" customWidth="1"/>
    <col min="5" max="5" width="15" customWidth="1"/>
    <col min="6" max="6" width="16" customWidth="1"/>
    <col min="7" max="7" width="14" customWidth="1"/>
    <col min="8" max="10" width="15" customWidth="1"/>
    <col min="11" max="12" width="14" customWidth="1"/>
    <col min="13" max="13" width="13" customWidth="1"/>
    <col min="14" max="14" width="12" customWidth="1"/>
    <col min="15" max="15" width="13" customWidth="1"/>
    <col min="16" max="16" width="15" customWidth="1"/>
    <col min="17" max="17" width="11" customWidth="1"/>
  </cols>
  <sheetData>
    <row r="2" spans="1:17" ht="19.2" x14ac:dyDescent="0.3">
      <c r="A2" s="450" t="s">
        <v>557</v>
      </c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</row>
    <row r="3" spans="1:17" x14ac:dyDescent="0.3">
      <c r="A3" s="451" t="s">
        <v>566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</row>
    <row r="4" spans="1:17" ht="15" thickBot="1" x14ac:dyDescent="0.35">
      <c r="A4" s="530" t="s">
        <v>581</v>
      </c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  <c r="N4" s="530"/>
      <c r="O4" s="530"/>
      <c r="P4" s="530"/>
      <c r="Q4" s="530"/>
    </row>
    <row r="5" spans="1:17" ht="30" customHeight="1" thickBot="1" x14ac:dyDescent="0.35">
      <c r="A5" s="650" t="s">
        <v>74</v>
      </c>
      <c r="B5" s="652" t="s">
        <v>567</v>
      </c>
      <c r="C5" s="652" t="s">
        <v>568</v>
      </c>
      <c r="D5" s="652" t="s">
        <v>569</v>
      </c>
      <c r="E5" s="652" t="s">
        <v>570</v>
      </c>
      <c r="F5" s="652" t="s">
        <v>571</v>
      </c>
      <c r="G5" s="652" t="s">
        <v>572</v>
      </c>
      <c r="H5" s="652" t="s">
        <v>573</v>
      </c>
      <c r="I5" s="652" t="s">
        <v>544</v>
      </c>
      <c r="J5" s="652" t="s">
        <v>545</v>
      </c>
      <c r="K5" s="652" t="s">
        <v>574</v>
      </c>
      <c r="L5" s="652" t="s">
        <v>7</v>
      </c>
      <c r="M5" s="652" t="s">
        <v>156</v>
      </c>
      <c r="N5" s="652" t="s">
        <v>157</v>
      </c>
      <c r="O5" s="652" t="s">
        <v>158</v>
      </c>
      <c r="P5" s="652" t="s">
        <v>575</v>
      </c>
      <c r="Q5" s="652" t="s">
        <v>576</v>
      </c>
    </row>
    <row r="6" spans="1:17" x14ac:dyDescent="0.3">
      <c r="A6" s="657">
        <f>'Daily Summary '!B7</f>
        <v>46174</v>
      </c>
      <c r="B6" s="659">
        <f>IFERROR('Daily Summary '!C7,"")</f>
        <v>0</v>
      </c>
      <c r="C6" s="659">
        <f>IFERROR('Daily Summary '!D7,"")</f>
        <v>0</v>
      </c>
      <c r="D6" s="653">
        <f>IFERROR('Daily Summary '!I7,"")</f>
        <v>0</v>
      </c>
      <c r="E6" s="653">
        <f>IFERROR('Daily Summary '!J7,"")</f>
        <v>0</v>
      </c>
      <c r="F6" s="663" t="str">
        <f>IFERROR('Daily Summary '!E7,"")</f>
        <v/>
      </c>
      <c r="G6" s="663">
        <f>IFERROR('Daily Summary '!F7,"")</f>
        <v>0</v>
      </c>
      <c r="H6" s="659">
        <f>IFERROR('Daily Summary '!G7,"")</f>
        <v>0</v>
      </c>
      <c r="I6" s="667">
        <f>IFERROR('Daily Summary '!K7,"")</f>
        <v>0</v>
      </c>
      <c r="J6" s="667">
        <f>IFERROR('Daily Summary '!L7,"")</f>
        <v>0</v>
      </c>
      <c r="K6" s="667">
        <f>IFERROR('Daily Summary '!M7,"")</f>
        <v>1</v>
      </c>
      <c r="L6" s="667">
        <f>IFERROR('Daily Summary '!N7,"")</f>
        <v>0</v>
      </c>
      <c r="M6" s="659">
        <f>IFERROR('Daily Summary '!Z7,"")</f>
        <v>0</v>
      </c>
      <c r="N6" s="659">
        <f>IFERROR('Daily Summary '!AC7,"")</f>
        <v>0</v>
      </c>
      <c r="O6" s="659">
        <f>IFERROR('Daily Summary '!AB7,"")</f>
        <v>0</v>
      </c>
      <c r="P6" s="659">
        <f>IFERROR('Daily Summary '!AF7,"")</f>
        <v>0</v>
      </c>
      <c r="Q6" s="659">
        <f>IFERROR('Daily Summary '!AG7,"")</f>
        <v>0</v>
      </c>
    </row>
    <row r="7" spans="1:17" x14ac:dyDescent="0.3">
      <c r="A7" s="658">
        <f>'Daily Summary '!B8</f>
        <v>46175</v>
      </c>
      <c r="B7" s="660">
        <f>IFERROR('Daily Summary '!C8,"")</f>
        <v>78.043500000000009</v>
      </c>
      <c r="C7" s="660">
        <f>IFERROR('Daily Summary '!D8,"")</f>
        <v>78.043500000000009</v>
      </c>
      <c r="D7" s="654">
        <f>IFERROR('Daily Summary '!I8,"")</f>
        <v>11.033333333333333</v>
      </c>
      <c r="E7" s="654">
        <f>IFERROR('Daily Summary '!J8,"")</f>
        <v>0</v>
      </c>
      <c r="F7" s="664">
        <f>IFERROR('Daily Summary '!E8,"")</f>
        <v>7.0734290030211486</v>
      </c>
      <c r="G7" s="664">
        <f>IFERROR('Daily Summary '!F8,"")</f>
        <v>1.45</v>
      </c>
      <c r="H7" s="660">
        <f>IFERROR('Daily Summary '!G8,"")</f>
        <v>113.16307500000001</v>
      </c>
      <c r="I7" s="668">
        <f>IFERROR('Daily Summary '!K8,"")</f>
        <v>0</v>
      </c>
      <c r="J7" s="668">
        <f>IFERROR('Daily Summary '!L8,"")</f>
        <v>0</v>
      </c>
      <c r="K7" s="668">
        <f>IFERROR('Daily Summary '!M8,"")</f>
        <v>1</v>
      </c>
      <c r="L7" s="668">
        <f>IFERROR('Daily Summary '!N8,"")</f>
        <v>0</v>
      </c>
      <c r="M7" s="660">
        <f>IFERROR('Daily Summary '!Z8,"")</f>
        <v>0</v>
      </c>
      <c r="N7" s="660">
        <f>IFERROR('Daily Summary '!AC8,"")</f>
        <v>0</v>
      </c>
      <c r="O7" s="660">
        <f>IFERROR('Daily Summary '!AB8,"")</f>
        <v>0</v>
      </c>
      <c r="P7" s="660">
        <f>IFERROR('Daily Summary '!AF8,"")</f>
        <v>0</v>
      </c>
      <c r="Q7" s="660">
        <f>IFERROR('Daily Summary '!AG8,"")</f>
        <v>0</v>
      </c>
    </row>
    <row r="8" spans="1:17" x14ac:dyDescent="0.3">
      <c r="A8" s="658">
        <f>'Daily Summary '!B9</f>
        <v>46176</v>
      </c>
      <c r="B8" s="661">
        <f>IFERROR('Daily Summary '!C9,"")</f>
        <v>17.712000000000003</v>
      </c>
      <c r="C8" s="661">
        <f>IFERROR('Daily Summary '!D9,"")</f>
        <v>95.755500000000012</v>
      </c>
      <c r="D8" s="655">
        <f>IFERROR('Daily Summary '!I9,"")</f>
        <v>11.033333333333333</v>
      </c>
      <c r="E8" s="655">
        <f>IFERROR('Daily Summary '!J9,"")</f>
        <v>0</v>
      </c>
      <c r="F8" s="665">
        <f>IFERROR('Daily Summary '!E9,"")</f>
        <v>1.6053172205438069</v>
      </c>
      <c r="G8" s="665">
        <f>IFERROR('Daily Summary '!F9,"")</f>
        <v>1.45</v>
      </c>
      <c r="H8" s="661">
        <f>IFERROR('Daily Summary '!G9,"")</f>
        <v>25.682400000000005</v>
      </c>
      <c r="I8" s="669">
        <f>IFERROR('Daily Summary '!K9,"")</f>
        <v>0</v>
      </c>
      <c r="J8" s="669">
        <f>IFERROR('Daily Summary '!L9,"")</f>
        <v>0</v>
      </c>
      <c r="K8" s="669">
        <f>IFERROR('Daily Summary '!M9,"")</f>
        <v>1</v>
      </c>
      <c r="L8" s="669">
        <f>IFERROR('Daily Summary '!N9,"")</f>
        <v>0</v>
      </c>
      <c r="M8" s="661">
        <f>IFERROR('Daily Summary '!Z9,"")</f>
        <v>0</v>
      </c>
      <c r="N8" s="661">
        <f>IFERROR('Daily Summary '!AC9,"")</f>
        <v>0</v>
      </c>
      <c r="O8" s="661">
        <f>IFERROR('Daily Summary '!AB9,"")</f>
        <v>0</v>
      </c>
      <c r="P8" s="661">
        <f>IFERROR('Daily Summary '!AF9,"")</f>
        <v>0</v>
      </c>
      <c r="Q8" s="661">
        <f>IFERROR('Daily Summary '!AG9,"")</f>
        <v>0</v>
      </c>
    </row>
    <row r="9" spans="1:17" x14ac:dyDescent="0.3">
      <c r="A9" s="658">
        <f>'Daily Summary '!B10</f>
        <v>46177</v>
      </c>
      <c r="B9" s="660">
        <f>IFERROR('Daily Summary '!C10,"")</f>
        <v>157.9905</v>
      </c>
      <c r="C9" s="660">
        <f>IFERROR('Daily Summary '!D10,"")</f>
        <v>253.74600000000001</v>
      </c>
      <c r="D9" s="654">
        <f>IFERROR('Daily Summary '!I10,"")</f>
        <v>9.4333333333333353</v>
      </c>
      <c r="E9" s="654">
        <f>IFERROR('Daily Summary '!J10,"")</f>
        <v>0</v>
      </c>
      <c r="F9" s="664">
        <f>IFERROR('Daily Summary '!E10,"")</f>
        <v>16.74810954063604</v>
      </c>
      <c r="G9" s="664">
        <f>IFERROR('Daily Summary '!F10,"")</f>
        <v>1.45</v>
      </c>
      <c r="H9" s="660">
        <f>IFERROR('Daily Summary '!G10,"")</f>
        <v>229.08622499999998</v>
      </c>
      <c r="I9" s="668">
        <f>IFERROR('Daily Summary '!K10,"")</f>
        <v>0</v>
      </c>
      <c r="J9" s="668">
        <f>IFERROR('Daily Summary '!L10,"")</f>
        <v>0</v>
      </c>
      <c r="K9" s="668">
        <f>IFERROR('Daily Summary '!M10,"")</f>
        <v>1</v>
      </c>
      <c r="L9" s="668">
        <f>IFERROR('Daily Summary '!N10,"")</f>
        <v>0</v>
      </c>
      <c r="M9" s="660">
        <f>IFERROR('Daily Summary '!Z10,"")</f>
        <v>150</v>
      </c>
      <c r="N9" s="660">
        <f>IFERROR('Daily Summary '!AC10,"")</f>
        <v>250</v>
      </c>
      <c r="O9" s="660">
        <f>IFERROR('Daily Summary '!AB10,"")</f>
        <v>0</v>
      </c>
      <c r="P9" s="660">
        <f>IFERROR('Daily Summary '!AF10,"")</f>
        <v>0</v>
      </c>
      <c r="Q9" s="660">
        <f>IFERROR('Daily Summary '!AG10,"")</f>
        <v>0</v>
      </c>
    </row>
    <row r="10" spans="1:17" x14ac:dyDescent="0.3">
      <c r="A10" s="658">
        <f>'Daily Summary '!B11</f>
        <v>46252</v>
      </c>
      <c r="B10" s="661">
        <f>IFERROR('Daily Summary '!C11,"")</f>
        <v>37.919199999999996</v>
      </c>
      <c r="C10" s="661">
        <f>IFERROR('Daily Summary '!D11,"")</f>
        <v>291.66520000000003</v>
      </c>
      <c r="D10" s="655">
        <f>IFERROR('Daily Summary '!I11,"")</f>
        <v>2.0333333333333332</v>
      </c>
      <c r="E10" s="655">
        <f>IFERROR('Daily Summary '!J11,"")</f>
        <v>0</v>
      </c>
      <c r="F10" s="665">
        <f>IFERROR('Daily Summary '!E11,"")</f>
        <v>18.648786885245901</v>
      </c>
      <c r="G10" s="665">
        <f>IFERROR('Daily Summary '!F11,"")</f>
        <v>0.77</v>
      </c>
      <c r="H10" s="661">
        <f>IFERROR('Daily Summary '!G11,"")</f>
        <v>29.197783999999999</v>
      </c>
      <c r="I10" s="669">
        <f>IFERROR('Daily Summary '!K11,"")</f>
        <v>0.16944444444444443</v>
      </c>
      <c r="J10" s="669">
        <f>IFERROR('Daily Summary '!L11,"")</f>
        <v>0</v>
      </c>
      <c r="K10" s="669">
        <f>IFERROR('Daily Summary '!M11,"")</f>
        <v>1</v>
      </c>
      <c r="L10" s="669">
        <f>IFERROR('Daily Summary '!N11,"")</f>
        <v>0</v>
      </c>
      <c r="M10" s="661">
        <f>IFERROR('Daily Summary '!Z11,"")</f>
        <v>225</v>
      </c>
      <c r="N10" s="661">
        <f>IFERROR('Daily Summary '!AC11,"")</f>
        <v>1250</v>
      </c>
      <c r="O10" s="661">
        <f>IFERROR('Daily Summary '!AB11,"")</f>
        <v>1000</v>
      </c>
      <c r="P10" s="661">
        <f>IFERROR('Daily Summary '!AF11,"")</f>
        <v>25</v>
      </c>
      <c r="Q10" s="661">
        <f>IFERROR('Daily Summary '!AG11,"")</f>
        <v>0</v>
      </c>
    </row>
    <row r="11" spans="1:17" x14ac:dyDescent="0.3">
      <c r="A11" s="658">
        <f>'Daily Summary '!B12</f>
        <v>46253</v>
      </c>
      <c r="B11" s="660">
        <f>IFERROR('Daily Summary '!C12,"")</f>
        <v>283.17079999999999</v>
      </c>
      <c r="C11" s="660">
        <f>IFERROR('Daily Summary '!D12,"")</f>
        <v>574.83600000000001</v>
      </c>
      <c r="D11" s="654">
        <f>IFERROR('Daily Summary '!I12,"")</f>
        <v>11.033333333333333</v>
      </c>
      <c r="E11" s="654">
        <f>IFERROR('Daily Summary '!J12,"")</f>
        <v>0</v>
      </c>
      <c r="F11" s="664">
        <f>IFERROR('Daily Summary '!E12,"")</f>
        <v>25.665027190332324</v>
      </c>
      <c r="G11" s="664">
        <f>IFERROR('Daily Summary '!F12,"")</f>
        <v>1.0209999999999999</v>
      </c>
      <c r="H11" s="660">
        <f>IFERROR('Daily Summary '!G12,"")</f>
        <v>289.11738679999996</v>
      </c>
      <c r="I11" s="668">
        <f>IFERROR('Daily Summary '!K12,"")</f>
        <v>0.9194444444444444</v>
      </c>
      <c r="J11" s="668">
        <f>IFERROR('Daily Summary '!L12,"")</f>
        <v>0</v>
      </c>
      <c r="K11" s="668">
        <f>IFERROR('Daily Summary '!M12,"")</f>
        <v>1</v>
      </c>
      <c r="L11" s="668">
        <f>IFERROR('Daily Summary '!N12,"")</f>
        <v>0</v>
      </c>
      <c r="M11" s="660">
        <f>IFERROR('Daily Summary '!Z12,"")</f>
        <v>275</v>
      </c>
      <c r="N11" s="660">
        <f>IFERROR('Daily Summary '!AC12,"")</f>
        <v>0</v>
      </c>
      <c r="O11" s="660">
        <f>IFERROR('Daily Summary '!AB12,"")</f>
        <v>1000</v>
      </c>
      <c r="P11" s="660">
        <f>IFERROR('Daily Summary '!AF12,"")</f>
        <v>25</v>
      </c>
      <c r="Q11" s="660">
        <f>IFERROR('Daily Summary '!AG12,"")</f>
        <v>0</v>
      </c>
    </row>
    <row r="12" spans="1:17" x14ac:dyDescent="0.3">
      <c r="A12" s="658">
        <f>'Daily Summary '!B13</f>
        <v>46254</v>
      </c>
      <c r="B12" s="661">
        <f>IFERROR('Daily Summary '!C13,"")</f>
        <v>337.14449999999999</v>
      </c>
      <c r="C12" s="661">
        <f>IFERROR('Daily Summary '!D13,"")</f>
        <v>911.98050000000001</v>
      </c>
      <c r="D12" s="655">
        <f>IFERROR('Daily Summary '!I13,"")</f>
        <v>10.016666666666667</v>
      </c>
      <c r="E12" s="655">
        <f>IFERROR('Daily Summary '!J13,"")</f>
        <v>0</v>
      </c>
      <c r="F12" s="665">
        <f>IFERROR('Daily Summary '!E13,"")</f>
        <v>33.658352745424288</v>
      </c>
      <c r="G12" s="665">
        <f>IFERROR('Daily Summary '!F13,"")</f>
        <v>0.60399999999999998</v>
      </c>
      <c r="H12" s="661">
        <f>IFERROR('Daily Summary '!G13,"")</f>
        <v>203.635278</v>
      </c>
      <c r="I12" s="669">
        <f>IFERROR('Daily Summary '!K13,"")</f>
        <v>0.9194444444444444</v>
      </c>
      <c r="J12" s="669">
        <f>IFERROR('Daily Summary '!L13,"")</f>
        <v>0</v>
      </c>
      <c r="K12" s="669">
        <f>IFERROR('Daily Summary '!M13,"")</f>
        <v>1</v>
      </c>
      <c r="L12" s="669">
        <f>IFERROR('Daily Summary '!N13,"")</f>
        <v>0</v>
      </c>
      <c r="M12" s="661">
        <f>IFERROR('Daily Summary '!Z13,"")</f>
        <v>100</v>
      </c>
      <c r="N12" s="661">
        <f>IFERROR('Daily Summary '!AC13,"")</f>
        <v>0</v>
      </c>
      <c r="O12" s="661">
        <f>IFERROR('Daily Summary '!AB13,"")</f>
        <v>0</v>
      </c>
      <c r="P12" s="661">
        <f>IFERROR('Daily Summary '!AF13,"")</f>
        <v>0</v>
      </c>
      <c r="Q12" s="661">
        <f>IFERROR('Daily Summary '!AG13,"")</f>
        <v>0</v>
      </c>
    </row>
    <row r="13" spans="1:17" x14ac:dyDescent="0.3">
      <c r="A13" s="658">
        <f>'Daily Summary '!B14</f>
        <v>46255</v>
      </c>
      <c r="B13" s="660">
        <f>IFERROR('Daily Summary '!C14,"")</f>
        <v>287.10449999999997</v>
      </c>
      <c r="C13" s="660">
        <f>IFERROR('Daily Summary '!D14,"")</f>
        <v>1199.085</v>
      </c>
      <c r="D13" s="654">
        <f>IFERROR('Daily Summary '!I14,"")</f>
        <v>9.4333333333333353</v>
      </c>
      <c r="E13" s="654">
        <f>IFERROR('Daily Summary '!J14,"")</f>
        <v>0</v>
      </c>
      <c r="F13" s="664">
        <f>IFERROR('Daily Summary '!E14,"")</f>
        <v>30.43510600706713</v>
      </c>
      <c r="G13" s="664">
        <f>IFERROR('Daily Summary '!F14,"")</f>
        <v>0.442</v>
      </c>
      <c r="H13" s="660">
        <f>IFERROR('Daily Summary '!G14,"")</f>
        <v>126.90018899999998</v>
      </c>
      <c r="I13" s="668">
        <f>IFERROR('Daily Summary '!K14,"")</f>
        <v>0.78611111111111132</v>
      </c>
      <c r="J13" s="668">
        <f>IFERROR('Daily Summary '!L14,"")</f>
        <v>0</v>
      </c>
      <c r="K13" s="668">
        <f>IFERROR('Daily Summary '!M14,"")</f>
        <v>1</v>
      </c>
      <c r="L13" s="668">
        <f>IFERROR('Daily Summary '!N14,"")</f>
        <v>0</v>
      </c>
      <c r="M13" s="660">
        <f>IFERROR('Daily Summary '!Z14,"")</f>
        <v>0</v>
      </c>
      <c r="N13" s="660">
        <f>IFERROR('Daily Summary '!AC14,"")</f>
        <v>0</v>
      </c>
      <c r="O13" s="660">
        <f>IFERROR('Daily Summary '!AB14,"")</f>
        <v>0</v>
      </c>
      <c r="P13" s="660">
        <f>IFERROR('Daily Summary '!AF14,"")</f>
        <v>0</v>
      </c>
      <c r="Q13" s="660">
        <f>IFERROR('Daily Summary '!AG14,"")</f>
        <v>0</v>
      </c>
    </row>
    <row r="14" spans="1:17" x14ac:dyDescent="0.3">
      <c r="A14" s="658">
        <f>'Daily Summary '!B15</f>
        <v>46256</v>
      </c>
      <c r="B14" s="661">
        <f>IFERROR('Daily Summary '!C15,"")</f>
        <v>197.0325</v>
      </c>
      <c r="C14" s="661">
        <f>IFERROR('Daily Summary '!D15,"")</f>
        <v>1396.1175000000001</v>
      </c>
      <c r="D14" s="655">
        <f>IFERROR('Daily Summary '!I15,"")</f>
        <v>9.0166666666666675</v>
      </c>
      <c r="E14" s="655">
        <f>IFERROR('Daily Summary '!J15,"")</f>
        <v>0</v>
      </c>
      <c r="F14" s="665">
        <f>IFERROR('Daily Summary '!E15,"")</f>
        <v>21.852033271719037</v>
      </c>
      <c r="G14" s="665">
        <f>IFERROR('Daily Summary '!F15,"")</f>
        <v>0.62933333333333319</v>
      </c>
      <c r="H14" s="661">
        <f>IFERROR('Daily Summary '!G15,"")</f>
        <v>123.99911999999998</v>
      </c>
      <c r="I14" s="669">
        <f>IFERROR('Daily Summary '!K15,"")</f>
        <v>0.75138888888888899</v>
      </c>
      <c r="J14" s="669">
        <f>IFERROR('Daily Summary '!L15,"")</f>
        <v>0</v>
      </c>
      <c r="K14" s="669">
        <f>IFERROR('Daily Summary '!M15,"")</f>
        <v>1</v>
      </c>
      <c r="L14" s="669">
        <f>IFERROR('Daily Summary '!N15,"")</f>
        <v>0</v>
      </c>
      <c r="M14" s="661">
        <f>IFERROR('Daily Summary '!Z15,"")</f>
        <v>50</v>
      </c>
      <c r="N14" s="661">
        <f>IFERROR('Daily Summary '!AC15,"")</f>
        <v>0</v>
      </c>
      <c r="O14" s="661">
        <f>IFERROR('Daily Summary '!AB15,"")</f>
        <v>0</v>
      </c>
      <c r="P14" s="661">
        <f>IFERROR('Daily Summary '!AF15,"")</f>
        <v>0</v>
      </c>
      <c r="Q14" s="661">
        <f>IFERROR('Daily Summary '!AG15,"")</f>
        <v>0</v>
      </c>
    </row>
    <row r="15" spans="1:17" x14ac:dyDescent="0.3">
      <c r="A15" s="658">
        <f>'Daily Summary '!B16</f>
        <v>46257</v>
      </c>
      <c r="B15" s="660">
        <f>IFERROR('Daily Summary '!C16,"")</f>
        <v>0</v>
      </c>
      <c r="C15" s="660">
        <f>IFERROR('Daily Summary '!D16,"")</f>
        <v>1396.1175000000001</v>
      </c>
      <c r="D15" s="654">
        <f>IFERROR('Daily Summary '!I16,"")</f>
        <v>3.3333333333333333E-2</v>
      </c>
      <c r="E15" s="654">
        <f>IFERROR('Daily Summary '!J16,"")</f>
        <v>0</v>
      </c>
      <c r="F15" s="664">
        <f>IFERROR('Daily Summary '!E16,"")</f>
        <v>0</v>
      </c>
      <c r="G15" s="664">
        <f>IFERROR('Daily Summary '!F16,"")</f>
        <v>0</v>
      </c>
      <c r="H15" s="660">
        <f>IFERROR('Daily Summary '!G16,"")</f>
        <v>0</v>
      </c>
      <c r="I15" s="668">
        <f>IFERROR('Daily Summary '!K16,"")</f>
        <v>2.7777777777777779E-3</v>
      </c>
      <c r="J15" s="668">
        <f>IFERROR('Daily Summary '!L16,"")</f>
        <v>0</v>
      </c>
      <c r="K15" s="668">
        <f>IFERROR('Daily Summary '!M16,"")</f>
        <v>1</v>
      </c>
      <c r="L15" s="668">
        <f>IFERROR('Daily Summary '!N16,"")</f>
        <v>0</v>
      </c>
      <c r="M15" s="660">
        <f>IFERROR('Daily Summary '!Z16,"")</f>
        <v>175</v>
      </c>
      <c r="N15" s="660">
        <f>IFERROR('Daily Summary '!AC16,"")</f>
        <v>500</v>
      </c>
      <c r="O15" s="660">
        <f>IFERROR('Daily Summary '!AB16,"")</f>
        <v>0</v>
      </c>
      <c r="P15" s="660">
        <f>IFERROR('Daily Summary '!AF16,"")</f>
        <v>0</v>
      </c>
      <c r="Q15" s="660">
        <f>IFERROR('Daily Summary '!AG16,"")</f>
        <v>0</v>
      </c>
    </row>
    <row r="16" spans="1:17" x14ac:dyDescent="0.3">
      <c r="A16" s="658">
        <f>'Daily Summary '!B17</f>
        <v>46258</v>
      </c>
      <c r="B16" s="661">
        <f>IFERROR('Daily Summary '!C17,"")</f>
        <v>162.00449999999998</v>
      </c>
      <c r="C16" s="661">
        <f>IFERROR('Daily Summary '!D17,"")</f>
        <v>1558.1220000000001</v>
      </c>
      <c r="D16" s="655">
        <f>IFERROR('Daily Summary '!I17,"")</f>
        <v>10.016666666666667</v>
      </c>
      <c r="E16" s="655">
        <f>IFERROR('Daily Summary '!J17,"")</f>
        <v>0</v>
      </c>
      <c r="F16" s="665">
        <f>IFERROR('Daily Summary '!E17,"")</f>
        <v>16.17349417637271</v>
      </c>
      <c r="G16" s="665">
        <f>IFERROR('Daily Summary '!F17,"")</f>
        <v>1.0302222222222222</v>
      </c>
      <c r="H16" s="661">
        <f>IFERROR('Daily Summary '!G17,"")</f>
        <v>166.90063599999996</v>
      </c>
      <c r="I16" s="669">
        <f>IFERROR('Daily Summary '!K17,"")</f>
        <v>0.83472222222222225</v>
      </c>
      <c r="J16" s="669">
        <f>IFERROR('Daily Summary '!L17,"")</f>
        <v>0</v>
      </c>
      <c r="K16" s="669">
        <f>IFERROR('Daily Summary '!M17,"")</f>
        <v>1</v>
      </c>
      <c r="L16" s="669">
        <f>IFERROR('Daily Summary '!N17,"")</f>
        <v>0</v>
      </c>
      <c r="M16" s="661">
        <f>IFERROR('Daily Summary '!Z17,"")</f>
        <v>150</v>
      </c>
      <c r="N16" s="661">
        <f>IFERROR('Daily Summary '!AC17,"")</f>
        <v>250</v>
      </c>
      <c r="O16" s="661">
        <f>IFERROR('Daily Summary '!AB17,"")</f>
        <v>0</v>
      </c>
      <c r="P16" s="661">
        <f>IFERROR('Daily Summary '!AF17,"")</f>
        <v>0</v>
      </c>
      <c r="Q16" s="661">
        <f>IFERROR('Daily Summary '!AG17,"")</f>
        <v>0</v>
      </c>
    </row>
    <row r="17" spans="1:17" x14ac:dyDescent="0.3">
      <c r="A17" s="658">
        <f>'Daily Summary '!B18</f>
        <v>46259</v>
      </c>
      <c r="B17" s="660">
        <f>IFERROR('Daily Summary '!C18,"")</f>
        <v>0</v>
      </c>
      <c r="C17" s="660">
        <f>IFERROR('Daily Summary '!D18,"")</f>
        <v>1558.1220000000001</v>
      </c>
      <c r="D17" s="654">
        <f>IFERROR('Daily Summary '!I18,"")</f>
        <v>3.3333333333333333E-2</v>
      </c>
      <c r="E17" s="654">
        <f>IFERROR('Daily Summary '!J18,"")</f>
        <v>0</v>
      </c>
      <c r="F17" s="664">
        <f>IFERROR('Daily Summary '!E18,"")</f>
        <v>0</v>
      </c>
      <c r="G17" s="664">
        <f>IFERROR('Daily Summary '!F18,"")</f>
        <v>0</v>
      </c>
      <c r="H17" s="660">
        <f>IFERROR('Daily Summary '!G18,"")</f>
        <v>0</v>
      </c>
      <c r="I17" s="668">
        <f>IFERROR('Daily Summary '!K18,"")</f>
        <v>2.7777777777777779E-3</v>
      </c>
      <c r="J17" s="668">
        <f>IFERROR('Daily Summary '!L18,"")</f>
        <v>0</v>
      </c>
      <c r="K17" s="668">
        <f>IFERROR('Daily Summary '!M18,"")</f>
        <v>1</v>
      </c>
      <c r="L17" s="668">
        <f>IFERROR('Daily Summary '!N18,"")</f>
        <v>0</v>
      </c>
      <c r="M17" s="660">
        <f>IFERROR('Daily Summary '!Z18,"")</f>
        <v>0</v>
      </c>
      <c r="N17" s="660">
        <f>IFERROR('Daily Summary '!AC18,"")</f>
        <v>0</v>
      </c>
      <c r="O17" s="660">
        <f>IFERROR('Daily Summary '!AB18,"")</f>
        <v>0</v>
      </c>
      <c r="P17" s="660">
        <f>IFERROR('Daily Summary '!AF18,"")</f>
        <v>0</v>
      </c>
      <c r="Q17" s="660">
        <f>IFERROR('Daily Summary '!AG18,"")</f>
        <v>0</v>
      </c>
    </row>
    <row r="18" spans="1:17" x14ac:dyDescent="0.3">
      <c r="A18" s="658">
        <f>'Daily Summary '!B19</f>
        <v>46260</v>
      </c>
      <c r="B18" s="661">
        <f>IFERROR('Daily Summary '!C19,"")</f>
        <v>0</v>
      </c>
      <c r="C18" s="661">
        <f>IFERROR('Daily Summary '!D19,"")</f>
        <v>1558.1220000000001</v>
      </c>
      <c r="D18" s="655">
        <f>IFERROR('Daily Summary '!I19,"")</f>
        <v>3.3333333333333333E-2</v>
      </c>
      <c r="E18" s="655">
        <f>IFERROR('Daily Summary '!J19,"")</f>
        <v>0</v>
      </c>
      <c r="F18" s="665">
        <f>IFERROR('Daily Summary '!E19,"")</f>
        <v>0</v>
      </c>
      <c r="G18" s="665">
        <f>IFERROR('Daily Summary '!F19,"")</f>
        <v>0</v>
      </c>
      <c r="H18" s="661">
        <f>IFERROR('Daily Summary '!G19,"")</f>
        <v>0</v>
      </c>
      <c r="I18" s="669">
        <f>IFERROR('Daily Summary '!K19,"")</f>
        <v>2.7777777777777779E-3</v>
      </c>
      <c r="J18" s="669">
        <f>IFERROR('Daily Summary '!L19,"")</f>
        <v>0</v>
      </c>
      <c r="K18" s="669">
        <f>IFERROR('Daily Summary '!M19,"")</f>
        <v>0.93472222222222223</v>
      </c>
      <c r="L18" s="669">
        <f>IFERROR('Daily Summary '!N19,"")</f>
        <v>0</v>
      </c>
      <c r="M18" s="661">
        <f>IFERROR('Daily Summary '!Z19,"")</f>
        <v>0</v>
      </c>
      <c r="N18" s="661">
        <f>IFERROR('Daily Summary '!AC19,"")</f>
        <v>0</v>
      </c>
      <c r="O18" s="661">
        <f>IFERROR('Daily Summary '!AB19,"")</f>
        <v>0</v>
      </c>
      <c r="P18" s="661">
        <f>IFERROR('Daily Summary '!AF19,"")</f>
        <v>0</v>
      </c>
      <c r="Q18" s="661">
        <f>IFERROR('Daily Summary '!AG19,"")</f>
        <v>0</v>
      </c>
    </row>
    <row r="19" spans="1:17" x14ac:dyDescent="0.3">
      <c r="A19" s="658">
        <f>'Daily Summary '!B20</f>
        <v>46261</v>
      </c>
      <c r="B19" s="660">
        <f>IFERROR('Daily Summary '!C20,"")</f>
        <v>124.94709999999999</v>
      </c>
      <c r="C19" s="660">
        <f>IFERROR('Daily Summary '!D20,"")</f>
        <v>1683.0691000000002</v>
      </c>
      <c r="D19" s="654">
        <f>IFERROR('Daily Summary '!I20,"")</f>
        <v>5.2666666666666666</v>
      </c>
      <c r="E19" s="654">
        <f>IFERROR('Daily Summary '!J20,"")</f>
        <v>0</v>
      </c>
      <c r="F19" s="664">
        <f>IFERROR('Daily Summary '!E20,"")</f>
        <v>23.724132911392402</v>
      </c>
      <c r="G19" s="664">
        <f>IFERROR('Daily Summary '!F20,"")</f>
        <v>0.751142857142857</v>
      </c>
      <c r="H19" s="660">
        <f>IFERROR('Daily Summary '!G20,"")</f>
        <v>93.853121685714257</v>
      </c>
      <c r="I19" s="668">
        <f>IFERROR('Daily Summary '!K20,"")</f>
        <v>0.43888888888888888</v>
      </c>
      <c r="J19" s="668">
        <f>IFERROR('Daily Summary '!L20,"")</f>
        <v>0</v>
      </c>
      <c r="K19" s="668">
        <f>IFERROR('Daily Summary '!M20,"")</f>
        <v>0.95416666666666661</v>
      </c>
      <c r="L19" s="668">
        <f>IFERROR('Daily Summary '!N20,"")</f>
        <v>0</v>
      </c>
      <c r="M19" s="660">
        <f>IFERROR('Daily Summary '!Z20,"")</f>
        <v>0</v>
      </c>
      <c r="N19" s="660">
        <f>IFERROR('Daily Summary '!AC20,"")</f>
        <v>0</v>
      </c>
      <c r="O19" s="660">
        <f>IFERROR('Daily Summary '!AB20,"")</f>
        <v>0</v>
      </c>
      <c r="P19" s="660">
        <f>IFERROR('Daily Summary '!AF20,"")</f>
        <v>0</v>
      </c>
      <c r="Q19" s="660">
        <f>IFERROR('Daily Summary '!AG20,"")</f>
        <v>0</v>
      </c>
    </row>
    <row r="20" spans="1:17" x14ac:dyDescent="0.3">
      <c r="A20" s="658">
        <f>'Daily Summary '!B21</f>
        <v>46262</v>
      </c>
      <c r="B20" s="661">
        <f>IFERROR('Daily Summary '!C21,"")</f>
        <v>167.76500000000001</v>
      </c>
      <c r="C20" s="661">
        <f>IFERROR('Daily Summary '!D21,"")</f>
        <v>1850.8341000000003</v>
      </c>
      <c r="D20" s="655">
        <f>IFERROR('Daily Summary '!I21,"")</f>
        <v>8.0166666666666675</v>
      </c>
      <c r="E20" s="655">
        <f>IFERROR('Daily Summary '!J21,"")</f>
        <v>0</v>
      </c>
      <c r="F20" s="665">
        <f>IFERROR('Daily Summary '!E21,"")</f>
        <v>20.927027027027027</v>
      </c>
      <c r="G20" s="665">
        <f>IFERROR('Daily Summary '!F21,"")</f>
        <v>0.6641111111111111</v>
      </c>
      <c r="H20" s="661">
        <f>IFERROR('Daily Summary '!G21,"")</f>
        <v>111.41460055555557</v>
      </c>
      <c r="I20" s="669">
        <f>IFERROR('Daily Summary '!K21,"")</f>
        <v>0.66805555555555562</v>
      </c>
      <c r="J20" s="669">
        <f>IFERROR('Daily Summary '!L21,"")</f>
        <v>0</v>
      </c>
      <c r="K20" s="669">
        <f>IFERROR('Daily Summary '!M21,"")</f>
        <v>0.91666666666666663</v>
      </c>
      <c r="L20" s="669">
        <f>IFERROR('Daily Summary '!N21,"")</f>
        <v>0</v>
      </c>
      <c r="M20" s="661">
        <f>IFERROR('Daily Summary '!Z21,"")</f>
        <v>0</v>
      </c>
      <c r="N20" s="661">
        <f>IFERROR('Daily Summary '!AC21,"")</f>
        <v>0</v>
      </c>
      <c r="O20" s="661">
        <f>IFERROR('Daily Summary '!AB21,"")</f>
        <v>0</v>
      </c>
      <c r="P20" s="661">
        <f>IFERROR('Daily Summary '!AF21,"")</f>
        <v>0</v>
      </c>
      <c r="Q20" s="661">
        <f>IFERROR('Daily Summary '!AG21,"")</f>
        <v>0</v>
      </c>
    </row>
    <row r="21" spans="1:17" x14ac:dyDescent="0.3">
      <c r="A21" s="658">
        <f>'Daily Summary '!B22</f>
        <v>46263</v>
      </c>
      <c r="B21" s="660">
        <f>IFERROR('Daily Summary '!C22,"")</f>
        <v>240.43500000000003</v>
      </c>
      <c r="C21" s="660">
        <f>IFERROR('Daily Summary '!D22,"")</f>
        <v>2091.2691000000004</v>
      </c>
      <c r="D21" s="654">
        <f>IFERROR('Daily Summary '!I22,"")</f>
        <v>10.016666666666667</v>
      </c>
      <c r="E21" s="654">
        <f>IFERROR('Daily Summary '!J22,"")</f>
        <v>0</v>
      </c>
      <c r="F21" s="664">
        <f>IFERROR('Daily Summary '!E22,"")</f>
        <v>24.003494176372712</v>
      </c>
      <c r="G21" s="664">
        <f>IFERROR('Daily Summary '!F22,"")</f>
        <v>0.872</v>
      </c>
      <c r="H21" s="660">
        <f>IFERROR('Daily Summary '!G22,"")</f>
        <v>209.65932000000004</v>
      </c>
      <c r="I21" s="668">
        <f>IFERROR('Daily Summary '!K22,"")</f>
        <v>0.83472222222222225</v>
      </c>
      <c r="J21" s="668">
        <f>IFERROR('Daily Summary '!L22,"")</f>
        <v>0</v>
      </c>
      <c r="K21" s="668">
        <f>IFERROR('Daily Summary '!M22,"")</f>
        <v>0.45902777777777781</v>
      </c>
      <c r="L21" s="668">
        <f>IFERROR('Daily Summary '!N22,"")</f>
        <v>0</v>
      </c>
      <c r="M21" s="660">
        <f>IFERROR('Daily Summary '!Z22,"")</f>
        <v>0</v>
      </c>
      <c r="N21" s="660">
        <f>IFERROR('Daily Summary '!AC22,"")</f>
        <v>0</v>
      </c>
      <c r="O21" s="660">
        <f>IFERROR('Daily Summary '!AB22,"")</f>
        <v>0</v>
      </c>
      <c r="P21" s="660">
        <f>IFERROR('Daily Summary '!AF22,"")</f>
        <v>0</v>
      </c>
      <c r="Q21" s="660">
        <f>IFERROR('Daily Summary '!AG22,"")</f>
        <v>0</v>
      </c>
    </row>
    <row r="22" spans="1:17" x14ac:dyDescent="0.3">
      <c r="A22" s="658">
        <f>'Daily Summary '!B23</f>
        <v>46264</v>
      </c>
      <c r="B22" s="661">
        <f>IFERROR('Daily Summary '!C23,"")</f>
        <v>53.820000000000007</v>
      </c>
      <c r="C22" s="661">
        <f>IFERROR('Daily Summary '!D23,"")</f>
        <v>2145.0891000000006</v>
      </c>
      <c r="D22" s="655">
        <f>IFERROR('Daily Summary '!I23,"")</f>
        <v>2.0333333333333332</v>
      </c>
      <c r="E22" s="655">
        <f>IFERROR('Daily Summary '!J23,"")</f>
        <v>0</v>
      </c>
      <c r="F22" s="665">
        <f>IFERROR('Daily Summary '!E23,"")</f>
        <v>26.4688524590164</v>
      </c>
      <c r="G22" s="665">
        <f>IFERROR('Daily Summary '!F23,"")</f>
        <v>0.98899999999999999</v>
      </c>
      <c r="H22" s="661">
        <f>IFERROR('Daily Summary '!G23,"")</f>
        <v>53.227980000000009</v>
      </c>
      <c r="I22" s="669">
        <f>IFERROR('Daily Summary '!K23,"")</f>
        <v>0.16944444444444443</v>
      </c>
      <c r="J22" s="669">
        <f>IFERROR('Daily Summary '!L23,"")</f>
        <v>0</v>
      </c>
      <c r="K22" s="669">
        <f>IFERROR('Daily Summary '!M23,"")</f>
        <v>1.3888888888888889E-3</v>
      </c>
      <c r="L22" s="669">
        <f>IFERROR('Daily Summary '!N23,"")</f>
        <v>0</v>
      </c>
      <c r="M22" s="661">
        <f>IFERROR('Daily Summary '!Z23,"")</f>
        <v>0</v>
      </c>
      <c r="N22" s="661">
        <f>IFERROR('Daily Summary '!AC23,"")</f>
        <v>0</v>
      </c>
      <c r="O22" s="661">
        <f>IFERROR('Daily Summary '!AB23,"")</f>
        <v>0</v>
      </c>
      <c r="P22" s="661">
        <f>IFERROR('Daily Summary '!AF23,"")</f>
        <v>0</v>
      </c>
      <c r="Q22" s="661">
        <f>IFERROR('Daily Summary '!AG23,"")</f>
        <v>0</v>
      </c>
    </row>
    <row r="23" spans="1:17" x14ac:dyDescent="0.3">
      <c r="A23" s="658">
        <f>'Daily Summary '!B24</f>
        <v>46265</v>
      </c>
      <c r="B23" s="660">
        <f>IFERROR('Daily Summary '!C24,"")</f>
        <v>0</v>
      </c>
      <c r="C23" s="660">
        <f>IFERROR('Daily Summary '!D24,"")</f>
        <v>2145.0891000000006</v>
      </c>
      <c r="D23" s="654">
        <f>IFERROR('Daily Summary '!I24,"")</f>
        <v>0</v>
      </c>
      <c r="E23" s="654">
        <f>IFERROR('Daily Summary '!J24,"")</f>
        <v>22.433333333333334</v>
      </c>
      <c r="F23" s="664" t="str">
        <f>IFERROR('Daily Summary '!E24,"")</f>
        <v/>
      </c>
      <c r="G23" s="664">
        <f>IFERROR('Daily Summary '!F24,"")</f>
        <v>0</v>
      </c>
      <c r="H23" s="660">
        <f>IFERROR('Daily Summary '!G24,"")</f>
        <v>0</v>
      </c>
      <c r="I23" s="668">
        <f>IFERROR('Daily Summary '!K24,"")</f>
        <v>0</v>
      </c>
      <c r="J23" s="668">
        <f>IFERROR('Daily Summary '!L24,"")</f>
        <v>0.93472222222222223</v>
      </c>
      <c r="K23" s="668">
        <f>IFERROR('Daily Summary '!M24,"")</f>
        <v>0.45902777777777781</v>
      </c>
      <c r="L23" s="668">
        <f>IFERROR('Daily Summary '!N24,"")</f>
        <v>0.93472222222222223</v>
      </c>
      <c r="M23" s="660">
        <f>IFERROR('Daily Summary '!Z24,"")</f>
        <v>0</v>
      </c>
      <c r="N23" s="660">
        <f>IFERROR('Daily Summary '!AC24,"")</f>
        <v>0</v>
      </c>
      <c r="O23" s="660">
        <f>IFERROR('Daily Summary '!AB24,"")</f>
        <v>0</v>
      </c>
      <c r="P23" s="660">
        <f>IFERROR('Daily Summary '!AF24,"")</f>
        <v>0</v>
      </c>
      <c r="Q23" s="660">
        <f>IFERROR('Daily Summary '!AG24,"")</f>
        <v>0</v>
      </c>
    </row>
    <row r="24" spans="1:17" x14ac:dyDescent="0.3">
      <c r="A24" s="658">
        <f>'Daily Summary '!B25</f>
        <v>46266</v>
      </c>
      <c r="B24" s="661">
        <f>IFERROR('Daily Summary '!C25,"")</f>
        <v>0</v>
      </c>
      <c r="C24" s="661">
        <f>IFERROR('Daily Summary '!D25,"")</f>
        <v>2145.0891000000006</v>
      </c>
      <c r="D24" s="655">
        <f>IFERROR('Daily Summary '!I25,"")</f>
        <v>0</v>
      </c>
      <c r="E24" s="655">
        <f>IFERROR('Daily Summary '!J25,"")</f>
        <v>22.9</v>
      </c>
      <c r="F24" s="665" t="str">
        <f>IFERROR('Daily Summary '!E25,"")</f>
        <v/>
      </c>
      <c r="G24" s="665">
        <f>IFERROR('Daily Summary '!F25,"")</f>
        <v>0</v>
      </c>
      <c r="H24" s="661">
        <f>IFERROR('Daily Summary '!G25,"")</f>
        <v>0</v>
      </c>
      <c r="I24" s="669">
        <f>IFERROR('Daily Summary '!K25,"")</f>
        <v>0</v>
      </c>
      <c r="J24" s="669">
        <f>IFERROR('Daily Summary '!L25,"")</f>
        <v>0.95416666666666661</v>
      </c>
      <c r="K24" s="669">
        <f>IFERROR('Daily Summary '!M25,"")</f>
        <v>0.90972222222222221</v>
      </c>
      <c r="L24" s="669">
        <f>IFERROR('Daily Summary '!N25,"")</f>
        <v>0.95416666666666661</v>
      </c>
      <c r="M24" s="661">
        <f>IFERROR('Daily Summary '!Z25,"")</f>
        <v>0</v>
      </c>
      <c r="N24" s="661">
        <f>IFERROR('Daily Summary '!AC25,"")</f>
        <v>0</v>
      </c>
      <c r="O24" s="661">
        <f>IFERROR('Daily Summary '!AB25,"")</f>
        <v>0</v>
      </c>
      <c r="P24" s="661">
        <f>IFERROR('Daily Summary '!AF25,"")</f>
        <v>0</v>
      </c>
      <c r="Q24" s="661">
        <f>IFERROR('Daily Summary '!AG25,"")</f>
        <v>0</v>
      </c>
    </row>
    <row r="25" spans="1:17" x14ac:dyDescent="0.3">
      <c r="A25" s="658">
        <f>'Daily Summary '!B26</f>
        <v>46267</v>
      </c>
      <c r="B25" s="660">
        <f>IFERROR('Daily Summary '!C26,"")</f>
        <v>0</v>
      </c>
      <c r="C25" s="660">
        <f>IFERROR('Daily Summary '!D26,"")</f>
        <v>2145.0891000000006</v>
      </c>
      <c r="D25" s="654">
        <f>IFERROR('Daily Summary '!I26,"")</f>
        <v>0</v>
      </c>
      <c r="E25" s="654">
        <f>IFERROR('Daily Summary '!J26,"")</f>
        <v>22</v>
      </c>
      <c r="F25" s="664" t="str">
        <f>IFERROR('Daily Summary '!E26,"")</f>
        <v/>
      </c>
      <c r="G25" s="664">
        <f>IFERROR('Daily Summary '!F26,"")</f>
        <v>0</v>
      </c>
      <c r="H25" s="660">
        <f>IFERROR('Daily Summary '!G26,"")</f>
        <v>0</v>
      </c>
      <c r="I25" s="668">
        <f>IFERROR('Daily Summary '!K26,"")</f>
        <v>0</v>
      </c>
      <c r="J25" s="668">
        <f>IFERROR('Daily Summary '!L26,"")</f>
        <v>0.91666666666666663</v>
      </c>
      <c r="K25" s="668">
        <f>IFERROR('Daily Summary '!M26,"")</f>
        <v>0.93541666666666667</v>
      </c>
      <c r="L25" s="668">
        <f>IFERROR('Daily Summary '!N26,"")</f>
        <v>0.91666666666666663</v>
      </c>
      <c r="M25" s="660">
        <f>IFERROR('Daily Summary '!Z26,"")</f>
        <v>0</v>
      </c>
      <c r="N25" s="660">
        <f>IFERROR('Daily Summary '!AC26,"")</f>
        <v>0</v>
      </c>
      <c r="O25" s="660">
        <f>IFERROR('Daily Summary '!AB26,"")</f>
        <v>0</v>
      </c>
      <c r="P25" s="660">
        <f>IFERROR('Daily Summary '!AF26,"")</f>
        <v>0</v>
      </c>
      <c r="Q25" s="660">
        <f>IFERROR('Daily Summary '!AG26,"")</f>
        <v>0</v>
      </c>
    </row>
    <row r="26" spans="1:17" x14ac:dyDescent="0.3">
      <c r="A26" s="658">
        <f>'Daily Summary '!B27</f>
        <v>46268</v>
      </c>
      <c r="B26" s="661">
        <f>IFERROR('Daily Summary '!C27,"")</f>
        <v>0</v>
      </c>
      <c r="C26" s="661">
        <f>IFERROR('Daily Summary '!D27,"")</f>
        <v>2145.0891000000006</v>
      </c>
      <c r="D26" s="655">
        <f>IFERROR('Daily Summary '!I27,"")</f>
        <v>0</v>
      </c>
      <c r="E26" s="655">
        <f>IFERROR('Daily Summary '!J27,"")</f>
        <v>11.016666666666667</v>
      </c>
      <c r="F26" s="665" t="str">
        <f>IFERROR('Daily Summary '!E27,"")</f>
        <v/>
      </c>
      <c r="G26" s="665">
        <f>IFERROR('Daily Summary '!F27,"")</f>
        <v>0</v>
      </c>
      <c r="H26" s="661">
        <f>IFERROR('Daily Summary '!G27,"")</f>
        <v>0</v>
      </c>
      <c r="I26" s="669">
        <f>IFERROR('Daily Summary '!K27,"")</f>
        <v>0</v>
      </c>
      <c r="J26" s="669">
        <f>IFERROR('Daily Summary '!L27,"")</f>
        <v>0.45902777777777781</v>
      </c>
      <c r="K26" s="669">
        <f>IFERROR('Daily Summary '!M27,"")</f>
        <v>0.9868055555555556</v>
      </c>
      <c r="L26" s="669">
        <f>IFERROR('Daily Summary '!N27,"")</f>
        <v>0.45902777777777781</v>
      </c>
      <c r="M26" s="661">
        <f>IFERROR('Daily Summary '!Z27,"")</f>
        <v>0</v>
      </c>
      <c r="N26" s="661">
        <f>IFERROR('Daily Summary '!AC27,"")</f>
        <v>0</v>
      </c>
      <c r="O26" s="661">
        <f>IFERROR('Daily Summary '!AB27,"")</f>
        <v>0</v>
      </c>
      <c r="P26" s="661">
        <f>IFERROR('Daily Summary '!AF27,"")</f>
        <v>0</v>
      </c>
      <c r="Q26" s="661">
        <f>IFERROR('Daily Summary '!AG27,"")</f>
        <v>0</v>
      </c>
    </row>
    <row r="27" spans="1:17" x14ac:dyDescent="0.3">
      <c r="A27" s="658">
        <f>'Daily Summary '!B28</f>
        <v>46269</v>
      </c>
      <c r="B27" s="660">
        <f>IFERROR('Daily Summary '!C28,"")</f>
        <v>0</v>
      </c>
      <c r="C27" s="660">
        <f>IFERROR('Daily Summary '!D28,"")</f>
        <v>2145.0891000000006</v>
      </c>
      <c r="D27" s="654">
        <f>IFERROR('Daily Summary '!I28,"")</f>
        <v>0</v>
      </c>
      <c r="E27" s="654">
        <f>IFERROR('Daily Summary '!J28,"")</f>
        <v>3.3333333333333333E-2</v>
      </c>
      <c r="F27" s="664" t="str">
        <f>IFERROR('Daily Summary '!E28,"")</f>
        <v/>
      </c>
      <c r="G27" s="664">
        <f>IFERROR('Daily Summary '!F28,"")</f>
        <v>0</v>
      </c>
      <c r="H27" s="660">
        <f>IFERROR('Daily Summary '!G28,"")</f>
        <v>0</v>
      </c>
      <c r="I27" s="668">
        <f>IFERROR('Daily Summary '!K28,"")</f>
        <v>0</v>
      </c>
      <c r="J27" s="668">
        <f>IFERROR('Daily Summary '!L28,"")</f>
        <v>1.3888888888888889E-3</v>
      </c>
      <c r="K27" s="668">
        <f>IFERROR('Daily Summary '!M28,"")</f>
        <v>0.94861111111111107</v>
      </c>
      <c r="L27" s="668">
        <f>IFERROR('Daily Summary '!N28,"")</f>
        <v>1.3888888888888889E-3</v>
      </c>
      <c r="M27" s="660">
        <f>IFERROR('Daily Summary '!Z28,"")</f>
        <v>0</v>
      </c>
      <c r="N27" s="660">
        <f>IFERROR('Daily Summary '!AC28,"")</f>
        <v>0</v>
      </c>
      <c r="O27" s="660">
        <f>IFERROR('Daily Summary '!AB28,"")</f>
        <v>0</v>
      </c>
      <c r="P27" s="660">
        <f>IFERROR('Daily Summary '!AF28,"")</f>
        <v>0</v>
      </c>
      <c r="Q27" s="660">
        <f>IFERROR('Daily Summary '!AG28,"")</f>
        <v>0</v>
      </c>
    </row>
    <row r="28" spans="1:17" x14ac:dyDescent="0.3">
      <c r="A28" s="658">
        <f>'Daily Summary '!B29</f>
        <v>46270</v>
      </c>
      <c r="B28" s="661">
        <f>IFERROR('Daily Summary '!C29,"")</f>
        <v>0</v>
      </c>
      <c r="C28" s="661">
        <f>IFERROR('Daily Summary '!D29,"")</f>
        <v>2145.0891000000006</v>
      </c>
      <c r="D28" s="655">
        <f>IFERROR('Daily Summary '!I29,"")</f>
        <v>0</v>
      </c>
      <c r="E28" s="655">
        <f>IFERROR('Daily Summary '!J29,"")</f>
        <v>11.016666666666667</v>
      </c>
      <c r="F28" s="665" t="str">
        <f>IFERROR('Daily Summary '!E29,"")</f>
        <v/>
      </c>
      <c r="G28" s="665">
        <f>IFERROR('Daily Summary '!F29,"")</f>
        <v>0</v>
      </c>
      <c r="H28" s="661">
        <f>IFERROR('Daily Summary '!G29,"")</f>
        <v>0</v>
      </c>
      <c r="I28" s="669">
        <f>IFERROR('Daily Summary '!K29,"")</f>
        <v>0</v>
      </c>
      <c r="J28" s="669">
        <f>IFERROR('Daily Summary '!L29,"")</f>
        <v>0.45902777777777781</v>
      </c>
      <c r="K28" s="669">
        <f>IFERROR('Daily Summary '!M29,"")</f>
        <v>0.93055555555555547</v>
      </c>
      <c r="L28" s="669">
        <f>IFERROR('Daily Summary '!N29,"")</f>
        <v>0.45902777777777781</v>
      </c>
      <c r="M28" s="661">
        <f>IFERROR('Daily Summary '!Z29,"")</f>
        <v>0</v>
      </c>
      <c r="N28" s="661">
        <f>IFERROR('Daily Summary '!AC29,"")</f>
        <v>0</v>
      </c>
      <c r="O28" s="661">
        <f>IFERROR('Daily Summary '!AB29,"")</f>
        <v>0</v>
      </c>
      <c r="P28" s="661">
        <f>IFERROR('Daily Summary '!AF29,"")</f>
        <v>0</v>
      </c>
      <c r="Q28" s="661">
        <f>IFERROR('Daily Summary '!AG29,"")</f>
        <v>0</v>
      </c>
    </row>
    <row r="29" spans="1:17" x14ac:dyDescent="0.3">
      <c r="A29" s="658">
        <f>'Daily Summary '!B30</f>
        <v>46271</v>
      </c>
      <c r="B29" s="660">
        <f>IFERROR('Daily Summary '!C30,"")</f>
        <v>0</v>
      </c>
      <c r="C29" s="660">
        <f>IFERROR('Daily Summary '!D30,"")</f>
        <v>2145.0891000000006</v>
      </c>
      <c r="D29" s="654">
        <f>IFERROR('Daily Summary '!I30,"")</f>
        <v>0</v>
      </c>
      <c r="E29" s="654">
        <f>IFERROR('Daily Summary '!J30,"")</f>
        <v>21.833333333333332</v>
      </c>
      <c r="F29" s="664" t="str">
        <f>IFERROR('Daily Summary '!E30,"")</f>
        <v/>
      </c>
      <c r="G29" s="664">
        <f>IFERROR('Daily Summary '!F30,"")</f>
        <v>0</v>
      </c>
      <c r="H29" s="660">
        <f>IFERROR('Daily Summary '!G30,"")</f>
        <v>0</v>
      </c>
      <c r="I29" s="668">
        <f>IFERROR('Daily Summary '!K30,"")</f>
        <v>0</v>
      </c>
      <c r="J29" s="668">
        <f>IFERROR('Daily Summary '!L30,"")</f>
        <v>0.90972222222222221</v>
      </c>
      <c r="K29" s="668">
        <f>IFERROR('Daily Summary '!M30,"")</f>
        <v>1</v>
      </c>
      <c r="L29" s="668">
        <f>IFERROR('Daily Summary '!N30,"")</f>
        <v>0.90972222222222221</v>
      </c>
      <c r="M29" s="660">
        <f>IFERROR('Daily Summary '!Z30,"")</f>
        <v>0</v>
      </c>
      <c r="N29" s="660">
        <f>IFERROR('Daily Summary '!AC30,"")</f>
        <v>0</v>
      </c>
      <c r="O29" s="660">
        <f>IFERROR('Daily Summary '!AB30,"")</f>
        <v>0</v>
      </c>
      <c r="P29" s="660">
        <f>IFERROR('Daily Summary '!AF30,"")</f>
        <v>0</v>
      </c>
      <c r="Q29" s="660">
        <f>IFERROR('Daily Summary '!AG30,"")</f>
        <v>0</v>
      </c>
    </row>
    <row r="30" spans="1:17" x14ac:dyDescent="0.3">
      <c r="A30" s="658">
        <f>'Daily Summary '!B31</f>
        <v>46272</v>
      </c>
      <c r="B30" s="661">
        <f>IFERROR('Daily Summary '!C31,"")</f>
        <v>0</v>
      </c>
      <c r="C30" s="661">
        <f>IFERROR('Daily Summary '!D31,"")</f>
        <v>2145.0891000000006</v>
      </c>
      <c r="D30" s="655">
        <f>IFERROR('Daily Summary '!I31,"")</f>
        <v>0</v>
      </c>
      <c r="E30" s="655">
        <f>IFERROR('Daily Summary '!J31,"")</f>
        <v>22.45</v>
      </c>
      <c r="F30" s="665" t="str">
        <f>IFERROR('Daily Summary '!E31,"")</f>
        <v/>
      </c>
      <c r="G30" s="665">
        <f>IFERROR('Daily Summary '!F31,"")</f>
        <v>0</v>
      </c>
      <c r="H30" s="661">
        <f>IFERROR('Daily Summary '!G31,"")</f>
        <v>0</v>
      </c>
      <c r="I30" s="669">
        <f>IFERROR('Daily Summary '!K31,"")</f>
        <v>0</v>
      </c>
      <c r="J30" s="669">
        <f>IFERROR('Daily Summary '!L31,"")</f>
        <v>0.93541666666666667</v>
      </c>
      <c r="K30" s="669">
        <f>IFERROR('Daily Summary '!M31,"")</f>
        <v>1</v>
      </c>
      <c r="L30" s="669">
        <f>IFERROR('Daily Summary '!N31,"")</f>
        <v>0.93541666666666667</v>
      </c>
      <c r="M30" s="661">
        <f>IFERROR('Daily Summary '!Z31,"")</f>
        <v>0</v>
      </c>
      <c r="N30" s="661">
        <f>IFERROR('Daily Summary '!AC31,"")</f>
        <v>0</v>
      </c>
      <c r="O30" s="661">
        <f>IFERROR('Daily Summary '!AB31,"")</f>
        <v>0</v>
      </c>
      <c r="P30" s="661">
        <f>IFERROR('Daily Summary '!AF31,"")</f>
        <v>0</v>
      </c>
      <c r="Q30" s="661">
        <f>IFERROR('Daily Summary '!AG31,"")</f>
        <v>0</v>
      </c>
    </row>
    <row r="31" spans="1:17" x14ac:dyDescent="0.3">
      <c r="A31" s="658">
        <f>'Daily Summary '!B32</f>
        <v>46273</v>
      </c>
      <c r="B31" s="660">
        <f>IFERROR('Daily Summary '!C32,"")</f>
        <v>0</v>
      </c>
      <c r="C31" s="660">
        <f>IFERROR('Daily Summary '!D32,"")</f>
        <v>2145.0891000000006</v>
      </c>
      <c r="D31" s="654">
        <f>IFERROR('Daily Summary '!I32,"")</f>
        <v>0</v>
      </c>
      <c r="E31" s="654">
        <f>IFERROR('Daily Summary '!J32,"")</f>
        <v>23.683333333333334</v>
      </c>
      <c r="F31" s="664" t="str">
        <f>IFERROR('Daily Summary '!E32,"")</f>
        <v/>
      </c>
      <c r="G31" s="664">
        <f>IFERROR('Daily Summary '!F32,"")</f>
        <v>0</v>
      </c>
      <c r="H31" s="660">
        <f>IFERROR('Daily Summary '!G32,"")</f>
        <v>0</v>
      </c>
      <c r="I31" s="668">
        <f>IFERROR('Daily Summary '!K32,"")</f>
        <v>0</v>
      </c>
      <c r="J31" s="668">
        <f>IFERROR('Daily Summary '!L32,"")</f>
        <v>0.9868055555555556</v>
      </c>
      <c r="K31" s="668">
        <f>IFERROR('Daily Summary '!M32,"")</f>
        <v>1</v>
      </c>
      <c r="L31" s="668">
        <f>IFERROR('Daily Summary '!N32,"")</f>
        <v>0.9868055555555556</v>
      </c>
      <c r="M31" s="660">
        <f>IFERROR('Daily Summary '!Z32,"")</f>
        <v>0</v>
      </c>
      <c r="N31" s="660">
        <f>IFERROR('Daily Summary '!AC32,"")</f>
        <v>0</v>
      </c>
      <c r="O31" s="660">
        <f>IFERROR('Daily Summary '!AB32,"")</f>
        <v>0</v>
      </c>
      <c r="P31" s="660">
        <f>IFERROR('Daily Summary '!AF32,"")</f>
        <v>0</v>
      </c>
      <c r="Q31" s="660">
        <f>IFERROR('Daily Summary '!AG32,"")</f>
        <v>0</v>
      </c>
    </row>
    <row r="32" spans="1:17" x14ac:dyDescent="0.3">
      <c r="A32" s="658">
        <f>'Daily Summary '!B33</f>
        <v>46274</v>
      </c>
      <c r="B32" s="661">
        <f>IFERROR('Daily Summary '!C33,"")</f>
        <v>0</v>
      </c>
      <c r="C32" s="661">
        <f>IFERROR('Daily Summary '!D33,"")</f>
        <v>2145.0891000000006</v>
      </c>
      <c r="D32" s="655">
        <f>IFERROR('Daily Summary '!I33,"")</f>
        <v>0</v>
      </c>
      <c r="E32" s="655">
        <f>IFERROR('Daily Summary '!J33,"")</f>
        <v>22.766666666666666</v>
      </c>
      <c r="F32" s="665" t="str">
        <f>IFERROR('Daily Summary '!E33,"")</f>
        <v/>
      </c>
      <c r="G32" s="665">
        <f>IFERROR('Daily Summary '!F33,"")</f>
        <v>0</v>
      </c>
      <c r="H32" s="661">
        <f>IFERROR('Daily Summary '!G33,"")</f>
        <v>0</v>
      </c>
      <c r="I32" s="669">
        <f>IFERROR('Daily Summary '!K33,"")</f>
        <v>0</v>
      </c>
      <c r="J32" s="669">
        <f>IFERROR('Daily Summary '!L33,"")</f>
        <v>0.94861111111111107</v>
      </c>
      <c r="K32" s="669">
        <f>IFERROR('Daily Summary '!M33,"")</f>
        <v>1</v>
      </c>
      <c r="L32" s="669">
        <f>IFERROR('Daily Summary '!N33,"")</f>
        <v>0.94861111111111107</v>
      </c>
      <c r="M32" s="661">
        <f>IFERROR('Daily Summary '!Z33,"")</f>
        <v>0</v>
      </c>
      <c r="N32" s="661">
        <f>IFERROR('Daily Summary '!AC33,"")</f>
        <v>0</v>
      </c>
      <c r="O32" s="661">
        <f>IFERROR('Daily Summary '!AB33,"")</f>
        <v>0</v>
      </c>
      <c r="P32" s="661">
        <f>IFERROR('Daily Summary '!AF33,"")</f>
        <v>0</v>
      </c>
      <c r="Q32" s="661">
        <f>IFERROR('Daily Summary '!AG33,"")</f>
        <v>0</v>
      </c>
    </row>
    <row r="33" spans="1:17" ht="15" thickBot="1" x14ac:dyDescent="0.35">
      <c r="A33" s="658">
        <f>'Daily Summary '!B34</f>
        <v>46275</v>
      </c>
      <c r="B33" s="662">
        <f>IFERROR('Daily Summary '!C34,"")</f>
        <v>0</v>
      </c>
      <c r="C33" s="662">
        <f>IFERROR('Daily Summary '!D34,"")</f>
        <v>2145.0891000000006</v>
      </c>
      <c r="D33" s="656">
        <f>IFERROR('Daily Summary '!I34,"")</f>
        <v>0</v>
      </c>
      <c r="E33" s="656">
        <f>IFERROR('Daily Summary '!J34,"")</f>
        <v>22.333333333333332</v>
      </c>
      <c r="F33" s="666" t="str">
        <f>IFERROR('Daily Summary '!E34,"")</f>
        <v/>
      </c>
      <c r="G33" s="666">
        <f>IFERROR('Daily Summary '!F34,"")</f>
        <v>0</v>
      </c>
      <c r="H33" s="662">
        <f>IFERROR('Daily Summary '!G34,"")</f>
        <v>0</v>
      </c>
      <c r="I33" s="670">
        <f>IFERROR('Daily Summary '!K34,"")</f>
        <v>0</v>
      </c>
      <c r="J33" s="670">
        <f>IFERROR('Daily Summary '!L34,"")</f>
        <v>0.93055555555555547</v>
      </c>
      <c r="K33" s="670">
        <f>IFERROR('Daily Summary '!M34,"")</f>
        <v>1</v>
      </c>
      <c r="L33" s="670">
        <f>IFERROR('Daily Summary '!N34,"")</f>
        <v>0.93055555555555547</v>
      </c>
      <c r="M33" s="662">
        <f>IFERROR('Daily Summary '!Z34,"")</f>
        <v>0</v>
      </c>
      <c r="N33" s="662">
        <f>IFERROR('Daily Summary '!AC34,"")</f>
        <v>0</v>
      </c>
      <c r="O33" s="662">
        <f>IFERROR('Daily Summary '!AB34,"")</f>
        <v>0</v>
      </c>
      <c r="P33" s="662">
        <f>IFERROR('Daily Summary '!AF34,"")</f>
        <v>0</v>
      </c>
      <c r="Q33" s="662">
        <f>IFERROR('Daily Summary '!AG34,"")</f>
        <v>0</v>
      </c>
    </row>
    <row r="34" spans="1:17" x14ac:dyDescent="0.3">
      <c r="A34" s="444" t="s">
        <v>582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</row>
  </sheetData>
  <mergeCells count="3">
    <mergeCell ref="A2:Q2"/>
    <mergeCell ref="A3:Q3"/>
    <mergeCell ref="A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24D"/>
  </sheetPr>
  <dimension ref="A1:AS1014"/>
  <sheetViews>
    <sheetView showGridLines="0" workbookViewId="0">
      <pane xSplit="2" topLeftCell="C1" activePane="topRight" state="frozen"/>
      <selection pane="topRight"/>
    </sheetView>
  </sheetViews>
  <sheetFormatPr defaultColWidth="14.44140625" defaultRowHeight="14.4" x14ac:dyDescent="0.3"/>
  <cols>
    <col min="2" max="2" width="12" customWidth="1"/>
    <col min="3" max="14" width="11" customWidth="1"/>
    <col min="15" max="19" width="13" customWidth="1"/>
    <col min="20" max="20" width="13" style="8" customWidth="1"/>
    <col min="21" max="21" width="13" style="12" customWidth="1"/>
    <col min="22" max="25" width="13" customWidth="1"/>
    <col min="26" max="45" width="12" customWidth="1"/>
  </cols>
  <sheetData>
    <row r="1" spans="1:45" ht="24" customHeight="1" x14ac:dyDescent="0.3">
      <c r="A1" s="34"/>
      <c r="B1" s="34"/>
      <c r="C1" s="35"/>
      <c r="D1" s="36"/>
      <c r="E1" s="36"/>
      <c r="F1" s="34"/>
      <c r="G1" s="36"/>
      <c r="H1" s="533" t="s">
        <v>0</v>
      </c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368"/>
      <c r="AL1" s="368"/>
      <c r="AM1" s="368"/>
      <c r="AN1" s="368"/>
      <c r="AO1" s="368"/>
      <c r="AP1" s="368"/>
      <c r="AQ1" s="368"/>
      <c r="AR1" s="368"/>
      <c r="AS1" s="368"/>
    </row>
    <row r="2" spans="1:45" ht="18" customHeight="1" x14ac:dyDescent="0.3">
      <c r="A2" s="34"/>
      <c r="B2" s="34"/>
      <c r="C2" s="35"/>
      <c r="D2" s="36"/>
      <c r="E2" s="36"/>
      <c r="F2" s="34"/>
      <c r="G2" s="34"/>
      <c r="H2" s="534" t="s">
        <v>1</v>
      </c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4"/>
      <c r="AA2" s="534"/>
      <c r="AB2" s="534"/>
      <c r="AC2" s="534"/>
      <c r="AD2" s="534"/>
      <c r="AE2" s="534"/>
      <c r="AF2" s="534"/>
      <c r="AG2" s="534"/>
      <c r="AH2" s="534"/>
      <c r="AI2" s="534"/>
      <c r="AJ2" s="534"/>
      <c r="AK2" s="369"/>
      <c r="AL2" s="369"/>
      <c r="AM2" s="369"/>
      <c r="AN2" s="369"/>
      <c r="AO2" s="369"/>
      <c r="AP2" s="369"/>
      <c r="AQ2" s="369"/>
      <c r="AR2" s="369"/>
      <c r="AS2" s="369"/>
    </row>
    <row r="3" spans="1:45" x14ac:dyDescent="0.3">
      <c r="A3" s="34"/>
      <c r="B3" s="34"/>
      <c r="C3" s="35"/>
      <c r="D3" s="36"/>
      <c r="E3" s="36"/>
      <c r="F3" s="34"/>
      <c r="G3" s="34"/>
      <c r="H3" s="36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</row>
    <row r="4" spans="1:45" x14ac:dyDescent="0.3">
      <c r="A4" s="34"/>
      <c r="B4" s="37"/>
      <c r="C4" s="38"/>
      <c r="D4" s="39"/>
      <c r="E4" s="39"/>
      <c r="F4" s="37"/>
      <c r="G4" s="37"/>
      <c r="H4" s="37"/>
      <c r="I4" s="38"/>
      <c r="J4" s="38"/>
      <c r="K4" s="39"/>
      <c r="L4" s="39"/>
      <c r="M4" s="39"/>
      <c r="N4" s="37"/>
      <c r="O4" s="37"/>
      <c r="P4" s="37"/>
      <c r="Q4" s="37"/>
      <c r="R4" s="37"/>
      <c r="S4" s="37"/>
      <c r="T4" s="39"/>
      <c r="U4" s="40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4"/>
      <c r="AK4" s="34"/>
      <c r="AL4" s="34"/>
      <c r="AM4" s="34"/>
      <c r="AN4" s="34"/>
      <c r="AO4" s="34"/>
      <c r="AP4" s="34"/>
      <c r="AQ4" s="34"/>
      <c r="AR4" s="34"/>
      <c r="AS4" s="34"/>
    </row>
    <row r="5" spans="1:45" ht="22.05" customHeight="1" x14ac:dyDescent="0.3">
      <c r="A5" s="41"/>
      <c r="B5" s="532" t="s">
        <v>2</v>
      </c>
      <c r="C5" s="536" t="s">
        <v>3</v>
      </c>
      <c r="D5" s="532"/>
      <c r="E5" s="532"/>
      <c r="F5" s="532"/>
      <c r="G5" s="532"/>
      <c r="H5" s="532"/>
      <c r="I5" s="536" t="s">
        <v>4</v>
      </c>
      <c r="J5" s="536" t="s">
        <v>5</v>
      </c>
      <c r="K5" s="532" t="s">
        <v>6</v>
      </c>
      <c r="L5" s="532"/>
      <c r="M5" s="532"/>
      <c r="N5" s="532" t="s">
        <v>7</v>
      </c>
      <c r="O5" s="532" t="s">
        <v>8</v>
      </c>
      <c r="P5" s="532"/>
      <c r="Q5" s="532"/>
      <c r="R5" s="532"/>
      <c r="S5" s="532"/>
      <c r="T5" s="532"/>
      <c r="U5" s="532"/>
      <c r="V5" s="532"/>
      <c r="W5" s="532"/>
      <c r="X5" s="532"/>
      <c r="Y5" s="532"/>
      <c r="Z5" s="532" t="s">
        <v>9</v>
      </c>
      <c r="AA5" s="532"/>
      <c r="AB5" s="532"/>
      <c r="AC5" s="532"/>
      <c r="AD5" s="532"/>
      <c r="AE5" s="532"/>
      <c r="AF5" s="532"/>
      <c r="AG5" s="532"/>
      <c r="AH5" s="532" t="s">
        <v>10</v>
      </c>
      <c r="AI5" s="532"/>
      <c r="AJ5" s="532" t="s">
        <v>11</v>
      </c>
      <c r="AK5" s="532"/>
      <c r="AL5" s="532"/>
      <c r="AM5" s="532"/>
      <c r="AN5" s="532"/>
      <c r="AO5" s="532"/>
      <c r="AP5" s="532" t="s">
        <v>12</v>
      </c>
      <c r="AQ5" s="532"/>
      <c r="AR5" s="370"/>
      <c r="AS5" s="370" t="s">
        <v>13</v>
      </c>
    </row>
    <row r="6" spans="1:45" ht="24" customHeight="1" x14ac:dyDescent="0.3">
      <c r="A6" s="41"/>
      <c r="B6" s="535"/>
      <c r="C6" s="372" t="s">
        <v>14</v>
      </c>
      <c r="D6" s="371" t="s">
        <v>15</v>
      </c>
      <c r="E6" s="371" t="s">
        <v>16</v>
      </c>
      <c r="F6" s="371" t="s">
        <v>17</v>
      </c>
      <c r="G6" s="371" t="s">
        <v>18</v>
      </c>
      <c r="H6" s="371" t="s">
        <v>19</v>
      </c>
      <c r="I6" s="535"/>
      <c r="J6" s="537"/>
      <c r="K6" s="371" t="s">
        <v>20</v>
      </c>
      <c r="L6" s="371" t="s">
        <v>21</v>
      </c>
      <c r="M6" s="371" t="s">
        <v>22</v>
      </c>
      <c r="N6" s="535"/>
      <c r="O6" s="371" t="s">
        <v>23</v>
      </c>
      <c r="P6" s="371" t="s">
        <v>24</v>
      </c>
      <c r="Q6" s="371" t="s">
        <v>25</v>
      </c>
      <c r="R6" s="371" t="s">
        <v>26</v>
      </c>
      <c r="S6" s="371" t="s">
        <v>27</v>
      </c>
      <c r="T6" s="371" t="s">
        <v>28</v>
      </c>
      <c r="U6" s="373" t="s">
        <v>29</v>
      </c>
      <c r="V6" s="371" t="s">
        <v>30</v>
      </c>
      <c r="W6" s="371" t="s">
        <v>31</v>
      </c>
      <c r="X6" s="371" t="s">
        <v>32</v>
      </c>
      <c r="Y6" s="371" t="s">
        <v>33</v>
      </c>
      <c r="Z6" s="371" t="s">
        <v>34</v>
      </c>
      <c r="AA6" s="371" t="s">
        <v>35</v>
      </c>
      <c r="AB6" s="371" t="s">
        <v>36</v>
      </c>
      <c r="AC6" s="371" t="s">
        <v>37</v>
      </c>
      <c r="AD6" s="371" t="s">
        <v>38</v>
      </c>
      <c r="AE6" s="371" t="s">
        <v>39</v>
      </c>
      <c r="AF6" s="371" t="s">
        <v>40</v>
      </c>
      <c r="AG6" s="371" t="s">
        <v>41</v>
      </c>
      <c r="AH6" s="371" t="s">
        <v>42</v>
      </c>
      <c r="AI6" s="371" t="s">
        <v>43</v>
      </c>
      <c r="AJ6" s="371" t="s">
        <v>44</v>
      </c>
      <c r="AK6" s="371" t="s">
        <v>36</v>
      </c>
      <c r="AL6" s="371" t="s">
        <v>37</v>
      </c>
      <c r="AM6" s="371" t="s">
        <v>38</v>
      </c>
      <c r="AN6" s="371" t="s">
        <v>39</v>
      </c>
      <c r="AO6" s="371" t="s">
        <v>40</v>
      </c>
      <c r="AP6" s="371" t="s">
        <v>45</v>
      </c>
      <c r="AQ6" s="371" t="s">
        <v>46</v>
      </c>
      <c r="AR6" s="371"/>
      <c r="AS6" s="371" t="s">
        <v>47</v>
      </c>
    </row>
    <row r="7" spans="1:45" x14ac:dyDescent="0.3">
      <c r="A7" s="42"/>
      <c r="B7" s="43">
        <v>46174</v>
      </c>
      <c r="C7" s="44">
        <f>Crushing!N6</f>
        <v>0</v>
      </c>
      <c r="D7" s="44">
        <f>C7</f>
        <v>0</v>
      </c>
      <c r="E7" s="44" t="e">
        <f>C7/I7</f>
        <v>#DIV/0!</v>
      </c>
      <c r="F7" s="45"/>
      <c r="G7" s="46">
        <f>C7*F7</f>
        <v>0</v>
      </c>
      <c r="H7" s="47">
        <f>G7/1000</f>
        <v>0</v>
      </c>
      <c r="I7" s="44"/>
      <c r="J7" s="44">
        <v>0</v>
      </c>
      <c r="K7" s="30"/>
      <c r="L7" s="30">
        <f>J7/24</f>
        <v>0</v>
      </c>
      <c r="M7" s="30">
        <v>1</v>
      </c>
      <c r="N7" s="30">
        <f>IF(L7=100%,I7/24*100%,L7)</f>
        <v>0</v>
      </c>
      <c r="O7" s="48"/>
      <c r="P7" s="48"/>
      <c r="Q7" s="45"/>
      <c r="R7" s="45"/>
      <c r="S7" s="45"/>
      <c r="T7" s="45">
        <f>(O7*R7)-(S7*O7)</f>
        <v>0</v>
      </c>
      <c r="U7" s="30" t="e">
        <f>((R7-S7)/R7)</f>
        <v>#DIV/0!</v>
      </c>
      <c r="V7" s="49"/>
      <c r="W7" s="49"/>
      <c r="X7" s="49"/>
      <c r="Y7" s="49"/>
      <c r="Z7" s="45">
        <f>'Reagent Consumption'!O7</f>
        <v>0</v>
      </c>
      <c r="AA7" s="44">
        <f>'Fuel Consumption'!F4</f>
        <v>0</v>
      </c>
      <c r="AB7" s="45">
        <f>'Reagent Consumption'!Q7</f>
        <v>0</v>
      </c>
      <c r="AC7" s="45">
        <f>'Reagent Consumption'!P7</f>
        <v>0</v>
      </c>
      <c r="AD7" s="45">
        <f>'Reagent Consumption'!R7</f>
        <v>0</v>
      </c>
      <c r="AE7" s="45">
        <f>'Reagent Consumption'!S7</f>
        <v>0</v>
      </c>
      <c r="AF7" s="45">
        <f>'Reagent Consumption'!T7</f>
        <v>0</v>
      </c>
      <c r="AG7" s="45">
        <f>'Fuel Consumption'!F4</f>
        <v>0</v>
      </c>
      <c r="AH7" s="45"/>
      <c r="AI7" s="45"/>
      <c r="AJ7" s="45"/>
      <c r="AK7" s="45"/>
      <c r="AL7" s="45"/>
      <c r="AM7" s="45"/>
      <c r="AN7" s="45"/>
      <c r="AO7" s="45"/>
      <c r="AP7" s="45"/>
      <c r="AQ7" s="49"/>
      <c r="AR7" s="34"/>
      <c r="AS7" s="34" t="s">
        <v>48</v>
      </c>
    </row>
    <row r="8" spans="1:45" x14ac:dyDescent="0.3">
      <c r="A8" s="42"/>
      <c r="B8" s="43">
        <v>46175</v>
      </c>
      <c r="C8" s="44">
        <f>Crushing!N8</f>
        <v>78.043500000000009</v>
      </c>
      <c r="D8" s="44">
        <f t="shared" ref="D8:D13" si="0">D7+C8</f>
        <v>78.043500000000009</v>
      </c>
      <c r="E8" s="44">
        <f t="shared" ref="E8:E11" si="1">C8/I8</f>
        <v>7.0734290030211486</v>
      </c>
      <c r="F8" s="45">
        <v>1.45</v>
      </c>
      <c r="G8" s="44">
        <f>C8*F8</f>
        <v>113.16307500000001</v>
      </c>
      <c r="H8" s="47">
        <f>G8/1000</f>
        <v>0.113163075</v>
      </c>
      <c r="I8" s="44">
        <f>'Crushing Down Time Hours'!L7</f>
        <v>11.033333333333333</v>
      </c>
      <c r="J8" s="44">
        <v>0</v>
      </c>
      <c r="K8" s="30"/>
      <c r="L8" s="30">
        <f t="shared" ref="L8:L45" si="2">J8/24</f>
        <v>0</v>
      </c>
      <c r="M8" s="30">
        <v>1</v>
      </c>
      <c r="N8" s="30">
        <f>IF(L8=100%,I8/24*100%,L8)</f>
        <v>0</v>
      </c>
      <c r="O8" s="50"/>
      <c r="P8" s="50"/>
      <c r="Q8" s="49"/>
      <c r="R8" s="49"/>
      <c r="S8" s="49"/>
      <c r="T8" s="45">
        <f t="shared" ref="T8:T37" si="3">(P8*R8)-(S8*P8)</f>
        <v>0</v>
      </c>
      <c r="U8" s="30" t="e">
        <f t="shared" ref="U8:U37" si="4">((R8-S8)/R8)</f>
        <v>#DIV/0!</v>
      </c>
      <c r="V8" s="49"/>
      <c r="W8" s="49"/>
      <c r="X8" s="49"/>
      <c r="Y8" s="49"/>
      <c r="Z8" s="45">
        <f>'Reagent Consumption'!O8</f>
        <v>0</v>
      </c>
      <c r="AA8" s="44">
        <f>'Fuel Consumption'!F5</f>
        <v>0</v>
      </c>
      <c r="AB8" s="45">
        <f>'Reagent Consumption'!Q8</f>
        <v>0</v>
      </c>
      <c r="AC8" s="45">
        <f>'Reagent Consumption'!P8</f>
        <v>0</v>
      </c>
      <c r="AD8" s="45">
        <f>'Reagent Consumption'!R8</f>
        <v>0</v>
      </c>
      <c r="AE8" s="45">
        <f>'Reagent Consumption'!S8</f>
        <v>0</v>
      </c>
      <c r="AF8" s="45">
        <f>'Reagent Consumption'!T8</f>
        <v>0</v>
      </c>
      <c r="AG8" s="45">
        <f>'Fuel Consumption'!F5</f>
        <v>0</v>
      </c>
      <c r="AH8" s="45"/>
      <c r="AI8" s="45"/>
      <c r="AJ8" s="45"/>
      <c r="AK8" s="45"/>
      <c r="AL8" s="45"/>
      <c r="AM8" s="45"/>
      <c r="AN8" s="45"/>
      <c r="AO8" s="45"/>
      <c r="AP8" s="45"/>
      <c r="AQ8" s="49"/>
      <c r="AR8" s="34"/>
      <c r="AS8" s="34" t="s">
        <v>49</v>
      </c>
    </row>
    <row r="9" spans="1:45" x14ac:dyDescent="0.3">
      <c r="A9" s="42"/>
      <c r="B9" s="43">
        <v>46176</v>
      </c>
      <c r="C9" s="44">
        <f>Crushing!N10</f>
        <v>17.712000000000003</v>
      </c>
      <c r="D9" s="44">
        <f t="shared" si="0"/>
        <v>95.755500000000012</v>
      </c>
      <c r="E9" s="44">
        <f t="shared" si="1"/>
        <v>1.6053172205438069</v>
      </c>
      <c r="F9" s="51">
        <v>1.45</v>
      </c>
      <c r="G9" s="52">
        <f t="shared" ref="G9:G16" si="5">F9*C9</f>
        <v>25.682400000000005</v>
      </c>
      <c r="H9" s="53">
        <f t="shared" ref="H9:H17" si="6">G9/1000</f>
        <v>2.5682400000000005E-2</v>
      </c>
      <c r="I9" s="44">
        <f>'Crushing Down Time Hours'!L8</f>
        <v>11.033333333333333</v>
      </c>
      <c r="J9" s="44">
        <v>0</v>
      </c>
      <c r="K9" s="30"/>
      <c r="L9" s="30">
        <f t="shared" si="2"/>
        <v>0</v>
      </c>
      <c r="M9" s="30">
        <v>1</v>
      </c>
      <c r="N9" s="30">
        <f>IF(L9=100%,(I9/24),L9)</f>
        <v>0</v>
      </c>
      <c r="O9" s="50"/>
      <c r="P9" s="50"/>
      <c r="Q9" s="49"/>
      <c r="R9" s="49"/>
      <c r="S9" s="49"/>
      <c r="T9" s="45">
        <f t="shared" si="3"/>
        <v>0</v>
      </c>
      <c r="U9" s="30" t="e">
        <f>((R9-S9)/R9)</f>
        <v>#DIV/0!</v>
      </c>
      <c r="V9" s="49"/>
      <c r="W9" s="49"/>
      <c r="X9" s="49"/>
      <c r="Y9" s="49"/>
      <c r="Z9" s="45">
        <f>'Reagent Consumption'!O9</f>
        <v>0</v>
      </c>
      <c r="AA9" s="44">
        <f>'Fuel Consumption'!F6</f>
        <v>0</v>
      </c>
      <c r="AB9" s="45">
        <f>'Reagent Consumption'!Q9</f>
        <v>0</v>
      </c>
      <c r="AC9" s="45">
        <f>'Reagent Consumption'!P9</f>
        <v>0</v>
      </c>
      <c r="AD9" s="45">
        <f>'Reagent Consumption'!R9</f>
        <v>0</v>
      </c>
      <c r="AE9" s="45">
        <f>'Reagent Consumption'!S9</f>
        <v>0</v>
      </c>
      <c r="AF9" s="45">
        <f>'Reagent Consumption'!T9</f>
        <v>0</v>
      </c>
      <c r="AG9" s="45">
        <f>'Fuel Consumption'!F6</f>
        <v>0</v>
      </c>
      <c r="AH9" s="45"/>
      <c r="AI9" s="45"/>
      <c r="AJ9" s="45"/>
      <c r="AK9" s="45"/>
      <c r="AL9" s="45"/>
      <c r="AM9" s="45"/>
      <c r="AN9" s="45"/>
      <c r="AO9" s="45"/>
      <c r="AP9" s="45"/>
      <c r="AQ9" s="49"/>
      <c r="AR9" s="34"/>
      <c r="AS9" s="34" t="s">
        <v>50</v>
      </c>
    </row>
    <row r="10" spans="1:45" x14ac:dyDescent="0.3">
      <c r="A10" s="42"/>
      <c r="B10" s="43">
        <v>46177</v>
      </c>
      <c r="C10" s="44">
        <f>Crushing!N12</f>
        <v>157.9905</v>
      </c>
      <c r="D10" s="44">
        <f t="shared" si="0"/>
        <v>253.74600000000001</v>
      </c>
      <c r="E10" s="44">
        <f t="shared" si="1"/>
        <v>16.74810954063604</v>
      </c>
      <c r="F10" s="45">
        <v>1.45</v>
      </c>
      <c r="G10" s="52">
        <f t="shared" si="5"/>
        <v>229.08622499999998</v>
      </c>
      <c r="H10" s="53">
        <f t="shared" si="6"/>
        <v>0.22908622499999998</v>
      </c>
      <c r="I10" s="44">
        <f>'Crushing Down Time Hours'!L9</f>
        <v>9.4333333333333353</v>
      </c>
      <c r="J10" s="44">
        <v>0</v>
      </c>
      <c r="K10" s="30"/>
      <c r="L10" s="30">
        <f t="shared" si="2"/>
        <v>0</v>
      </c>
      <c r="M10" s="30">
        <v>1</v>
      </c>
      <c r="N10" s="30">
        <f t="shared" ref="N10:N45" si="7">IF(L10=100%,I10/24*100%,L10)</f>
        <v>0</v>
      </c>
      <c r="O10" s="50"/>
      <c r="P10" s="50"/>
      <c r="Q10" s="49"/>
      <c r="R10" s="42"/>
      <c r="S10" s="49"/>
      <c r="T10" s="45">
        <f t="shared" si="3"/>
        <v>0</v>
      </c>
      <c r="U10" s="30" t="e">
        <f>((R10-S10)/R10)</f>
        <v>#DIV/0!</v>
      </c>
      <c r="V10" s="49"/>
      <c r="W10" s="49"/>
      <c r="X10" s="49"/>
      <c r="Y10" s="49"/>
      <c r="Z10" s="45">
        <f>'Reagent Consumption'!O10</f>
        <v>150</v>
      </c>
      <c r="AA10" s="44">
        <f>'Fuel Consumption'!F7</f>
        <v>0</v>
      </c>
      <c r="AB10" s="45">
        <f>'Reagent Consumption'!Q10</f>
        <v>0</v>
      </c>
      <c r="AC10" s="45">
        <f>'Reagent Consumption'!P10</f>
        <v>250</v>
      </c>
      <c r="AD10" s="45">
        <f>'Reagent Consumption'!R10</f>
        <v>0</v>
      </c>
      <c r="AE10" s="45">
        <f>'Reagent Consumption'!S10</f>
        <v>0</v>
      </c>
      <c r="AF10" s="45">
        <f>'Reagent Consumption'!T10</f>
        <v>0</v>
      </c>
      <c r="AG10" s="45">
        <f>'Fuel Consumption'!F7</f>
        <v>0</v>
      </c>
      <c r="AH10" s="45"/>
      <c r="AI10" s="45"/>
      <c r="AJ10" s="45"/>
      <c r="AK10" s="45"/>
      <c r="AL10" s="45"/>
      <c r="AM10" s="45"/>
      <c r="AN10" s="45"/>
      <c r="AO10" s="45"/>
      <c r="AP10" s="45"/>
      <c r="AQ10" s="49"/>
      <c r="AR10" s="34"/>
      <c r="AS10" s="34" t="s">
        <v>51</v>
      </c>
    </row>
    <row r="11" spans="1:45" x14ac:dyDescent="0.3">
      <c r="A11" s="42"/>
      <c r="B11" s="43">
        <v>46252</v>
      </c>
      <c r="C11" s="44">
        <f>Crushing!N14</f>
        <v>37.919199999999996</v>
      </c>
      <c r="D11" s="44">
        <f t="shared" si="0"/>
        <v>291.66520000000003</v>
      </c>
      <c r="E11" s="44">
        <f t="shared" si="1"/>
        <v>18.648786885245901</v>
      </c>
      <c r="F11" s="45">
        <v>0.77</v>
      </c>
      <c r="G11" s="52">
        <f t="shared" si="5"/>
        <v>29.197783999999999</v>
      </c>
      <c r="H11" s="53">
        <f t="shared" si="6"/>
        <v>2.9197783999999997E-2</v>
      </c>
      <c r="I11" s="44">
        <f>'Crushing Down Time Hours'!L6</f>
        <v>2.0333333333333332</v>
      </c>
      <c r="J11" s="44">
        <v>0</v>
      </c>
      <c r="K11" s="30">
        <f>'Crushing Down Time Hours'!M6</f>
        <v>0.16944444444444443</v>
      </c>
      <c r="L11" s="30">
        <f t="shared" si="2"/>
        <v>0</v>
      </c>
      <c r="M11" s="30">
        <v>1</v>
      </c>
      <c r="N11" s="30">
        <f t="shared" si="7"/>
        <v>0</v>
      </c>
      <c r="O11" s="49"/>
      <c r="P11" s="49"/>
      <c r="Q11" s="54"/>
      <c r="R11" s="50"/>
      <c r="S11" s="49"/>
      <c r="T11" s="45">
        <f t="shared" si="3"/>
        <v>0</v>
      </c>
      <c r="U11" s="30" t="e">
        <f>((Q12-S11)/Q12)</f>
        <v>#DIV/0!</v>
      </c>
      <c r="V11" s="49"/>
      <c r="W11" s="49"/>
      <c r="X11" s="49"/>
      <c r="Y11" s="49"/>
      <c r="Z11" s="45">
        <f>'Reagent Consumption'!O11</f>
        <v>225</v>
      </c>
      <c r="AA11" s="44">
        <f>'Fuel Consumption'!F8</f>
        <v>0</v>
      </c>
      <c r="AB11" s="45">
        <f>'Reagent Consumption'!Q11</f>
        <v>1000</v>
      </c>
      <c r="AC11" s="45">
        <f>'Reagent Consumption'!P11</f>
        <v>1250</v>
      </c>
      <c r="AD11" s="45">
        <f>'Reagent Consumption'!R11</f>
        <v>0</v>
      </c>
      <c r="AE11" s="45">
        <f>'Reagent Consumption'!S11</f>
        <v>0</v>
      </c>
      <c r="AF11" s="45">
        <f>'Reagent Consumption'!T11</f>
        <v>25</v>
      </c>
      <c r="AG11" s="45">
        <f>'Fuel Consumption'!F8</f>
        <v>0</v>
      </c>
      <c r="AH11" s="45"/>
      <c r="AI11" s="45"/>
      <c r="AJ11" s="45"/>
      <c r="AK11" s="45"/>
      <c r="AL11" s="45"/>
      <c r="AM11" s="45"/>
      <c r="AN11" s="45"/>
      <c r="AO11" s="45"/>
      <c r="AP11" s="45"/>
      <c r="AQ11" s="49"/>
      <c r="AR11" s="34"/>
      <c r="AS11" s="34" t="s">
        <v>52</v>
      </c>
    </row>
    <row r="12" spans="1:45" x14ac:dyDescent="0.3">
      <c r="A12" s="42"/>
      <c r="B12" s="43">
        <v>46253</v>
      </c>
      <c r="C12" s="44">
        <f>Crushing!N16</f>
        <v>283.17079999999999</v>
      </c>
      <c r="D12" s="44">
        <f t="shared" si="0"/>
        <v>574.83600000000001</v>
      </c>
      <c r="E12" s="44">
        <f>C12/I12</f>
        <v>25.665027190332324</v>
      </c>
      <c r="F12" s="55">
        <v>1.0209999999999999</v>
      </c>
      <c r="G12" s="52">
        <f>F12*C12</f>
        <v>289.11738679999996</v>
      </c>
      <c r="H12" s="53">
        <f t="shared" si="6"/>
        <v>0.28911738679999999</v>
      </c>
      <c r="I12" s="44">
        <f>'Crushing Down Time Hours'!L7</f>
        <v>11.033333333333333</v>
      </c>
      <c r="J12" s="44">
        <v>0</v>
      </c>
      <c r="K12" s="30">
        <f>'Crushing Down Time Hours'!M7</f>
        <v>0.9194444444444444</v>
      </c>
      <c r="L12" s="30">
        <f t="shared" si="2"/>
        <v>0</v>
      </c>
      <c r="M12" s="30">
        <v>1</v>
      </c>
      <c r="N12" s="30">
        <f t="shared" si="7"/>
        <v>0</v>
      </c>
      <c r="O12" s="49"/>
      <c r="P12" s="49"/>
      <c r="Q12" s="54"/>
      <c r="R12" s="50"/>
      <c r="S12" s="49"/>
      <c r="T12" s="45">
        <f t="shared" si="3"/>
        <v>0</v>
      </c>
      <c r="U12" s="30" t="e">
        <f>((Q13-S12)/Q13)</f>
        <v>#DIV/0!</v>
      </c>
      <c r="V12" s="49"/>
      <c r="W12" s="49"/>
      <c r="X12" s="49"/>
      <c r="Y12" s="49"/>
      <c r="Z12" s="45">
        <f>'Reagent Consumption'!O13</f>
        <v>275</v>
      </c>
      <c r="AA12" s="44">
        <f>'Fuel Consumption'!F9</f>
        <v>0</v>
      </c>
      <c r="AB12" s="45">
        <f>'Reagent Consumption'!Q13</f>
        <v>1000</v>
      </c>
      <c r="AC12" s="45">
        <f>'Reagent Consumption'!P13</f>
        <v>0</v>
      </c>
      <c r="AD12" s="45">
        <f>'Reagent Consumption'!R13</f>
        <v>0</v>
      </c>
      <c r="AE12" s="45">
        <f>'Reagent Consumption'!S13</f>
        <v>0</v>
      </c>
      <c r="AF12" s="45">
        <f>'Reagent Consumption'!T13</f>
        <v>25</v>
      </c>
      <c r="AG12" s="45">
        <f>'Fuel Consumption'!F9</f>
        <v>0</v>
      </c>
      <c r="AH12" s="45"/>
      <c r="AI12" s="45"/>
      <c r="AJ12" s="45"/>
      <c r="AK12" s="45"/>
      <c r="AL12" s="45"/>
      <c r="AM12" s="45"/>
      <c r="AN12" s="45"/>
      <c r="AO12" s="45"/>
      <c r="AP12" s="45"/>
      <c r="AQ12" s="49"/>
      <c r="AR12" s="34"/>
      <c r="AS12" s="34" t="s">
        <v>53</v>
      </c>
    </row>
    <row r="13" spans="1:45" x14ac:dyDescent="0.3">
      <c r="A13" s="42"/>
      <c r="B13" s="43">
        <v>46254</v>
      </c>
      <c r="C13" s="44">
        <f>Crushing!N18</f>
        <v>337.14449999999999</v>
      </c>
      <c r="D13" s="44">
        <f t="shared" si="0"/>
        <v>911.98050000000001</v>
      </c>
      <c r="E13" s="46">
        <f t="shared" ref="E13:E36" si="8">C13/I13</f>
        <v>33.658352745424288</v>
      </c>
      <c r="F13" s="45">
        <v>0.60399999999999998</v>
      </c>
      <c r="G13" s="44">
        <f>F13*C13</f>
        <v>203.635278</v>
      </c>
      <c r="H13" s="47">
        <f t="shared" si="6"/>
        <v>0.203635278</v>
      </c>
      <c r="I13" s="44">
        <f>'Crushing Down Time Hours'!L12</f>
        <v>10.016666666666667</v>
      </c>
      <c r="J13" s="44">
        <v>0</v>
      </c>
      <c r="K13" s="30">
        <f>'Crushing Down Time Hours'!M8</f>
        <v>0.9194444444444444</v>
      </c>
      <c r="L13" s="30">
        <f t="shared" si="2"/>
        <v>0</v>
      </c>
      <c r="M13" s="30">
        <v>1</v>
      </c>
      <c r="N13" s="30">
        <f t="shared" si="7"/>
        <v>0</v>
      </c>
      <c r="O13" s="49"/>
      <c r="P13" s="49"/>
      <c r="Q13" s="54"/>
      <c r="R13" s="50"/>
      <c r="S13" s="49"/>
      <c r="T13" s="45">
        <f t="shared" si="3"/>
        <v>0</v>
      </c>
      <c r="U13" s="30" t="e">
        <f>((Q14-S13)/Q14)</f>
        <v>#DIV/0!</v>
      </c>
      <c r="V13" s="49" t="s">
        <v>54</v>
      </c>
      <c r="W13" s="49"/>
      <c r="X13" s="49"/>
      <c r="Y13" s="49"/>
      <c r="Z13" s="45">
        <f>'Reagent Consumption'!O15</f>
        <v>100</v>
      </c>
      <c r="AA13" s="44">
        <f>'Fuel Consumption'!F10</f>
        <v>0</v>
      </c>
      <c r="AB13" s="45">
        <f>'Reagent Consumption'!Q15</f>
        <v>0</v>
      </c>
      <c r="AC13" s="45">
        <f>'Reagent Consumption'!P15</f>
        <v>0</v>
      </c>
      <c r="AD13" s="45">
        <f>'Reagent Consumption'!R15</f>
        <v>0</v>
      </c>
      <c r="AE13" s="45">
        <f>'Reagent Consumption'!S15</f>
        <v>0</v>
      </c>
      <c r="AF13" s="45">
        <f>'Reagent Consumption'!T15</f>
        <v>0</v>
      </c>
      <c r="AG13" s="45">
        <f>'Fuel Consumption'!F10</f>
        <v>0</v>
      </c>
      <c r="AH13" s="45"/>
      <c r="AI13" s="45"/>
      <c r="AJ13" s="45"/>
      <c r="AK13" s="45"/>
      <c r="AL13" s="45"/>
      <c r="AM13" s="45"/>
      <c r="AN13" s="45"/>
      <c r="AO13" s="45"/>
      <c r="AP13" s="45"/>
      <c r="AQ13" s="49"/>
      <c r="AR13" s="34"/>
      <c r="AS13" s="34" t="s">
        <v>55</v>
      </c>
    </row>
    <row r="14" spans="1:45" x14ac:dyDescent="0.3">
      <c r="A14" s="42"/>
      <c r="B14" s="43">
        <v>46255</v>
      </c>
      <c r="C14" s="44">
        <f>Crushing!N20</f>
        <v>287.10449999999997</v>
      </c>
      <c r="D14" s="44">
        <f>D13+C14</f>
        <v>1199.085</v>
      </c>
      <c r="E14" s="46">
        <f t="shared" si="8"/>
        <v>30.43510600706713</v>
      </c>
      <c r="F14" s="45">
        <v>0.442</v>
      </c>
      <c r="G14" s="44">
        <f>F14*C14</f>
        <v>126.90018899999998</v>
      </c>
      <c r="H14" s="47">
        <f t="shared" si="6"/>
        <v>0.126900189</v>
      </c>
      <c r="I14" s="44">
        <f>'Crushing Down Time Hours'!L9</f>
        <v>9.4333333333333353</v>
      </c>
      <c r="J14" s="44">
        <v>0</v>
      </c>
      <c r="K14" s="30">
        <f>'Crushing Down Time Hours'!M9</f>
        <v>0.78611111111111132</v>
      </c>
      <c r="L14" s="30">
        <f t="shared" si="2"/>
        <v>0</v>
      </c>
      <c r="M14" s="30">
        <v>1</v>
      </c>
      <c r="N14" s="30">
        <f t="shared" si="7"/>
        <v>0</v>
      </c>
      <c r="O14" s="49"/>
      <c r="P14" s="49"/>
      <c r="Q14" s="54"/>
      <c r="R14" s="50"/>
      <c r="S14" s="49"/>
      <c r="T14" s="45">
        <f t="shared" si="3"/>
        <v>0</v>
      </c>
      <c r="U14" s="30" t="e">
        <f t="shared" si="4"/>
        <v>#DIV/0!</v>
      </c>
      <c r="V14" s="49"/>
      <c r="W14" s="49"/>
      <c r="X14" s="49"/>
      <c r="Y14" s="49"/>
      <c r="Z14" s="45">
        <f>'Reagent Consumption'!O16</f>
        <v>0</v>
      </c>
      <c r="AA14" s="44">
        <f>'Fuel Consumption'!F11</f>
        <v>0</v>
      </c>
      <c r="AB14" s="45">
        <f>'Reagent Consumption'!Q16</f>
        <v>0</v>
      </c>
      <c r="AC14" s="45">
        <f>'Reagent Consumption'!P16</f>
        <v>0</v>
      </c>
      <c r="AD14" s="45">
        <f>'Reagent Consumption'!R16</f>
        <v>0</v>
      </c>
      <c r="AE14" s="45">
        <f>'Reagent Consumption'!S16</f>
        <v>0</v>
      </c>
      <c r="AF14" s="45">
        <f>'Reagent Consumption'!T16</f>
        <v>0</v>
      </c>
      <c r="AG14" s="45">
        <f>'Fuel Consumption'!F11</f>
        <v>0</v>
      </c>
      <c r="AH14" s="45"/>
      <c r="AI14" s="45"/>
      <c r="AJ14" s="45"/>
      <c r="AK14" s="45"/>
      <c r="AL14" s="45"/>
      <c r="AM14" s="45"/>
      <c r="AN14" s="45"/>
      <c r="AO14" s="45"/>
      <c r="AP14" s="45"/>
      <c r="AQ14" s="49"/>
      <c r="AR14" s="34"/>
      <c r="AS14" s="34" t="s">
        <v>56</v>
      </c>
    </row>
    <row r="15" spans="1:45" x14ac:dyDescent="0.3">
      <c r="A15" s="42"/>
      <c r="B15" s="43">
        <v>46256</v>
      </c>
      <c r="C15" s="44">
        <f>Crushing!N22</f>
        <v>197.0325</v>
      </c>
      <c r="D15" s="44">
        <f t="shared" ref="D15:D36" si="9">D14+C15</f>
        <v>1396.1175000000001</v>
      </c>
      <c r="E15" s="46">
        <f t="shared" si="8"/>
        <v>21.852033271719037</v>
      </c>
      <c r="F15" s="47">
        <f>AVERAGE('Rom File Inventory'!T93:T101)</f>
        <v>0.62933333333333319</v>
      </c>
      <c r="G15" s="44">
        <f t="shared" si="5"/>
        <v>123.99911999999998</v>
      </c>
      <c r="H15" s="47">
        <f t="shared" si="6"/>
        <v>0.12399911999999998</v>
      </c>
      <c r="I15" s="44">
        <f>'Crushing Down Time Hours'!L10</f>
        <v>9.0166666666666675</v>
      </c>
      <c r="J15" s="44">
        <v>0</v>
      </c>
      <c r="K15" s="30">
        <f>'Crushing Down Time Hours'!M10</f>
        <v>0.75138888888888899</v>
      </c>
      <c r="L15" s="30">
        <f t="shared" si="2"/>
        <v>0</v>
      </c>
      <c r="M15" s="30">
        <v>1</v>
      </c>
      <c r="N15" s="31">
        <f t="shared" si="7"/>
        <v>0</v>
      </c>
      <c r="O15" s="42"/>
      <c r="P15" s="42"/>
      <c r="Q15" s="49"/>
      <c r="R15" s="49"/>
      <c r="S15" s="49"/>
      <c r="T15" s="45">
        <f t="shared" si="3"/>
        <v>0</v>
      </c>
      <c r="U15" s="30" t="e">
        <f t="shared" si="4"/>
        <v>#DIV/0!</v>
      </c>
      <c r="V15" s="49"/>
      <c r="W15" s="49"/>
      <c r="X15" s="49"/>
      <c r="Y15" s="49"/>
      <c r="Z15" s="45">
        <f>'Reagent Consumption'!O17</f>
        <v>50</v>
      </c>
      <c r="AA15" s="44">
        <f>'Fuel Consumption'!F12</f>
        <v>0</v>
      </c>
      <c r="AB15" s="45">
        <f>'Reagent Consumption'!Q17</f>
        <v>0</v>
      </c>
      <c r="AC15" s="45">
        <f>'Reagent Consumption'!P17</f>
        <v>0</v>
      </c>
      <c r="AD15" s="45">
        <f>'Reagent Consumption'!R17</f>
        <v>0</v>
      </c>
      <c r="AE15" s="45">
        <f>'Reagent Consumption'!S17</f>
        <v>0</v>
      </c>
      <c r="AF15" s="45">
        <f>'Reagent Consumption'!T17</f>
        <v>0</v>
      </c>
      <c r="AG15" s="45">
        <f>'Fuel Consumption'!F12</f>
        <v>0</v>
      </c>
      <c r="AH15" s="45"/>
      <c r="AI15" s="45"/>
      <c r="AJ15" s="45"/>
      <c r="AK15" s="45"/>
      <c r="AL15" s="45"/>
      <c r="AM15" s="45"/>
      <c r="AN15" s="45"/>
      <c r="AO15" s="45"/>
      <c r="AP15" s="45"/>
      <c r="AQ15" s="49"/>
      <c r="AR15" s="34"/>
      <c r="AS15" s="34" t="s">
        <v>57</v>
      </c>
    </row>
    <row r="16" spans="1:45" x14ac:dyDescent="0.3">
      <c r="A16" s="42"/>
      <c r="B16" s="43">
        <v>46257</v>
      </c>
      <c r="C16" s="44">
        <f>Crushing!N24</f>
        <v>0</v>
      </c>
      <c r="D16" s="44">
        <f t="shared" si="9"/>
        <v>1396.1175000000001</v>
      </c>
      <c r="E16" s="46">
        <f>C16/I16</f>
        <v>0</v>
      </c>
      <c r="F16" s="47"/>
      <c r="G16" s="44">
        <f t="shared" si="5"/>
        <v>0</v>
      </c>
      <c r="H16" s="47">
        <f t="shared" si="6"/>
        <v>0</v>
      </c>
      <c r="I16" s="44">
        <f>'Crushing Down Time Hours'!L11</f>
        <v>3.3333333333333333E-2</v>
      </c>
      <c r="J16" s="44">
        <v>0</v>
      </c>
      <c r="K16" s="30">
        <f>'Crushing Down Time Hours'!M11</f>
        <v>2.7777777777777779E-3</v>
      </c>
      <c r="L16" s="30">
        <f t="shared" si="2"/>
        <v>0</v>
      </c>
      <c r="M16" s="56">
        <v>1</v>
      </c>
      <c r="N16" s="32">
        <f t="shared" si="7"/>
        <v>0</v>
      </c>
      <c r="O16" s="50"/>
      <c r="P16" s="50"/>
      <c r="Q16" s="49"/>
      <c r="R16" s="49"/>
      <c r="S16" s="49"/>
      <c r="T16" s="45">
        <f t="shared" si="3"/>
        <v>0</v>
      </c>
      <c r="U16" s="30" t="e">
        <f t="shared" si="4"/>
        <v>#DIV/0!</v>
      </c>
      <c r="V16" s="49"/>
      <c r="W16" s="49"/>
      <c r="X16" s="49"/>
      <c r="Y16" s="49"/>
      <c r="Z16" s="45">
        <f>'Reagent Consumption'!O18</f>
        <v>175</v>
      </c>
      <c r="AA16" s="44">
        <f>'Fuel Consumption'!F13</f>
        <v>0</v>
      </c>
      <c r="AB16" s="45">
        <f>'Reagent Consumption'!Q18</f>
        <v>0</v>
      </c>
      <c r="AC16" s="45">
        <f>'Reagent Consumption'!P18</f>
        <v>500</v>
      </c>
      <c r="AD16" s="45">
        <f>'Reagent Consumption'!R18</f>
        <v>0</v>
      </c>
      <c r="AE16" s="45">
        <f>'Reagent Consumption'!S18</f>
        <v>0</v>
      </c>
      <c r="AF16" s="45">
        <f>'Reagent Consumption'!T18</f>
        <v>0</v>
      </c>
      <c r="AG16" s="45">
        <f>'Fuel Consumption'!F13</f>
        <v>0</v>
      </c>
      <c r="AH16" s="45"/>
      <c r="AI16" s="45"/>
      <c r="AJ16" s="45"/>
      <c r="AK16" s="45"/>
      <c r="AL16" s="45"/>
      <c r="AM16" s="45"/>
      <c r="AN16" s="45"/>
      <c r="AO16" s="45"/>
      <c r="AP16" s="45"/>
      <c r="AQ16" s="49"/>
      <c r="AR16" s="34"/>
      <c r="AS16" s="34" t="s">
        <v>58</v>
      </c>
    </row>
    <row r="17" spans="1:45" x14ac:dyDescent="0.3">
      <c r="A17" s="42"/>
      <c r="B17" s="43">
        <v>46258</v>
      </c>
      <c r="C17" s="44">
        <f>Crushing!N26</f>
        <v>162.00449999999998</v>
      </c>
      <c r="D17" s="44">
        <f>D16+C17</f>
        <v>1558.1220000000001</v>
      </c>
      <c r="E17" s="46">
        <f>C17/I17</f>
        <v>16.17349417637271</v>
      </c>
      <c r="F17" s="57">
        <f>AVERAGE('Rom File Inventory'!T102:T110)</f>
        <v>1.0302222222222222</v>
      </c>
      <c r="G17" s="44">
        <f>F17*C17</f>
        <v>166.90063599999996</v>
      </c>
      <c r="H17" s="47">
        <f t="shared" si="6"/>
        <v>0.16690063599999996</v>
      </c>
      <c r="I17" s="44">
        <f>'Crushing Down Time Hours'!L12</f>
        <v>10.016666666666667</v>
      </c>
      <c r="J17" s="44">
        <v>0</v>
      </c>
      <c r="K17" s="30">
        <f>'Crushing Down Time Hours'!M12</f>
        <v>0.83472222222222225</v>
      </c>
      <c r="L17" s="30">
        <f t="shared" si="2"/>
        <v>0</v>
      </c>
      <c r="M17" s="56">
        <v>1</v>
      </c>
      <c r="N17" s="32">
        <f t="shared" si="7"/>
        <v>0</v>
      </c>
      <c r="O17" s="50"/>
      <c r="P17" s="50"/>
      <c r="Q17" s="49"/>
      <c r="R17" s="49"/>
      <c r="S17" s="49"/>
      <c r="T17" s="45">
        <f t="shared" si="3"/>
        <v>0</v>
      </c>
      <c r="U17" s="30" t="e">
        <f t="shared" si="4"/>
        <v>#DIV/0!</v>
      </c>
      <c r="V17" s="49"/>
      <c r="W17" s="49"/>
      <c r="X17" s="49"/>
      <c r="Y17" s="49"/>
      <c r="Z17" s="45">
        <f>'Reagent Consumption'!O19</f>
        <v>150</v>
      </c>
      <c r="AA17" s="44">
        <f>'Fuel Consumption'!F14</f>
        <v>0</v>
      </c>
      <c r="AB17" s="45">
        <f>'Reagent Consumption'!Q19</f>
        <v>0</v>
      </c>
      <c r="AC17" s="45">
        <f>'Reagent Consumption'!P19</f>
        <v>250</v>
      </c>
      <c r="AD17" s="45">
        <f>'Reagent Consumption'!R19</f>
        <v>0</v>
      </c>
      <c r="AE17" s="45">
        <f>'Reagent Consumption'!S19</f>
        <v>0</v>
      </c>
      <c r="AF17" s="45">
        <f>'Reagent Consumption'!T19</f>
        <v>0</v>
      </c>
      <c r="AG17" s="45">
        <f>'Fuel Consumption'!F14</f>
        <v>0</v>
      </c>
      <c r="AH17" s="45"/>
      <c r="AI17" s="45"/>
      <c r="AJ17" s="45"/>
      <c r="AK17" s="45"/>
      <c r="AL17" s="45"/>
      <c r="AM17" s="45"/>
      <c r="AN17" s="45"/>
      <c r="AO17" s="45"/>
      <c r="AP17" s="45"/>
      <c r="AQ17" s="49"/>
      <c r="AR17" s="34"/>
      <c r="AS17" s="34"/>
    </row>
    <row r="18" spans="1:45" x14ac:dyDescent="0.3">
      <c r="A18" s="42"/>
      <c r="B18" s="43">
        <v>46259</v>
      </c>
      <c r="C18" s="44">
        <f>Crushing!N28</f>
        <v>0</v>
      </c>
      <c r="D18" s="44">
        <f>D17+C18</f>
        <v>1558.1220000000001</v>
      </c>
      <c r="E18" s="46">
        <f t="shared" si="8"/>
        <v>0</v>
      </c>
      <c r="F18" s="47"/>
      <c r="G18" s="44">
        <f t="shared" ref="G18:G49" si="10">F18*C18</f>
        <v>0</v>
      </c>
      <c r="H18" s="47">
        <f t="shared" ref="H18:H49" si="11">G18/1000</f>
        <v>0</v>
      </c>
      <c r="I18" s="44">
        <f>'Crushing Down Time Hours'!L13</f>
        <v>3.3333333333333333E-2</v>
      </c>
      <c r="J18" s="44">
        <v>0</v>
      </c>
      <c r="K18" s="30">
        <f>'Crushing Down Time Hours'!M13</f>
        <v>2.7777777777777779E-3</v>
      </c>
      <c r="L18" s="30">
        <f t="shared" si="2"/>
        <v>0</v>
      </c>
      <c r="M18" s="56">
        <v>1</v>
      </c>
      <c r="N18" s="32">
        <f t="shared" si="7"/>
        <v>0</v>
      </c>
      <c r="O18" s="50"/>
      <c r="P18" s="50"/>
      <c r="Q18" s="49"/>
      <c r="R18" s="49"/>
      <c r="S18" s="49"/>
      <c r="T18" s="45">
        <f t="shared" si="3"/>
        <v>0</v>
      </c>
      <c r="U18" s="30" t="e">
        <f t="shared" si="4"/>
        <v>#DIV/0!</v>
      </c>
      <c r="V18" s="49"/>
      <c r="W18" s="49"/>
      <c r="X18" s="49"/>
      <c r="Y18" s="49"/>
      <c r="Z18" s="45">
        <f>'Reagent Consumption'!O21</f>
        <v>0</v>
      </c>
      <c r="AA18" s="44">
        <f>'Fuel Consumption'!F15</f>
        <v>0</v>
      </c>
      <c r="AB18" s="45">
        <f>'Reagent Consumption'!Q21</f>
        <v>0</v>
      </c>
      <c r="AC18" s="45">
        <f>'Reagent Consumption'!P21</f>
        <v>0</v>
      </c>
      <c r="AD18" s="45">
        <f>'Reagent Consumption'!R21</f>
        <v>0</v>
      </c>
      <c r="AE18" s="45">
        <f>'Reagent Consumption'!S21</f>
        <v>0</v>
      </c>
      <c r="AF18" s="45">
        <f>'Reagent Consumption'!T21</f>
        <v>0</v>
      </c>
      <c r="AG18" s="45">
        <f>'Fuel Consumption'!F15</f>
        <v>0</v>
      </c>
      <c r="AH18" s="45"/>
      <c r="AI18" s="45"/>
      <c r="AJ18" s="45"/>
      <c r="AK18" s="45"/>
      <c r="AL18" s="45"/>
      <c r="AM18" s="45"/>
      <c r="AN18" s="45"/>
      <c r="AO18" s="45"/>
      <c r="AP18" s="45"/>
      <c r="AQ18" s="49"/>
      <c r="AR18" s="34"/>
      <c r="AS18" s="34"/>
    </row>
    <row r="19" spans="1:45" x14ac:dyDescent="0.3">
      <c r="A19" s="42"/>
      <c r="B19" s="43">
        <v>46260</v>
      </c>
      <c r="C19" s="44">
        <v>0</v>
      </c>
      <c r="D19" s="44">
        <f t="shared" si="9"/>
        <v>1558.1220000000001</v>
      </c>
      <c r="E19" s="46">
        <f t="shared" si="8"/>
        <v>0</v>
      </c>
      <c r="F19" s="49"/>
      <c r="G19" s="44">
        <f t="shared" si="10"/>
        <v>0</v>
      </c>
      <c r="H19" s="47">
        <f t="shared" si="11"/>
        <v>0</v>
      </c>
      <c r="I19" s="44">
        <f>'Crushing Down Time Hours'!L14</f>
        <v>3.3333333333333333E-2</v>
      </c>
      <c r="J19" s="44">
        <v>0</v>
      </c>
      <c r="K19" s="30">
        <f>'Crushing Down Time Hours'!M14</f>
        <v>2.7777777777777779E-3</v>
      </c>
      <c r="L19" s="30">
        <f t="shared" si="2"/>
        <v>0</v>
      </c>
      <c r="M19" s="56">
        <f>'Milling Down Time Hours'!N5</f>
        <v>0.93472222222222223</v>
      </c>
      <c r="N19" s="32">
        <f t="shared" si="7"/>
        <v>0</v>
      </c>
      <c r="O19" s="50"/>
      <c r="P19" s="50"/>
      <c r="Q19" s="49"/>
      <c r="R19" s="49"/>
      <c r="S19" s="49"/>
      <c r="T19" s="45">
        <f t="shared" si="3"/>
        <v>0</v>
      </c>
      <c r="U19" s="30" t="e">
        <f t="shared" si="4"/>
        <v>#DIV/0!</v>
      </c>
      <c r="V19" s="49"/>
      <c r="W19" s="49"/>
      <c r="X19" s="49"/>
      <c r="Y19" s="49"/>
      <c r="Z19" s="45">
        <f>'Reagent Consumption'!O22</f>
        <v>0</v>
      </c>
      <c r="AA19" s="44">
        <f>'Fuel Consumption'!F16</f>
        <v>0</v>
      </c>
      <c r="AB19" s="45">
        <f>'Reagent Consumption'!Q22</f>
        <v>0</v>
      </c>
      <c r="AC19" s="45">
        <f>'Reagent Consumption'!P22</f>
        <v>0</v>
      </c>
      <c r="AD19" s="45">
        <f>'Reagent Consumption'!R22</f>
        <v>0</v>
      </c>
      <c r="AE19" s="45">
        <f>'Reagent Consumption'!S22</f>
        <v>0</v>
      </c>
      <c r="AF19" s="45">
        <f>'Reagent Consumption'!T22</f>
        <v>0</v>
      </c>
      <c r="AG19" s="45">
        <f>'Fuel Consumption'!F16</f>
        <v>0</v>
      </c>
      <c r="AH19" s="45"/>
      <c r="AI19" s="45"/>
      <c r="AJ19" s="45"/>
      <c r="AK19" s="45"/>
      <c r="AL19" s="45"/>
      <c r="AM19" s="45"/>
      <c r="AN19" s="45"/>
      <c r="AO19" s="45"/>
      <c r="AP19" s="45"/>
      <c r="AQ19" s="49"/>
      <c r="AR19" s="34"/>
      <c r="AS19" s="34"/>
    </row>
    <row r="20" spans="1:45" x14ac:dyDescent="0.3">
      <c r="A20" s="42"/>
      <c r="B20" s="43">
        <v>46261</v>
      </c>
      <c r="C20" s="58">
        <f>Crushing!N32</f>
        <v>124.94709999999999</v>
      </c>
      <c r="D20" s="58">
        <f t="shared" si="9"/>
        <v>1683.0691000000002</v>
      </c>
      <c r="E20" s="59">
        <f t="shared" si="8"/>
        <v>23.724132911392402</v>
      </c>
      <c r="F20" s="60">
        <f>AVERAGE('Rom File Inventory'!T111:T117)</f>
        <v>0.751142857142857</v>
      </c>
      <c r="G20" s="44">
        <f t="shared" si="10"/>
        <v>93.853121685714257</v>
      </c>
      <c r="H20" s="47">
        <f t="shared" si="11"/>
        <v>9.3853121685714261E-2</v>
      </c>
      <c r="I20" s="44">
        <f>'Crushing Down Time Hours'!L15</f>
        <v>5.2666666666666666</v>
      </c>
      <c r="J20" s="44">
        <v>0</v>
      </c>
      <c r="K20" s="30">
        <f>'Crushing Down Time Hours'!M15</f>
        <v>0.43888888888888888</v>
      </c>
      <c r="L20" s="30">
        <f t="shared" si="2"/>
        <v>0</v>
      </c>
      <c r="M20" s="56">
        <f>'Milling Down Time Hours'!N6</f>
        <v>0.95416666666666661</v>
      </c>
      <c r="N20" s="32">
        <f t="shared" si="7"/>
        <v>0</v>
      </c>
      <c r="O20" s="50"/>
      <c r="P20" s="50"/>
      <c r="Q20" s="49"/>
      <c r="R20" s="49"/>
      <c r="S20" s="49"/>
      <c r="T20" s="45">
        <f t="shared" si="3"/>
        <v>0</v>
      </c>
      <c r="U20" s="30" t="e">
        <f t="shared" si="4"/>
        <v>#DIV/0!</v>
      </c>
      <c r="V20" s="49"/>
      <c r="W20" s="49"/>
      <c r="X20" s="49"/>
      <c r="Y20" s="49"/>
      <c r="Z20" s="45">
        <f>'Reagent Consumption'!O23</f>
        <v>0</v>
      </c>
      <c r="AA20" s="44">
        <f>'Fuel Consumption'!F17</f>
        <v>0</v>
      </c>
      <c r="AB20" s="45">
        <f>'Reagent Consumption'!Q23</f>
        <v>0</v>
      </c>
      <c r="AC20" s="45">
        <f>'Reagent Consumption'!P23</f>
        <v>0</v>
      </c>
      <c r="AD20" s="45">
        <f>'Reagent Consumption'!R23</f>
        <v>0</v>
      </c>
      <c r="AE20" s="45">
        <f>'Reagent Consumption'!S23</f>
        <v>0</v>
      </c>
      <c r="AF20" s="45">
        <f>'Reagent Consumption'!T23</f>
        <v>0</v>
      </c>
      <c r="AG20" s="45">
        <f>'Fuel Consumption'!F17</f>
        <v>0</v>
      </c>
      <c r="AH20" s="45"/>
      <c r="AI20" s="45"/>
      <c r="AJ20" s="45"/>
      <c r="AK20" s="45"/>
      <c r="AL20" s="45"/>
      <c r="AM20" s="45"/>
      <c r="AN20" s="45"/>
      <c r="AO20" s="45"/>
      <c r="AP20" s="45"/>
      <c r="AQ20" s="49"/>
      <c r="AR20" s="34"/>
      <c r="AS20" s="34"/>
    </row>
    <row r="21" spans="1:45" x14ac:dyDescent="0.3">
      <c r="A21" s="42"/>
      <c r="B21" s="43">
        <v>46262</v>
      </c>
      <c r="C21" s="58">
        <f>Crushing!N34</f>
        <v>167.76500000000001</v>
      </c>
      <c r="D21" s="58">
        <f t="shared" si="9"/>
        <v>1850.8341000000003</v>
      </c>
      <c r="E21" s="59">
        <f>C21/I21</f>
        <v>20.927027027027027</v>
      </c>
      <c r="F21" s="60">
        <f>AVERAGE('Rom File Inventory'!T118:T126)</f>
        <v>0.6641111111111111</v>
      </c>
      <c r="G21" s="44">
        <f t="shared" si="10"/>
        <v>111.41460055555557</v>
      </c>
      <c r="H21" s="47">
        <f t="shared" si="11"/>
        <v>0.11141460055555556</v>
      </c>
      <c r="I21" s="44">
        <f>'Crushing Down Time Hours'!L16</f>
        <v>8.0166666666666675</v>
      </c>
      <c r="J21" s="44">
        <v>0</v>
      </c>
      <c r="K21" s="30">
        <f>'Crushing Down Time Hours'!M16</f>
        <v>0.66805555555555562</v>
      </c>
      <c r="L21" s="30">
        <f t="shared" si="2"/>
        <v>0</v>
      </c>
      <c r="M21" s="56">
        <f>'Milling Down Time Hours'!N7</f>
        <v>0.91666666666666663</v>
      </c>
      <c r="N21" s="32">
        <f t="shared" si="7"/>
        <v>0</v>
      </c>
      <c r="O21" s="50"/>
      <c r="P21" s="50"/>
      <c r="Q21" s="49"/>
      <c r="R21" s="49"/>
      <c r="S21" s="49"/>
      <c r="T21" s="45">
        <f t="shared" si="3"/>
        <v>0</v>
      </c>
      <c r="U21" s="30" t="e">
        <f t="shared" si="4"/>
        <v>#DIV/0!</v>
      </c>
      <c r="V21" s="49"/>
      <c r="W21" s="49"/>
      <c r="X21" s="49"/>
      <c r="Y21" s="49"/>
      <c r="Z21" s="45">
        <f>'Reagent Consumption'!O24</f>
        <v>0</v>
      </c>
      <c r="AA21" s="44">
        <f>'Fuel Consumption'!F18</f>
        <v>0</v>
      </c>
      <c r="AB21" s="45">
        <f>'Reagent Consumption'!Q24</f>
        <v>0</v>
      </c>
      <c r="AC21" s="45">
        <f>'Reagent Consumption'!P24</f>
        <v>0</v>
      </c>
      <c r="AD21" s="45">
        <f>'Reagent Consumption'!R24</f>
        <v>0</v>
      </c>
      <c r="AE21" s="45">
        <f>'Reagent Consumption'!S24</f>
        <v>0</v>
      </c>
      <c r="AF21" s="45">
        <f>'Reagent Consumption'!T24</f>
        <v>0</v>
      </c>
      <c r="AG21" s="45">
        <f>'Fuel Consumption'!F18</f>
        <v>0</v>
      </c>
      <c r="AH21" s="45"/>
      <c r="AI21" s="45"/>
      <c r="AJ21" s="45"/>
      <c r="AK21" s="45"/>
      <c r="AL21" s="45"/>
      <c r="AM21" s="45"/>
      <c r="AN21" s="45"/>
      <c r="AO21" s="45"/>
      <c r="AP21" s="45"/>
      <c r="AQ21" s="49"/>
      <c r="AR21" s="34"/>
      <c r="AS21" s="34"/>
    </row>
    <row r="22" spans="1:45" x14ac:dyDescent="0.3">
      <c r="A22" s="42"/>
      <c r="B22" s="43">
        <v>46263</v>
      </c>
      <c r="C22" s="58">
        <f>Crushing!N36</f>
        <v>240.43500000000003</v>
      </c>
      <c r="D22" s="58">
        <f t="shared" si="9"/>
        <v>2091.2691000000004</v>
      </c>
      <c r="E22" s="59">
        <f t="shared" si="8"/>
        <v>24.003494176372712</v>
      </c>
      <c r="F22" s="61">
        <f>AVERAGE('Rom File Inventory'!T127:T137)</f>
        <v>0.872</v>
      </c>
      <c r="G22" s="44">
        <f t="shared" si="10"/>
        <v>209.65932000000004</v>
      </c>
      <c r="H22" s="47">
        <f t="shared" si="11"/>
        <v>0.20965932000000004</v>
      </c>
      <c r="I22" s="44">
        <f>'Crushing Down Time Hours'!L17</f>
        <v>10.016666666666667</v>
      </c>
      <c r="J22" s="44">
        <v>0</v>
      </c>
      <c r="K22" s="30">
        <f>'Crushing Down Time Hours'!M17</f>
        <v>0.83472222222222225</v>
      </c>
      <c r="L22" s="30">
        <f t="shared" si="2"/>
        <v>0</v>
      </c>
      <c r="M22" s="56">
        <f>'Milling Down Time Hours'!N8</f>
        <v>0.45902777777777781</v>
      </c>
      <c r="N22" s="32">
        <f t="shared" si="7"/>
        <v>0</v>
      </c>
      <c r="O22" s="50"/>
      <c r="P22" s="50"/>
      <c r="Q22" s="49"/>
      <c r="R22" s="49"/>
      <c r="S22" s="49"/>
      <c r="T22" s="45">
        <f t="shared" si="3"/>
        <v>0</v>
      </c>
      <c r="U22" s="30" t="e">
        <f t="shared" si="4"/>
        <v>#DIV/0!</v>
      </c>
      <c r="V22" s="49"/>
      <c r="W22" s="49"/>
      <c r="X22" s="49"/>
      <c r="Y22" s="49"/>
      <c r="Z22" s="45">
        <f>'Reagent Consumption'!O25</f>
        <v>0</v>
      </c>
      <c r="AA22" s="44">
        <f>'Fuel Consumption'!F19</f>
        <v>0</v>
      </c>
      <c r="AB22" s="45">
        <f>'Reagent Consumption'!Q25</f>
        <v>0</v>
      </c>
      <c r="AC22" s="45">
        <f>'Reagent Consumption'!P25</f>
        <v>0</v>
      </c>
      <c r="AD22" s="45">
        <f>'Reagent Consumption'!R25</f>
        <v>0</v>
      </c>
      <c r="AE22" s="45">
        <f>'Reagent Consumption'!S25</f>
        <v>0</v>
      </c>
      <c r="AF22" s="45">
        <f>'Reagent Consumption'!T25</f>
        <v>0</v>
      </c>
      <c r="AG22" s="45">
        <f>'Fuel Consumption'!F19</f>
        <v>0</v>
      </c>
      <c r="AH22" s="45"/>
      <c r="AI22" s="45"/>
      <c r="AJ22" s="45"/>
      <c r="AK22" s="45"/>
      <c r="AL22" s="45"/>
      <c r="AM22" s="45"/>
      <c r="AN22" s="45"/>
      <c r="AO22" s="45"/>
      <c r="AP22" s="45"/>
      <c r="AQ22" s="49"/>
      <c r="AR22" s="34"/>
      <c r="AS22" s="34"/>
    </row>
    <row r="23" spans="1:45" x14ac:dyDescent="0.3">
      <c r="A23" s="42"/>
      <c r="B23" s="43">
        <v>46264</v>
      </c>
      <c r="C23" s="58">
        <f>Crushing!N38</f>
        <v>53.820000000000007</v>
      </c>
      <c r="D23" s="58">
        <f t="shared" si="9"/>
        <v>2145.0891000000006</v>
      </c>
      <c r="E23" s="59">
        <f t="shared" si="8"/>
        <v>26.4688524590164</v>
      </c>
      <c r="F23" s="61">
        <f>AVERAGE('Rom File Inventory'!T138:T141)</f>
        <v>0.98899999999999999</v>
      </c>
      <c r="G23" s="44">
        <f t="shared" si="10"/>
        <v>53.227980000000009</v>
      </c>
      <c r="H23" s="47">
        <f t="shared" si="11"/>
        <v>5.3227980000000008E-2</v>
      </c>
      <c r="I23" s="44">
        <f>'Crushing Down Time Hours'!L18</f>
        <v>2.0333333333333332</v>
      </c>
      <c r="J23" s="44">
        <v>0</v>
      </c>
      <c r="K23" s="30">
        <f>'Crushing Down Time Hours'!M18</f>
        <v>0.16944444444444443</v>
      </c>
      <c r="L23" s="30">
        <f t="shared" si="2"/>
        <v>0</v>
      </c>
      <c r="M23" s="56">
        <f>'Milling Down Time Hours'!N9</f>
        <v>1.3888888888888889E-3</v>
      </c>
      <c r="N23" s="30">
        <f t="shared" si="7"/>
        <v>0</v>
      </c>
      <c r="O23" s="49"/>
      <c r="P23" s="49"/>
      <c r="Q23" s="49"/>
      <c r="R23" s="49"/>
      <c r="S23" s="49"/>
      <c r="T23" s="45">
        <f t="shared" si="3"/>
        <v>0</v>
      </c>
      <c r="U23" s="30" t="e">
        <f t="shared" si="4"/>
        <v>#DIV/0!</v>
      </c>
      <c r="V23" s="49"/>
      <c r="W23" s="49"/>
      <c r="X23" s="49"/>
      <c r="Y23" s="49"/>
      <c r="Z23" s="45">
        <f>'Reagent Consumption'!O26</f>
        <v>0</v>
      </c>
      <c r="AA23" s="44">
        <f>'Fuel Consumption'!F20</f>
        <v>0</v>
      </c>
      <c r="AB23" s="45">
        <f>'Reagent Consumption'!Q26</f>
        <v>0</v>
      </c>
      <c r="AC23" s="45">
        <f>'Reagent Consumption'!P26</f>
        <v>0</v>
      </c>
      <c r="AD23" s="45">
        <f>'Reagent Consumption'!R26</f>
        <v>0</v>
      </c>
      <c r="AE23" s="45">
        <f>'Reagent Consumption'!S26</f>
        <v>0</v>
      </c>
      <c r="AF23" s="45">
        <f>'Reagent Consumption'!T26</f>
        <v>0</v>
      </c>
      <c r="AG23" s="45">
        <f>'Fuel Consumption'!F20</f>
        <v>0</v>
      </c>
      <c r="AH23" s="45"/>
      <c r="AI23" s="45"/>
      <c r="AJ23" s="45"/>
      <c r="AK23" s="45"/>
      <c r="AL23" s="45"/>
      <c r="AM23" s="45"/>
      <c r="AN23" s="45"/>
      <c r="AO23" s="45"/>
      <c r="AP23" s="45"/>
      <c r="AQ23" s="49"/>
      <c r="AR23" s="34"/>
      <c r="AS23" s="34"/>
    </row>
    <row r="24" spans="1:45" x14ac:dyDescent="0.3">
      <c r="A24" s="42"/>
      <c r="B24" s="43">
        <v>46265</v>
      </c>
      <c r="C24" s="44">
        <v>0</v>
      </c>
      <c r="D24" s="44">
        <f t="shared" si="9"/>
        <v>2145.0891000000006</v>
      </c>
      <c r="E24" s="46" t="e">
        <f t="shared" si="8"/>
        <v>#DIV/0!</v>
      </c>
      <c r="F24" s="49"/>
      <c r="G24" s="44">
        <f t="shared" si="10"/>
        <v>0</v>
      </c>
      <c r="H24" s="47">
        <f t="shared" si="11"/>
        <v>0</v>
      </c>
      <c r="I24" s="44">
        <f>'Crushing Down Time Hours'!L19</f>
        <v>0</v>
      </c>
      <c r="J24" s="44">
        <f>'Milling Down Time Hours'!M5</f>
        <v>22.433333333333334</v>
      </c>
      <c r="K24" s="30">
        <f>'Crushing Down Time Hours'!M24</f>
        <v>0</v>
      </c>
      <c r="L24" s="30">
        <f t="shared" si="2"/>
        <v>0.93472222222222223</v>
      </c>
      <c r="M24" s="56">
        <f>'Milling Down Time Hours'!N10</f>
        <v>0.45902777777777781</v>
      </c>
      <c r="N24" s="30">
        <f t="shared" si="7"/>
        <v>0.93472222222222223</v>
      </c>
      <c r="O24" s="49"/>
      <c r="P24" s="49"/>
      <c r="Q24" s="49"/>
      <c r="R24" s="49"/>
      <c r="S24" s="49"/>
      <c r="T24" s="45">
        <f t="shared" si="3"/>
        <v>0</v>
      </c>
      <c r="U24" s="30" t="e">
        <f t="shared" si="4"/>
        <v>#DIV/0!</v>
      </c>
      <c r="V24" s="49"/>
      <c r="W24" s="49"/>
      <c r="X24" s="49"/>
      <c r="Y24" s="49"/>
      <c r="Z24" s="45">
        <f>'Reagent Consumption'!O27</f>
        <v>0</v>
      </c>
      <c r="AA24" s="44">
        <f>'Fuel Consumption'!F21</f>
        <v>0</v>
      </c>
      <c r="AB24" s="45">
        <f>'Reagent Consumption'!Q27</f>
        <v>0</v>
      </c>
      <c r="AC24" s="45">
        <f>'Reagent Consumption'!P27</f>
        <v>0</v>
      </c>
      <c r="AD24" s="45">
        <f>'Reagent Consumption'!R27</f>
        <v>0</v>
      </c>
      <c r="AE24" s="45">
        <f>'Reagent Consumption'!S27</f>
        <v>0</v>
      </c>
      <c r="AF24" s="45">
        <f>'Reagent Consumption'!T27</f>
        <v>0</v>
      </c>
      <c r="AG24" s="45">
        <f>'Fuel Consumption'!F21</f>
        <v>0</v>
      </c>
      <c r="AH24" s="45"/>
      <c r="AI24" s="45"/>
      <c r="AJ24" s="45"/>
      <c r="AK24" s="45"/>
      <c r="AL24" s="45"/>
      <c r="AM24" s="45"/>
      <c r="AN24" s="45"/>
      <c r="AO24" s="45"/>
      <c r="AP24" s="45"/>
      <c r="AQ24" s="49"/>
      <c r="AR24" s="34"/>
      <c r="AS24" s="34"/>
    </row>
    <row r="25" spans="1:45" x14ac:dyDescent="0.3">
      <c r="A25" s="42"/>
      <c r="B25" s="43">
        <v>46266</v>
      </c>
      <c r="C25" s="44">
        <v>0</v>
      </c>
      <c r="D25" s="44">
        <f t="shared" si="9"/>
        <v>2145.0891000000006</v>
      </c>
      <c r="E25" s="46" t="e">
        <f t="shared" si="8"/>
        <v>#DIV/0!</v>
      </c>
      <c r="F25" s="49"/>
      <c r="G25" s="44">
        <f t="shared" si="10"/>
        <v>0</v>
      </c>
      <c r="H25" s="47">
        <f t="shared" si="11"/>
        <v>0</v>
      </c>
      <c r="I25" s="44">
        <f>'Crushing Down Time Hours'!L20</f>
        <v>0</v>
      </c>
      <c r="J25" s="44">
        <f>'Milling Down Time Hours'!M6</f>
        <v>22.9</v>
      </c>
      <c r="K25" s="30">
        <f>'Crushing Down Time Hours'!M25</f>
        <v>0</v>
      </c>
      <c r="L25" s="30">
        <f t="shared" si="2"/>
        <v>0.95416666666666661</v>
      </c>
      <c r="M25" s="56">
        <f>'Milling Down Time Hours'!N11</f>
        <v>0.90972222222222221</v>
      </c>
      <c r="N25" s="30">
        <f t="shared" si="7"/>
        <v>0.95416666666666661</v>
      </c>
      <c r="O25" s="49"/>
      <c r="P25" s="49"/>
      <c r="Q25" s="49"/>
      <c r="R25" s="49"/>
      <c r="S25" s="49"/>
      <c r="T25" s="45">
        <f t="shared" si="3"/>
        <v>0</v>
      </c>
      <c r="U25" s="30" t="e">
        <f t="shared" si="4"/>
        <v>#DIV/0!</v>
      </c>
      <c r="V25" s="49"/>
      <c r="W25" s="49"/>
      <c r="X25" s="49"/>
      <c r="Y25" s="49"/>
      <c r="Z25" s="45">
        <f>'Reagent Consumption'!O28</f>
        <v>0</v>
      </c>
      <c r="AA25" s="44">
        <f>'Fuel Consumption'!F22</f>
        <v>0</v>
      </c>
      <c r="AB25" s="45">
        <f>'Reagent Consumption'!Q28</f>
        <v>0</v>
      </c>
      <c r="AC25" s="45">
        <f>'Reagent Consumption'!P28</f>
        <v>0</v>
      </c>
      <c r="AD25" s="45">
        <f>'Reagent Consumption'!R28</f>
        <v>0</v>
      </c>
      <c r="AE25" s="45">
        <f>'Reagent Consumption'!S28</f>
        <v>0</v>
      </c>
      <c r="AF25" s="45">
        <f>'Reagent Consumption'!T28</f>
        <v>0</v>
      </c>
      <c r="AG25" s="45">
        <f>'Fuel Consumption'!F22</f>
        <v>0</v>
      </c>
      <c r="AH25" s="45"/>
      <c r="AI25" s="45"/>
      <c r="AJ25" s="45"/>
      <c r="AK25" s="45"/>
      <c r="AL25" s="45"/>
      <c r="AM25" s="45"/>
      <c r="AN25" s="45"/>
      <c r="AO25" s="45"/>
      <c r="AP25" s="45"/>
      <c r="AQ25" s="49"/>
      <c r="AR25" s="34"/>
      <c r="AS25" s="34"/>
    </row>
    <row r="26" spans="1:45" x14ac:dyDescent="0.3">
      <c r="A26" s="42"/>
      <c r="B26" s="43">
        <v>46267</v>
      </c>
      <c r="C26" s="44">
        <f>Crushing!N25</f>
        <v>0</v>
      </c>
      <c r="D26" s="44">
        <f t="shared" si="9"/>
        <v>2145.0891000000006</v>
      </c>
      <c r="E26" s="46" t="e">
        <f t="shared" si="8"/>
        <v>#DIV/0!</v>
      </c>
      <c r="F26" s="49"/>
      <c r="G26" s="44">
        <f t="shared" si="10"/>
        <v>0</v>
      </c>
      <c r="H26" s="47">
        <f t="shared" si="11"/>
        <v>0</v>
      </c>
      <c r="I26" s="44">
        <f>'Crushing Down Time Hours'!L21</f>
        <v>0</v>
      </c>
      <c r="J26" s="44">
        <f>'Milling Down Time Hours'!M7</f>
        <v>22</v>
      </c>
      <c r="K26" s="30">
        <f>'Crushing Down Time Hours'!M26</f>
        <v>0</v>
      </c>
      <c r="L26" s="30">
        <f t="shared" si="2"/>
        <v>0.91666666666666663</v>
      </c>
      <c r="M26" s="56">
        <f>'Milling Down Time Hours'!N12</f>
        <v>0.93541666666666667</v>
      </c>
      <c r="N26" s="30">
        <f t="shared" si="7"/>
        <v>0.91666666666666663</v>
      </c>
      <c r="O26" s="49"/>
      <c r="P26" s="49"/>
      <c r="Q26" s="49"/>
      <c r="R26" s="49"/>
      <c r="S26" s="49"/>
      <c r="T26" s="45">
        <f t="shared" si="3"/>
        <v>0</v>
      </c>
      <c r="U26" s="30" t="e">
        <f t="shared" si="4"/>
        <v>#DIV/0!</v>
      </c>
      <c r="V26" s="49"/>
      <c r="W26" s="49"/>
      <c r="X26" s="49"/>
      <c r="Y26" s="49"/>
      <c r="Z26" s="45">
        <f>'Reagent Consumption'!O29</f>
        <v>0</v>
      </c>
      <c r="AA26" s="44">
        <f>'Fuel Consumption'!F23</f>
        <v>0</v>
      </c>
      <c r="AB26" s="45">
        <f>'Reagent Consumption'!Q29</f>
        <v>0</v>
      </c>
      <c r="AC26" s="45">
        <f>'Reagent Consumption'!P29</f>
        <v>0</v>
      </c>
      <c r="AD26" s="45">
        <f>'Reagent Consumption'!R29</f>
        <v>0</v>
      </c>
      <c r="AE26" s="45">
        <f>'Reagent Consumption'!S29</f>
        <v>0</v>
      </c>
      <c r="AF26" s="45">
        <f>'Reagent Consumption'!T29</f>
        <v>0</v>
      </c>
      <c r="AG26" s="45">
        <f>'Fuel Consumption'!F23</f>
        <v>0</v>
      </c>
      <c r="AH26" s="45"/>
      <c r="AI26" s="45"/>
      <c r="AJ26" s="45"/>
      <c r="AK26" s="45"/>
      <c r="AL26" s="45"/>
      <c r="AM26" s="45"/>
      <c r="AN26" s="45"/>
      <c r="AO26" s="45"/>
      <c r="AP26" s="45"/>
      <c r="AQ26" s="49"/>
      <c r="AR26" s="34"/>
      <c r="AS26" s="34"/>
    </row>
    <row r="27" spans="1:45" x14ac:dyDescent="0.3">
      <c r="A27" s="42"/>
      <c r="B27" s="43">
        <v>46268</v>
      </c>
      <c r="C27" s="44">
        <v>0</v>
      </c>
      <c r="D27" s="44">
        <f t="shared" si="9"/>
        <v>2145.0891000000006</v>
      </c>
      <c r="E27" s="46" t="e">
        <f t="shared" si="8"/>
        <v>#DIV/0!</v>
      </c>
      <c r="F27" s="49"/>
      <c r="G27" s="44">
        <f t="shared" si="10"/>
        <v>0</v>
      </c>
      <c r="H27" s="47">
        <f t="shared" si="11"/>
        <v>0</v>
      </c>
      <c r="I27" s="44">
        <f>'Crushing Down Time Hours'!L22</f>
        <v>0</v>
      </c>
      <c r="J27" s="44">
        <f>'Milling Down Time Hours'!M8</f>
        <v>11.016666666666667</v>
      </c>
      <c r="K27" s="30">
        <f>'Crushing Down Time Hours'!M27</f>
        <v>0</v>
      </c>
      <c r="L27" s="30">
        <f t="shared" si="2"/>
        <v>0.45902777777777781</v>
      </c>
      <c r="M27" s="56">
        <f>'Milling Down Time Hours'!N13</f>
        <v>0.9868055555555556</v>
      </c>
      <c r="N27" s="30">
        <f t="shared" si="7"/>
        <v>0.45902777777777781</v>
      </c>
      <c r="O27" s="49"/>
      <c r="P27" s="49"/>
      <c r="Q27" s="49"/>
      <c r="R27" s="49"/>
      <c r="S27" s="49"/>
      <c r="T27" s="45">
        <f t="shared" si="3"/>
        <v>0</v>
      </c>
      <c r="U27" s="30" t="e">
        <f t="shared" si="4"/>
        <v>#DIV/0!</v>
      </c>
      <c r="V27" s="49"/>
      <c r="W27" s="49"/>
      <c r="X27" s="49"/>
      <c r="Y27" s="49"/>
      <c r="Z27" s="45">
        <f>'Reagent Consumption'!O30</f>
        <v>0</v>
      </c>
      <c r="AA27" s="44">
        <f>'Fuel Consumption'!F24</f>
        <v>0</v>
      </c>
      <c r="AB27" s="45">
        <f>'Reagent Consumption'!Q30</f>
        <v>0</v>
      </c>
      <c r="AC27" s="45">
        <f>'Reagent Consumption'!P30</f>
        <v>0</v>
      </c>
      <c r="AD27" s="45">
        <f>'Reagent Consumption'!R30</f>
        <v>0</v>
      </c>
      <c r="AE27" s="45">
        <f>'Reagent Consumption'!S30</f>
        <v>0</v>
      </c>
      <c r="AF27" s="45">
        <f>'Reagent Consumption'!T30</f>
        <v>0</v>
      </c>
      <c r="AG27" s="45">
        <f>'Fuel Consumption'!F24</f>
        <v>0</v>
      </c>
      <c r="AH27" s="45"/>
      <c r="AI27" s="45"/>
      <c r="AJ27" s="45"/>
      <c r="AK27" s="45"/>
      <c r="AL27" s="45"/>
      <c r="AM27" s="45"/>
      <c r="AN27" s="45"/>
      <c r="AO27" s="45"/>
      <c r="AP27" s="45"/>
      <c r="AQ27" s="49"/>
      <c r="AR27" s="34"/>
      <c r="AS27" s="34"/>
    </row>
    <row r="28" spans="1:45" x14ac:dyDescent="0.3">
      <c r="A28" s="42"/>
      <c r="B28" s="43">
        <v>46269</v>
      </c>
      <c r="C28" s="44">
        <f>Crushing!N27</f>
        <v>0</v>
      </c>
      <c r="D28" s="44">
        <f t="shared" si="9"/>
        <v>2145.0891000000006</v>
      </c>
      <c r="E28" s="46" t="e">
        <f t="shared" si="8"/>
        <v>#DIV/0!</v>
      </c>
      <c r="F28" s="49"/>
      <c r="G28" s="44">
        <f t="shared" si="10"/>
        <v>0</v>
      </c>
      <c r="H28" s="47">
        <f t="shared" si="11"/>
        <v>0</v>
      </c>
      <c r="I28" s="44">
        <f>'Crushing Down Time Hours'!L23</f>
        <v>0</v>
      </c>
      <c r="J28" s="44">
        <f>'Milling Down Time Hours'!M9</f>
        <v>3.3333333333333333E-2</v>
      </c>
      <c r="K28" s="30">
        <f>'Crushing Down Time Hours'!M28</f>
        <v>0</v>
      </c>
      <c r="L28" s="30">
        <f t="shared" si="2"/>
        <v>1.3888888888888889E-3</v>
      </c>
      <c r="M28" s="56">
        <f>'Milling Down Time Hours'!N14</f>
        <v>0.94861111111111107</v>
      </c>
      <c r="N28" s="30">
        <f t="shared" si="7"/>
        <v>1.3888888888888889E-3</v>
      </c>
      <c r="O28" s="49"/>
      <c r="P28" s="49"/>
      <c r="Q28" s="49"/>
      <c r="R28" s="49"/>
      <c r="S28" s="49"/>
      <c r="T28" s="45">
        <f t="shared" si="3"/>
        <v>0</v>
      </c>
      <c r="U28" s="30" t="e">
        <f t="shared" si="4"/>
        <v>#DIV/0!</v>
      </c>
      <c r="V28" s="49"/>
      <c r="W28" s="49"/>
      <c r="X28" s="49"/>
      <c r="Y28" s="49"/>
      <c r="Z28" s="45">
        <f>'Reagent Consumption'!O31</f>
        <v>0</v>
      </c>
      <c r="AA28" s="44">
        <f>'Fuel Consumption'!F25</f>
        <v>0</v>
      </c>
      <c r="AB28" s="45">
        <f>'Reagent Consumption'!Q31</f>
        <v>0</v>
      </c>
      <c r="AC28" s="45">
        <f>'Reagent Consumption'!P31</f>
        <v>0</v>
      </c>
      <c r="AD28" s="45">
        <f>'Reagent Consumption'!R31</f>
        <v>0</v>
      </c>
      <c r="AE28" s="45">
        <f>'Reagent Consumption'!S31</f>
        <v>0</v>
      </c>
      <c r="AF28" s="45">
        <f>'Reagent Consumption'!T31</f>
        <v>0</v>
      </c>
      <c r="AG28" s="45">
        <f>'Fuel Consumption'!F25</f>
        <v>0</v>
      </c>
      <c r="AH28" s="45"/>
      <c r="AI28" s="45"/>
      <c r="AJ28" s="45"/>
      <c r="AK28" s="45"/>
      <c r="AL28" s="45"/>
      <c r="AM28" s="45"/>
      <c r="AN28" s="45"/>
      <c r="AO28" s="45"/>
      <c r="AP28" s="45"/>
      <c r="AQ28" s="49"/>
      <c r="AR28" s="34"/>
      <c r="AS28" s="34"/>
    </row>
    <row r="29" spans="1:45" x14ac:dyDescent="0.3">
      <c r="A29" s="42"/>
      <c r="B29" s="43">
        <v>46270</v>
      </c>
      <c r="C29" s="44">
        <v>0</v>
      </c>
      <c r="D29" s="44">
        <f t="shared" si="9"/>
        <v>2145.0891000000006</v>
      </c>
      <c r="E29" s="46" t="e">
        <f t="shared" si="8"/>
        <v>#DIV/0!</v>
      </c>
      <c r="F29" s="49"/>
      <c r="G29" s="44">
        <f t="shared" si="10"/>
        <v>0</v>
      </c>
      <c r="H29" s="47">
        <f t="shared" si="11"/>
        <v>0</v>
      </c>
      <c r="I29" s="44">
        <f>'Crushing Down Time Hours'!L24</f>
        <v>0</v>
      </c>
      <c r="J29" s="44">
        <f>'Milling Down Time Hours'!M10</f>
        <v>11.016666666666667</v>
      </c>
      <c r="K29" s="30">
        <f>'Crushing Down Time Hours'!M29</f>
        <v>0</v>
      </c>
      <c r="L29" s="30">
        <f t="shared" si="2"/>
        <v>0.45902777777777781</v>
      </c>
      <c r="M29" s="56">
        <f>'Milling Down Time Hours'!N15</f>
        <v>0.93055555555555547</v>
      </c>
      <c r="N29" s="30">
        <f t="shared" si="7"/>
        <v>0.45902777777777781</v>
      </c>
      <c r="O29" s="49"/>
      <c r="P29" s="49"/>
      <c r="Q29" s="49"/>
      <c r="R29" s="49"/>
      <c r="S29" s="49"/>
      <c r="T29" s="45">
        <f t="shared" si="3"/>
        <v>0</v>
      </c>
      <c r="U29" s="30" t="e">
        <f t="shared" si="4"/>
        <v>#DIV/0!</v>
      </c>
      <c r="V29" s="49"/>
      <c r="W29" s="49"/>
      <c r="X29" s="49"/>
      <c r="Y29" s="49"/>
      <c r="Z29" s="45">
        <f>'Reagent Consumption'!O32</f>
        <v>0</v>
      </c>
      <c r="AA29" s="44">
        <f>'Fuel Consumption'!F26</f>
        <v>0</v>
      </c>
      <c r="AB29" s="45">
        <f>'Reagent Consumption'!Q32</f>
        <v>0</v>
      </c>
      <c r="AC29" s="45">
        <f>'Reagent Consumption'!P32</f>
        <v>0</v>
      </c>
      <c r="AD29" s="45">
        <f>'Reagent Consumption'!R32</f>
        <v>0</v>
      </c>
      <c r="AE29" s="45">
        <f>'Reagent Consumption'!S32</f>
        <v>0</v>
      </c>
      <c r="AF29" s="45">
        <f>'Reagent Consumption'!T32</f>
        <v>0</v>
      </c>
      <c r="AG29" s="45">
        <f>'Fuel Consumption'!F26</f>
        <v>0</v>
      </c>
      <c r="AH29" s="45"/>
      <c r="AI29" s="45"/>
      <c r="AJ29" s="45"/>
      <c r="AK29" s="45"/>
      <c r="AL29" s="45"/>
      <c r="AM29" s="45"/>
      <c r="AN29" s="45"/>
      <c r="AO29" s="45"/>
      <c r="AP29" s="45"/>
      <c r="AQ29" s="49"/>
      <c r="AR29" s="34"/>
      <c r="AS29" s="34"/>
    </row>
    <row r="30" spans="1:45" x14ac:dyDescent="0.3">
      <c r="A30" s="42"/>
      <c r="B30" s="43">
        <v>46271</v>
      </c>
      <c r="C30" s="44">
        <f>Crushing!N52</f>
        <v>0</v>
      </c>
      <c r="D30" s="44">
        <f t="shared" si="9"/>
        <v>2145.0891000000006</v>
      </c>
      <c r="E30" s="46" t="e">
        <f t="shared" si="8"/>
        <v>#DIV/0!</v>
      </c>
      <c r="F30" s="49"/>
      <c r="G30" s="44">
        <f t="shared" si="10"/>
        <v>0</v>
      </c>
      <c r="H30" s="47">
        <f t="shared" si="11"/>
        <v>0</v>
      </c>
      <c r="I30" s="44">
        <f>'Crushing Down Time Hours'!L25</f>
        <v>0</v>
      </c>
      <c r="J30" s="44">
        <f>'Milling Down Time Hours'!M11</f>
        <v>21.833333333333332</v>
      </c>
      <c r="K30" s="30">
        <f>'Crushing Down Time Hours'!M30</f>
        <v>0</v>
      </c>
      <c r="L30" s="30">
        <f t="shared" si="2"/>
        <v>0.90972222222222221</v>
      </c>
      <c r="M30" s="56">
        <f>'Milling Down Time Hours'!N17</f>
        <v>1</v>
      </c>
      <c r="N30" s="30">
        <f t="shared" si="7"/>
        <v>0.90972222222222221</v>
      </c>
      <c r="O30" s="49"/>
      <c r="P30" s="49"/>
      <c r="Q30" s="49"/>
      <c r="R30" s="49"/>
      <c r="S30" s="49"/>
      <c r="T30" s="45">
        <f t="shared" si="3"/>
        <v>0</v>
      </c>
      <c r="U30" s="30" t="e">
        <f t="shared" si="4"/>
        <v>#DIV/0!</v>
      </c>
      <c r="V30" s="49"/>
      <c r="W30" s="49"/>
      <c r="X30" s="49"/>
      <c r="Y30" s="49"/>
      <c r="Z30" s="45">
        <f>'Reagent Consumption'!O33</f>
        <v>0</v>
      </c>
      <c r="AA30" s="44">
        <f>'Fuel Consumption'!F27</f>
        <v>0</v>
      </c>
      <c r="AB30" s="45">
        <f>'Reagent Consumption'!Q33</f>
        <v>0</v>
      </c>
      <c r="AC30" s="45">
        <f>'Reagent Consumption'!P33</f>
        <v>0</v>
      </c>
      <c r="AD30" s="45">
        <f>'Reagent Consumption'!R33</f>
        <v>0</v>
      </c>
      <c r="AE30" s="45">
        <f>'Reagent Consumption'!S33</f>
        <v>0</v>
      </c>
      <c r="AF30" s="45">
        <f>'Reagent Consumption'!T33</f>
        <v>0</v>
      </c>
      <c r="AG30" s="45">
        <f>'Fuel Consumption'!F27</f>
        <v>0</v>
      </c>
      <c r="AH30" s="45"/>
      <c r="AI30" s="45"/>
      <c r="AJ30" s="45"/>
      <c r="AK30" s="45"/>
      <c r="AL30" s="45"/>
      <c r="AM30" s="45"/>
      <c r="AN30" s="45"/>
      <c r="AO30" s="45"/>
      <c r="AP30" s="45"/>
      <c r="AQ30" s="49"/>
      <c r="AR30" s="34"/>
      <c r="AS30" s="34"/>
    </row>
    <row r="31" spans="1:45" x14ac:dyDescent="0.3">
      <c r="A31" s="42"/>
      <c r="B31" s="43">
        <v>46272</v>
      </c>
      <c r="C31" s="44">
        <f>Crushing!N30</f>
        <v>0</v>
      </c>
      <c r="D31" s="44">
        <f t="shared" si="9"/>
        <v>2145.0891000000006</v>
      </c>
      <c r="E31" s="46" t="e">
        <f t="shared" si="8"/>
        <v>#DIV/0!</v>
      </c>
      <c r="F31" s="49"/>
      <c r="G31" s="44">
        <f t="shared" si="10"/>
        <v>0</v>
      </c>
      <c r="H31" s="47">
        <f t="shared" si="11"/>
        <v>0</v>
      </c>
      <c r="I31" s="44">
        <f>'Crushing Down Time Hours'!L26</f>
        <v>0</v>
      </c>
      <c r="J31" s="44">
        <f>'Milling Down Time Hours'!M12</f>
        <v>22.45</v>
      </c>
      <c r="K31" s="30">
        <f>'Crushing Down Time Hours'!M31</f>
        <v>0</v>
      </c>
      <c r="L31" s="30">
        <f t="shared" si="2"/>
        <v>0.93541666666666667</v>
      </c>
      <c r="M31" s="56">
        <f>'Milling Down Time Hours'!N18</f>
        <v>1</v>
      </c>
      <c r="N31" s="30">
        <f t="shared" si="7"/>
        <v>0.93541666666666667</v>
      </c>
      <c r="O31" s="49"/>
      <c r="P31" s="49"/>
      <c r="Q31" s="49"/>
      <c r="R31" s="49"/>
      <c r="S31" s="49"/>
      <c r="T31" s="45">
        <f t="shared" si="3"/>
        <v>0</v>
      </c>
      <c r="U31" s="30" t="e">
        <f t="shared" si="4"/>
        <v>#DIV/0!</v>
      </c>
      <c r="V31" s="49"/>
      <c r="W31" s="49"/>
      <c r="X31" s="49"/>
      <c r="Y31" s="49"/>
      <c r="Z31" s="45">
        <f>'Reagent Consumption'!O34</f>
        <v>0</v>
      </c>
      <c r="AA31" s="44">
        <f>'Fuel Consumption'!F28</f>
        <v>0</v>
      </c>
      <c r="AB31" s="45">
        <f>'Reagent Consumption'!Q34</f>
        <v>0</v>
      </c>
      <c r="AC31" s="45">
        <f>'Reagent Consumption'!P34</f>
        <v>0</v>
      </c>
      <c r="AD31" s="45">
        <f>'Reagent Consumption'!R34</f>
        <v>0</v>
      </c>
      <c r="AE31" s="45">
        <f>'Reagent Consumption'!S34</f>
        <v>0</v>
      </c>
      <c r="AF31" s="45">
        <f>'Reagent Consumption'!T34</f>
        <v>0</v>
      </c>
      <c r="AG31" s="45">
        <f>'Fuel Consumption'!F28</f>
        <v>0</v>
      </c>
      <c r="AH31" s="45"/>
      <c r="AI31" s="45"/>
      <c r="AJ31" s="45"/>
      <c r="AK31" s="45"/>
      <c r="AL31" s="45"/>
      <c r="AM31" s="45"/>
      <c r="AN31" s="45"/>
      <c r="AO31" s="45"/>
      <c r="AP31" s="45"/>
      <c r="AQ31" s="49"/>
      <c r="AR31" s="34"/>
      <c r="AS31" s="34"/>
    </row>
    <row r="32" spans="1:45" x14ac:dyDescent="0.3">
      <c r="A32" s="42"/>
      <c r="B32" s="43">
        <v>46273</v>
      </c>
      <c r="C32" s="44">
        <f>Crushing!N31</f>
        <v>0</v>
      </c>
      <c r="D32" s="44">
        <f t="shared" si="9"/>
        <v>2145.0891000000006</v>
      </c>
      <c r="E32" s="46" t="e">
        <f t="shared" si="8"/>
        <v>#DIV/0!</v>
      </c>
      <c r="F32" s="49"/>
      <c r="G32" s="44">
        <f t="shared" si="10"/>
        <v>0</v>
      </c>
      <c r="H32" s="47">
        <f t="shared" si="11"/>
        <v>0</v>
      </c>
      <c r="I32" s="44">
        <f>'Crushing Down Time Hours'!L27</f>
        <v>0</v>
      </c>
      <c r="J32" s="44">
        <f>'Milling Down Time Hours'!M13</f>
        <v>23.683333333333334</v>
      </c>
      <c r="K32" s="30">
        <f>'Crushing Down Time Hours'!M32</f>
        <v>0</v>
      </c>
      <c r="L32" s="30">
        <f t="shared" si="2"/>
        <v>0.9868055555555556</v>
      </c>
      <c r="M32" s="30">
        <v>1</v>
      </c>
      <c r="N32" s="30">
        <f t="shared" si="7"/>
        <v>0.9868055555555556</v>
      </c>
      <c r="O32" s="49"/>
      <c r="P32" s="49"/>
      <c r="Q32" s="49"/>
      <c r="R32" s="49"/>
      <c r="S32" s="49"/>
      <c r="T32" s="45">
        <f t="shared" si="3"/>
        <v>0</v>
      </c>
      <c r="U32" s="30" t="e">
        <f t="shared" si="4"/>
        <v>#DIV/0!</v>
      </c>
      <c r="V32" s="49"/>
      <c r="W32" s="49"/>
      <c r="X32" s="49"/>
      <c r="Y32" s="49"/>
      <c r="Z32" s="45">
        <f>'Reagent Consumption'!O35</f>
        <v>0</v>
      </c>
      <c r="AA32" s="44">
        <f>'Fuel Consumption'!F29</f>
        <v>0</v>
      </c>
      <c r="AB32" s="45">
        <f>'Reagent Consumption'!Q35</f>
        <v>0</v>
      </c>
      <c r="AC32" s="45">
        <f>'Reagent Consumption'!P35</f>
        <v>0</v>
      </c>
      <c r="AD32" s="45">
        <f>'Reagent Consumption'!R35</f>
        <v>0</v>
      </c>
      <c r="AE32" s="45">
        <f>'Reagent Consumption'!S35</f>
        <v>0</v>
      </c>
      <c r="AF32" s="45">
        <f>'Reagent Consumption'!T35</f>
        <v>0</v>
      </c>
      <c r="AG32" s="45">
        <f>'Fuel Consumption'!F29</f>
        <v>0</v>
      </c>
      <c r="AH32" s="45"/>
      <c r="AI32" s="45"/>
      <c r="AJ32" s="45"/>
      <c r="AK32" s="45"/>
      <c r="AL32" s="45"/>
      <c r="AM32" s="45"/>
      <c r="AN32" s="45"/>
      <c r="AO32" s="45"/>
      <c r="AP32" s="45"/>
      <c r="AQ32" s="49"/>
      <c r="AR32" s="34"/>
      <c r="AS32" s="34"/>
    </row>
    <row r="33" spans="1:45" x14ac:dyDescent="0.3">
      <c r="A33" s="42"/>
      <c r="B33" s="43">
        <v>46274</v>
      </c>
      <c r="C33" s="44">
        <f>Crushing!N58</f>
        <v>0</v>
      </c>
      <c r="D33" s="44">
        <f>D32+C33</f>
        <v>2145.0891000000006</v>
      </c>
      <c r="E33" s="46" t="e">
        <f>C33/I33</f>
        <v>#DIV/0!</v>
      </c>
      <c r="F33" s="49"/>
      <c r="G33" s="44">
        <f t="shared" si="10"/>
        <v>0</v>
      </c>
      <c r="H33" s="47">
        <f t="shared" si="11"/>
        <v>0</v>
      </c>
      <c r="I33" s="44">
        <f>'Crushing Down Time Hours'!L28</f>
        <v>0</v>
      </c>
      <c r="J33" s="44">
        <f>'Milling Down Time Hours'!M14</f>
        <v>22.766666666666666</v>
      </c>
      <c r="K33" s="30">
        <f>'Crushing Down Time Hours'!M33</f>
        <v>0</v>
      </c>
      <c r="L33" s="30">
        <f t="shared" si="2"/>
        <v>0.94861111111111107</v>
      </c>
      <c r="M33" s="30">
        <v>1</v>
      </c>
      <c r="N33" s="30">
        <f t="shared" si="7"/>
        <v>0.94861111111111107</v>
      </c>
      <c r="O33" s="49"/>
      <c r="P33" s="49"/>
      <c r="Q33" s="49"/>
      <c r="R33" s="49"/>
      <c r="S33" s="49"/>
      <c r="T33" s="45">
        <f t="shared" si="3"/>
        <v>0</v>
      </c>
      <c r="U33" s="30" t="e">
        <f t="shared" si="4"/>
        <v>#DIV/0!</v>
      </c>
      <c r="V33" s="49"/>
      <c r="W33" s="49"/>
      <c r="X33" s="49"/>
      <c r="Y33" s="49"/>
      <c r="Z33" s="45">
        <f>'Reagent Consumption'!O36</f>
        <v>0</v>
      </c>
      <c r="AA33" s="44">
        <f>'Fuel Consumption'!F30</f>
        <v>0</v>
      </c>
      <c r="AB33" s="45">
        <f>'Reagent Consumption'!Q36</f>
        <v>0</v>
      </c>
      <c r="AC33" s="45">
        <f>'Reagent Consumption'!P36</f>
        <v>0</v>
      </c>
      <c r="AD33" s="45">
        <f>'Reagent Consumption'!R36</f>
        <v>0</v>
      </c>
      <c r="AE33" s="45">
        <f>'Reagent Consumption'!S36</f>
        <v>0</v>
      </c>
      <c r="AF33" s="45">
        <f>'Reagent Consumption'!T36</f>
        <v>0</v>
      </c>
      <c r="AG33" s="45">
        <f>'Fuel Consumption'!F30</f>
        <v>0</v>
      </c>
      <c r="AH33" s="45"/>
      <c r="AI33" s="45"/>
      <c r="AJ33" s="45"/>
      <c r="AK33" s="45"/>
      <c r="AL33" s="45"/>
      <c r="AM33" s="45"/>
      <c r="AN33" s="45"/>
      <c r="AO33" s="45"/>
      <c r="AP33" s="45"/>
      <c r="AQ33" s="49"/>
      <c r="AR33" s="34"/>
      <c r="AS33" s="34"/>
    </row>
    <row r="34" spans="1:45" x14ac:dyDescent="0.3">
      <c r="A34" s="42"/>
      <c r="B34" s="43">
        <v>46275</v>
      </c>
      <c r="C34" s="44">
        <f>Crushing!N33</f>
        <v>0</v>
      </c>
      <c r="D34" s="44">
        <f t="shared" si="9"/>
        <v>2145.0891000000006</v>
      </c>
      <c r="E34" s="46" t="e">
        <f t="shared" si="8"/>
        <v>#DIV/0!</v>
      </c>
      <c r="F34" s="49"/>
      <c r="G34" s="44">
        <f t="shared" si="10"/>
        <v>0</v>
      </c>
      <c r="H34" s="47">
        <f t="shared" si="11"/>
        <v>0</v>
      </c>
      <c r="I34" s="44">
        <f>'Crushing Down Time Hours'!L29</f>
        <v>0</v>
      </c>
      <c r="J34" s="44">
        <f>'Milling Down Time Hours'!M15</f>
        <v>22.333333333333332</v>
      </c>
      <c r="K34" s="30">
        <f>'Crushing Down Time Hours'!M34</f>
        <v>0</v>
      </c>
      <c r="L34" s="30">
        <f t="shared" si="2"/>
        <v>0.93055555555555547</v>
      </c>
      <c r="M34" s="30">
        <v>1</v>
      </c>
      <c r="N34" s="30">
        <f t="shared" si="7"/>
        <v>0.93055555555555547</v>
      </c>
      <c r="O34" s="49"/>
      <c r="P34" s="49"/>
      <c r="Q34" s="49"/>
      <c r="R34" s="49"/>
      <c r="S34" s="49"/>
      <c r="T34" s="45">
        <f t="shared" si="3"/>
        <v>0</v>
      </c>
      <c r="U34" s="30" t="e">
        <f t="shared" si="4"/>
        <v>#DIV/0!</v>
      </c>
      <c r="V34" s="49"/>
      <c r="W34" s="49"/>
      <c r="X34" s="49"/>
      <c r="Y34" s="49"/>
      <c r="Z34" s="45">
        <f>'Reagent Consumption'!O37</f>
        <v>0</v>
      </c>
      <c r="AA34" s="44">
        <f>'Fuel Consumption'!F31</f>
        <v>0</v>
      </c>
      <c r="AB34" s="45">
        <f>'Reagent Consumption'!Q37</f>
        <v>0</v>
      </c>
      <c r="AC34" s="45">
        <f>'Reagent Consumption'!P37</f>
        <v>0</v>
      </c>
      <c r="AD34" s="45">
        <f>'Reagent Consumption'!R37</f>
        <v>0</v>
      </c>
      <c r="AE34" s="45">
        <f>'Reagent Consumption'!S37</f>
        <v>0</v>
      </c>
      <c r="AF34" s="45">
        <f>'Reagent Consumption'!T37</f>
        <v>0</v>
      </c>
      <c r="AG34" s="45">
        <f>'Fuel Consumption'!F31</f>
        <v>0</v>
      </c>
      <c r="AH34" s="45"/>
      <c r="AI34" s="45"/>
      <c r="AJ34" s="45"/>
      <c r="AK34" s="45"/>
      <c r="AL34" s="45"/>
      <c r="AM34" s="45"/>
      <c r="AN34" s="45"/>
      <c r="AO34" s="45"/>
      <c r="AP34" s="45"/>
      <c r="AQ34" s="49"/>
      <c r="AR34" s="34"/>
      <c r="AS34" s="34"/>
    </row>
    <row r="35" spans="1:45" x14ac:dyDescent="0.3">
      <c r="A35" s="42"/>
      <c r="B35" s="43">
        <v>46276</v>
      </c>
      <c r="C35" s="44"/>
      <c r="D35" s="44">
        <f t="shared" si="9"/>
        <v>2145.0891000000006</v>
      </c>
      <c r="E35" s="46" t="e">
        <f t="shared" si="8"/>
        <v>#DIV/0!</v>
      </c>
      <c r="F35" s="49"/>
      <c r="G35" s="44">
        <f t="shared" si="10"/>
        <v>0</v>
      </c>
      <c r="H35" s="47">
        <f t="shared" si="11"/>
        <v>0</v>
      </c>
      <c r="I35" s="44">
        <f>'Crushing Down Time Hours'!L30</f>
        <v>0</v>
      </c>
      <c r="J35" s="44">
        <f>'Milling Down Time Hours'!M17</f>
        <v>24</v>
      </c>
      <c r="K35" s="30">
        <f>'Crushing Down Time Hours'!M35</f>
        <v>0</v>
      </c>
      <c r="L35" s="30">
        <f t="shared" si="2"/>
        <v>1</v>
      </c>
      <c r="M35" s="30">
        <v>1</v>
      </c>
      <c r="N35" s="30">
        <f t="shared" si="7"/>
        <v>0</v>
      </c>
      <c r="O35" s="49"/>
      <c r="P35" s="49"/>
      <c r="Q35" s="49"/>
      <c r="R35" s="49"/>
      <c r="S35" s="49"/>
      <c r="T35" s="45">
        <f t="shared" si="3"/>
        <v>0</v>
      </c>
      <c r="U35" s="30" t="e">
        <f t="shared" si="4"/>
        <v>#DIV/0!</v>
      </c>
      <c r="V35" s="49"/>
      <c r="W35" s="49"/>
      <c r="X35" s="49"/>
      <c r="Y35" s="49"/>
      <c r="Z35" s="45">
        <f>'Reagent Consumption'!O38</f>
        <v>0</v>
      </c>
      <c r="AA35" s="44">
        <f>'Fuel Consumption'!F32</f>
        <v>0</v>
      </c>
      <c r="AB35" s="45">
        <f>'Reagent Consumption'!Q38</f>
        <v>0</v>
      </c>
      <c r="AC35" s="45">
        <f>'Reagent Consumption'!P38</f>
        <v>0</v>
      </c>
      <c r="AD35" s="45">
        <f>'Reagent Consumption'!R38</f>
        <v>0</v>
      </c>
      <c r="AE35" s="45">
        <f>'Reagent Consumption'!S38</f>
        <v>0</v>
      </c>
      <c r="AF35" s="45">
        <f>'Reagent Consumption'!T38</f>
        <v>0</v>
      </c>
      <c r="AG35" s="45">
        <f>'Fuel Consumption'!F32</f>
        <v>0</v>
      </c>
      <c r="AH35" s="45"/>
      <c r="AI35" s="45"/>
      <c r="AJ35" s="45"/>
      <c r="AK35" s="45"/>
      <c r="AL35" s="45"/>
      <c r="AM35" s="45"/>
      <c r="AN35" s="45"/>
      <c r="AO35" s="45"/>
      <c r="AP35" s="45"/>
      <c r="AQ35" s="49"/>
      <c r="AR35" s="34"/>
      <c r="AS35" s="34"/>
    </row>
    <row r="36" spans="1:45" x14ac:dyDescent="0.3">
      <c r="A36" s="42"/>
      <c r="B36" s="43">
        <v>46277</v>
      </c>
      <c r="C36" s="62">
        <f>Crushing!N35</f>
        <v>0</v>
      </c>
      <c r="D36" s="62">
        <f t="shared" si="9"/>
        <v>2145.0891000000006</v>
      </c>
      <c r="E36" s="63" t="e">
        <f t="shared" si="8"/>
        <v>#DIV/0!</v>
      </c>
      <c r="F36" s="42"/>
      <c r="G36" s="44">
        <f t="shared" si="10"/>
        <v>0</v>
      </c>
      <c r="H36" s="47">
        <f t="shared" si="11"/>
        <v>0</v>
      </c>
      <c r="I36" s="44">
        <f>'Crushing Down Time Hours'!L31</f>
        <v>0</v>
      </c>
      <c r="J36" s="44">
        <f>'Milling Down Time Hours'!M18</f>
        <v>24</v>
      </c>
      <c r="K36" s="30">
        <f>'Crushing Down Time Hours'!M36</f>
        <v>0</v>
      </c>
      <c r="L36" s="30">
        <f t="shared" si="2"/>
        <v>1</v>
      </c>
      <c r="M36" s="31">
        <v>1</v>
      </c>
      <c r="N36" s="31">
        <f t="shared" si="7"/>
        <v>0</v>
      </c>
      <c r="O36" s="42"/>
      <c r="P36" s="42"/>
      <c r="Q36" s="42"/>
      <c r="R36" s="42"/>
      <c r="S36" s="42"/>
      <c r="T36" s="48">
        <f t="shared" si="3"/>
        <v>0</v>
      </c>
      <c r="U36" s="31" t="e">
        <f t="shared" si="4"/>
        <v>#DIV/0!</v>
      </c>
      <c r="V36" s="42"/>
      <c r="W36" s="42"/>
      <c r="X36" s="42"/>
      <c r="Y36" s="42"/>
      <c r="Z36" s="48">
        <f>'Reagent Consumption'!O39</f>
        <v>0</v>
      </c>
      <c r="AA36" s="62">
        <f>'Fuel Consumption'!F33</f>
        <v>0</v>
      </c>
      <c r="AB36" s="48">
        <f>'Reagent Consumption'!Q39</f>
        <v>0</v>
      </c>
      <c r="AC36" s="48">
        <f>'Reagent Consumption'!P39</f>
        <v>0</v>
      </c>
      <c r="AD36" s="48">
        <f>'Reagent Consumption'!R39</f>
        <v>0</v>
      </c>
      <c r="AE36" s="48">
        <f>'Reagent Consumption'!S39</f>
        <v>0</v>
      </c>
      <c r="AF36" s="48">
        <f>'Reagent Consumption'!T39</f>
        <v>0</v>
      </c>
      <c r="AG36" s="48">
        <f>'Fuel Consumption'!F33</f>
        <v>0</v>
      </c>
      <c r="AH36" s="48"/>
      <c r="AI36" s="48"/>
      <c r="AJ36" s="48"/>
      <c r="AK36" s="48"/>
      <c r="AL36" s="48"/>
      <c r="AM36" s="48"/>
      <c r="AN36" s="48"/>
      <c r="AO36" s="48"/>
      <c r="AP36" s="48"/>
      <c r="AQ36" s="42"/>
      <c r="AR36" s="34"/>
      <c r="AS36" s="34"/>
    </row>
    <row r="37" spans="1:45" x14ac:dyDescent="0.3">
      <c r="A37" s="34"/>
      <c r="B37" s="43">
        <v>46278</v>
      </c>
      <c r="C37" s="64">
        <f>Crushing!N66</f>
        <v>0</v>
      </c>
      <c r="D37" s="64">
        <f>D36+C37</f>
        <v>2145.0891000000006</v>
      </c>
      <c r="E37" s="65" t="e">
        <f>C37/I37</f>
        <v>#DIV/0!</v>
      </c>
      <c r="F37" s="50"/>
      <c r="G37" s="44">
        <f t="shared" si="10"/>
        <v>0</v>
      </c>
      <c r="H37" s="47">
        <f t="shared" si="11"/>
        <v>0</v>
      </c>
      <c r="I37" s="44">
        <f>'Crushing Down Time Hours'!L32</f>
        <v>0</v>
      </c>
      <c r="J37" s="44">
        <f>'Milling Down Time Hours'!M19</f>
        <v>24</v>
      </c>
      <c r="K37" s="30">
        <f>'Crushing Down Time Hours'!M37</f>
        <v>0</v>
      </c>
      <c r="L37" s="30">
        <f t="shared" si="2"/>
        <v>1</v>
      </c>
      <c r="M37" s="32">
        <v>1</v>
      </c>
      <c r="N37" s="32">
        <f t="shared" si="7"/>
        <v>0</v>
      </c>
      <c r="O37" s="50"/>
      <c r="P37" s="50"/>
      <c r="Q37" s="50"/>
      <c r="R37" s="50"/>
      <c r="S37" s="50"/>
      <c r="T37" s="66">
        <f t="shared" si="3"/>
        <v>0</v>
      </c>
      <c r="U37" s="32" t="e">
        <f t="shared" si="4"/>
        <v>#DIV/0!</v>
      </c>
      <c r="V37" s="50"/>
      <c r="W37" s="50"/>
      <c r="X37" s="50"/>
      <c r="Y37" s="50"/>
      <c r="Z37" s="48">
        <f>'Reagent Consumption'!O40</f>
        <v>0</v>
      </c>
      <c r="AA37" s="62">
        <f>'Fuel Consumption'!F34</f>
        <v>0</v>
      </c>
      <c r="AB37" s="48">
        <f>'Reagent Consumption'!Q40</f>
        <v>0</v>
      </c>
      <c r="AC37" s="48">
        <f>'Reagent Consumption'!P40</f>
        <v>0</v>
      </c>
      <c r="AD37" s="48">
        <f>'Reagent Consumption'!R40</f>
        <v>0</v>
      </c>
      <c r="AE37" s="48">
        <f>'Reagent Consumption'!S40</f>
        <v>0</v>
      </c>
      <c r="AF37" s="48">
        <f>'Reagent Consumption'!T40</f>
        <v>0</v>
      </c>
      <c r="AG37" s="48">
        <f>'Fuel Consumption'!F34</f>
        <v>0</v>
      </c>
      <c r="AH37" s="48"/>
      <c r="AI37" s="48"/>
      <c r="AJ37" s="48"/>
      <c r="AK37" s="48"/>
      <c r="AL37" s="48"/>
      <c r="AM37" s="48"/>
      <c r="AN37" s="48"/>
      <c r="AO37" s="48"/>
      <c r="AP37" s="66"/>
      <c r="AQ37" s="50"/>
      <c r="AR37" s="34"/>
      <c r="AS37" s="34"/>
    </row>
    <row r="38" spans="1:45" x14ac:dyDescent="0.3">
      <c r="A38" s="34"/>
      <c r="B38" s="43">
        <v>46279</v>
      </c>
      <c r="C38" s="64">
        <f>Crushing!N68</f>
        <v>0</v>
      </c>
      <c r="D38" s="64">
        <f>D37+C38</f>
        <v>2145.0891000000006</v>
      </c>
      <c r="E38" s="65" t="e">
        <f t="shared" ref="E38:E49" si="12">C38/I38</f>
        <v>#DIV/0!</v>
      </c>
      <c r="F38" s="50"/>
      <c r="G38" s="44">
        <f t="shared" si="10"/>
        <v>0</v>
      </c>
      <c r="H38" s="47">
        <f t="shared" si="11"/>
        <v>0</v>
      </c>
      <c r="I38" s="44">
        <f>'Crushing Down Time Hours'!L33</f>
        <v>0</v>
      </c>
      <c r="J38" s="44">
        <f>'Milling Down Time Hours'!M20</f>
        <v>24</v>
      </c>
      <c r="K38" s="30">
        <f>'Crushing Down Time Hours'!M38</f>
        <v>0</v>
      </c>
      <c r="L38" s="30">
        <f t="shared" si="2"/>
        <v>1</v>
      </c>
      <c r="M38" s="32">
        <v>2</v>
      </c>
      <c r="N38" s="32">
        <f t="shared" si="7"/>
        <v>0</v>
      </c>
      <c r="O38" s="50"/>
      <c r="P38" s="50"/>
      <c r="Q38" s="50"/>
      <c r="R38" s="50"/>
      <c r="S38" s="50"/>
      <c r="T38" s="66"/>
      <c r="U38" s="32"/>
      <c r="V38" s="50"/>
      <c r="W38" s="50"/>
      <c r="X38" s="50"/>
      <c r="Y38" s="50"/>
      <c r="Z38" s="48">
        <f>'Reagent Consumption'!O41</f>
        <v>0</v>
      </c>
      <c r="AA38" s="62">
        <f>'Fuel Consumption'!F35</f>
        <v>0</v>
      </c>
      <c r="AB38" s="48">
        <f>'Reagent Consumption'!Q41</f>
        <v>0</v>
      </c>
      <c r="AC38" s="48">
        <f>'Reagent Consumption'!P41</f>
        <v>0</v>
      </c>
      <c r="AD38" s="48">
        <f>'Reagent Consumption'!R41</f>
        <v>0</v>
      </c>
      <c r="AE38" s="48">
        <f>'Reagent Consumption'!S41</f>
        <v>0</v>
      </c>
      <c r="AF38" s="48">
        <f>'Reagent Consumption'!T41</f>
        <v>0</v>
      </c>
      <c r="AG38" s="48">
        <f>'Fuel Consumption'!F35</f>
        <v>0</v>
      </c>
      <c r="AH38" s="48"/>
      <c r="AI38" s="48"/>
      <c r="AJ38" s="48"/>
      <c r="AK38" s="48"/>
      <c r="AL38" s="48"/>
      <c r="AM38" s="48"/>
      <c r="AN38" s="48"/>
      <c r="AO38" s="48"/>
      <c r="AP38" s="66"/>
      <c r="AQ38" s="50"/>
      <c r="AR38" s="34"/>
      <c r="AS38" s="34"/>
    </row>
    <row r="39" spans="1:45" x14ac:dyDescent="0.3">
      <c r="A39" s="34"/>
      <c r="B39" s="43">
        <v>46280</v>
      </c>
      <c r="C39" s="64"/>
      <c r="D39" s="64">
        <f t="shared" ref="D39:D49" si="13">D38+C39</f>
        <v>2145.0891000000006</v>
      </c>
      <c r="E39" s="65" t="e">
        <f t="shared" si="12"/>
        <v>#DIV/0!</v>
      </c>
      <c r="F39" s="50"/>
      <c r="G39" s="44">
        <f t="shared" si="10"/>
        <v>0</v>
      </c>
      <c r="H39" s="47">
        <f t="shared" si="11"/>
        <v>0</v>
      </c>
      <c r="I39" s="44">
        <f>'Crushing Down Time Hours'!L34</f>
        <v>0</v>
      </c>
      <c r="J39" s="44">
        <f>'Milling Down Time Hours'!M21</f>
        <v>24</v>
      </c>
      <c r="K39" s="30">
        <f>'Crushing Down Time Hours'!M39</f>
        <v>0</v>
      </c>
      <c r="L39" s="30">
        <f t="shared" si="2"/>
        <v>1</v>
      </c>
      <c r="M39" s="32">
        <v>3</v>
      </c>
      <c r="N39" s="32">
        <f t="shared" si="7"/>
        <v>0</v>
      </c>
      <c r="O39" s="50"/>
      <c r="P39" s="50"/>
      <c r="Q39" s="50"/>
      <c r="R39" s="50"/>
      <c r="S39" s="50"/>
      <c r="T39" s="66"/>
      <c r="U39" s="32"/>
      <c r="V39" s="50"/>
      <c r="W39" s="50"/>
      <c r="X39" s="50"/>
      <c r="Y39" s="50"/>
      <c r="Z39" s="48">
        <f>'Reagent Consumption'!O42</f>
        <v>0</v>
      </c>
      <c r="AA39" s="62">
        <f>'Fuel Consumption'!F36</f>
        <v>0</v>
      </c>
      <c r="AB39" s="48">
        <f>'Reagent Consumption'!Q42</f>
        <v>0</v>
      </c>
      <c r="AC39" s="48">
        <f>'Reagent Consumption'!P42</f>
        <v>0</v>
      </c>
      <c r="AD39" s="48">
        <f>'Reagent Consumption'!R42</f>
        <v>0</v>
      </c>
      <c r="AE39" s="48">
        <f>'Reagent Consumption'!S42</f>
        <v>0</v>
      </c>
      <c r="AF39" s="48">
        <f>'Reagent Consumption'!T42</f>
        <v>0</v>
      </c>
      <c r="AG39" s="48">
        <f>'Fuel Consumption'!F36</f>
        <v>0</v>
      </c>
      <c r="AH39" s="48"/>
      <c r="AI39" s="48"/>
      <c r="AJ39" s="48"/>
      <c r="AK39" s="48"/>
      <c r="AL39" s="48"/>
      <c r="AM39" s="48"/>
      <c r="AN39" s="48"/>
      <c r="AO39" s="48"/>
      <c r="AP39" s="66"/>
      <c r="AQ39" s="50"/>
      <c r="AR39" s="34"/>
      <c r="AS39" s="34"/>
    </row>
    <row r="40" spans="1:45" x14ac:dyDescent="0.3">
      <c r="A40" s="34"/>
      <c r="B40" s="43">
        <v>46281</v>
      </c>
      <c r="C40" s="64">
        <f>Crushing!N39</f>
        <v>0</v>
      </c>
      <c r="D40" s="64">
        <f t="shared" si="13"/>
        <v>2145.0891000000006</v>
      </c>
      <c r="E40" s="65" t="e">
        <f t="shared" si="12"/>
        <v>#DIV/0!</v>
      </c>
      <c r="F40" s="50"/>
      <c r="G40" s="44">
        <f t="shared" si="10"/>
        <v>0</v>
      </c>
      <c r="H40" s="47">
        <f t="shared" si="11"/>
        <v>0</v>
      </c>
      <c r="I40" s="44">
        <f>'Crushing Down Time Hours'!L35</f>
        <v>0</v>
      </c>
      <c r="J40" s="44">
        <f>'Milling Down Time Hours'!M22</f>
        <v>24</v>
      </c>
      <c r="K40" s="30">
        <f>'Crushing Down Time Hours'!M40</f>
        <v>0</v>
      </c>
      <c r="L40" s="30">
        <f t="shared" si="2"/>
        <v>1</v>
      </c>
      <c r="M40" s="32">
        <v>4</v>
      </c>
      <c r="N40" s="32">
        <f t="shared" si="7"/>
        <v>0</v>
      </c>
      <c r="O40" s="50"/>
      <c r="P40" s="50"/>
      <c r="Q40" s="50"/>
      <c r="R40" s="50"/>
      <c r="S40" s="50"/>
      <c r="T40" s="66"/>
      <c r="U40" s="32"/>
      <c r="V40" s="50"/>
      <c r="W40" s="50"/>
      <c r="X40" s="50"/>
      <c r="Y40" s="50"/>
      <c r="Z40" s="48">
        <f>'Reagent Consumption'!O43</f>
        <v>0</v>
      </c>
      <c r="AA40" s="62">
        <f>'Fuel Consumption'!F37</f>
        <v>0</v>
      </c>
      <c r="AB40" s="48">
        <f>'Reagent Consumption'!Q43</f>
        <v>0</v>
      </c>
      <c r="AC40" s="48">
        <f>'Reagent Consumption'!P43</f>
        <v>0</v>
      </c>
      <c r="AD40" s="48">
        <f>'Reagent Consumption'!R43</f>
        <v>0</v>
      </c>
      <c r="AE40" s="48">
        <f>'Reagent Consumption'!S43</f>
        <v>0</v>
      </c>
      <c r="AF40" s="48">
        <f>'Reagent Consumption'!T43</f>
        <v>0</v>
      </c>
      <c r="AG40" s="48">
        <f>'Fuel Consumption'!F37</f>
        <v>0</v>
      </c>
      <c r="AH40" s="48"/>
      <c r="AI40" s="48"/>
      <c r="AJ40" s="48"/>
      <c r="AK40" s="48"/>
      <c r="AL40" s="48"/>
      <c r="AM40" s="48"/>
      <c r="AN40" s="48"/>
      <c r="AO40" s="48"/>
      <c r="AP40" s="66"/>
      <c r="AQ40" s="50"/>
      <c r="AR40" s="34"/>
      <c r="AS40" s="34"/>
    </row>
    <row r="41" spans="1:45" x14ac:dyDescent="0.3">
      <c r="A41" s="34"/>
      <c r="B41" s="43">
        <v>46282</v>
      </c>
      <c r="C41" s="64">
        <f>Crushing!N40</f>
        <v>0</v>
      </c>
      <c r="D41" s="64">
        <f t="shared" si="13"/>
        <v>2145.0891000000006</v>
      </c>
      <c r="E41" s="65" t="e">
        <f t="shared" si="12"/>
        <v>#DIV/0!</v>
      </c>
      <c r="F41" s="50"/>
      <c r="G41" s="44">
        <f t="shared" si="10"/>
        <v>0</v>
      </c>
      <c r="H41" s="47">
        <f t="shared" si="11"/>
        <v>0</v>
      </c>
      <c r="I41" s="44">
        <f>'Crushing Down Time Hours'!L36</f>
        <v>0</v>
      </c>
      <c r="J41" s="44">
        <f>'Milling Down Time Hours'!M23</f>
        <v>24</v>
      </c>
      <c r="K41" s="30">
        <f>'Crushing Down Time Hours'!M41</f>
        <v>0</v>
      </c>
      <c r="L41" s="30">
        <f t="shared" si="2"/>
        <v>1</v>
      </c>
      <c r="M41" s="32">
        <v>5</v>
      </c>
      <c r="N41" s="32">
        <f t="shared" si="7"/>
        <v>0</v>
      </c>
      <c r="O41" s="50"/>
      <c r="P41" s="50"/>
      <c r="Q41" s="50"/>
      <c r="R41" s="50"/>
      <c r="S41" s="50"/>
      <c r="T41" s="66"/>
      <c r="U41" s="32"/>
      <c r="V41" s="50"/>
      <c r="W41" s="50"/>
      <c r="X41" s="50"/>
      <c r="Y41" s="50"/>
      <c r="Z41" s="48">
        <f>'Reagent Consumption'!O44</f>
        <v>0</v>
      </c>
      <c r="AA41" s="62">
        <f>'Fuel Consumption'!F38</f>
        <v>0</v>
      </c>
      <c r="AB41" s="48">
        <f>'Reagent Consumption'!Q44</f>
        <v>0</v>
      </c>
      <c r="AC41" s="48">
        <f>'Reagent Consumption'!P44</f>
        <v>0</v>
      </c>
      <c r="AD41" s="48">
        <f>'Reagent Consumption'!R44</f>
        <v>0</v>
      </c>
      <c r="AE41" s="48">
        <f>'Reagent Consumption'!S44</f>
        <v>0</v>
      </c>
      <c r="AF41" s="48">
        <f>'Reagent Consumption'!T44</f>
        <v>0</v>
      </c>
      <c r="AG41" s="48">
        <f>'Fuel Consumption'!F38</f>
        <v>0</v>
      </c>
      <c r="AH41" s="48"/>
      <c r="AI41" s="48"/>
      <c r="AJ41" s="48"/>
      <c r="AK41" s="48"/>
      <c r="AL41" s="48"/>
      <c r="AM41" s="48"/>
      <c r="AN41" s="48"/>
      <c r="AO41" s="48"/>
      <c r="AP41" s="66"/>
      <c r="AQ41" s="50"/>
      <c r="AR41" s="34"/>
      <c r="AS41" s="34"/>
    </row>
    <row r="42" spans="1:45" x14ac:dyDescent="0.3">
      <c r="A42" s="34"/>
      <c r="B42" s="43">
        <v>46283</v>
      </c>
      <c r="C42" s="64">
        <f>Crushing!N41</f>
        <v>0</v>
      </c>
      <c r="D42" s="64">
        <f t="shared" si="13"/>
        <v>2145.0891000000006</v>
      </c>
      <c r="E42" s="65" t="e">
        <f>C42/I42</f>
        <v>#DIV/0!</v>
      </c>
      <c r="F42" s="50"/>
      <c r="G42" s="44">
        <f t="shared" si="10"/>
        <v>0</v>
      </c>
      <c r="H42" s="47">
        <f t="shared" si="11"/>
        <v>0</v>
      </c>
      <c r="I42" s="44">
        <f>'Crushing Down Time Hours'!L37</f>
        <v>0</v>
      </c>
      <c r="J42" s="44">
        <f>'Milling Down Time Hours'!M24</f>
        <v>24</v>
      </c>
      <c r="K42" s="30">
        <f>'Crushing Down Time Hours'!M42</f>
        <v>0</v>
      </c>
      <c r="L42" s="30">
        <f t="shared" si="2"/>
        <v>1</v>
      </c>
      <c r="M42" s="32">
        <v>6</v>
      </c>
      <c r="N42" s="32">
        <f t="shared" si="7"/>
        <v>0</v>
      </c>
      <c r="O42" s="50"/>
      <c r="P42" s="50"/>
      <c r="Q42" s="50"/>
      <c r="R42" s="50"/>
      <c r="S42" s="50"/>
      <c r="T42" s="66"/>
      <c r="U42" s="32"/>
      <c r="V42" s="50"/>
      <c r="W42" s="50"/>
      <c r="X42" s="50"/>
      <c r="Y42" s="50"/>
      <c r="Z42" s="48">
        <f>'Reagent Consumption'!O45</f>
        <v>0</v>
      </c>
      <c r="AA42" s="62">
        <f>'Fuel Consumption'!F39</f>
        <v>0</v>
      </c>
      <c r="AB42" s="48">
        <f>'Reagent Consumption'!Q45</f>
        <v>0</v>
      </c>
      <c r="AC42" s="48">
        <f>'Reagent Consumption'!P45</f>
        <v>0</v>
      </c>
      <c r="AD42" s="48">
        <f>'Reagent Consumption'!R45</f>
        <v>0</v>
      </c>
      <c r="AE42" s="48">
        <f>'Reagent Consumption'!S45</f>
        <v>0</v>
      </c>
      <c r="AF42" s="48">
        <f>'Reagent Consumption'!T45</f>
        <v>0</v>
      </c>
      <c r="AG42" s="48">
        <f>'Fuel Consumption'!F39</f>
        <v>0</v>
      </c>
      <c r="AH42" s="48"/>
      <c r="AI42" s="48"/>
      <c r="AJ42" s="48"/>
      <c r="AK42" s="48"/>
      <c r="AL42" s="48"/>
      <c r="AM42" s="48"/>
      <c r="AN42" s="48"/>
      <c r="AO42" s="48"/>
      <c r="AP42" s="66"/>
      <c r="AQ42" s="50"/>
      <c r="AR42" s="34"/>
      <c r="AS42" s="34"/>
    </row>
    <row r="43" spans="1:45" x14ac:dyDescent="0.3">
      <c r="A43" s="34"/>
      <c r="B43" s="43">
        <v>46284</v>
      </c>
      <c r="C43" s="64">
        <f>Crushing!N42</f>
        <v>0</v>
      </c>
      <c r="D43" s="64">
        <f t="shared" si="13"/>
        <v>2145.0891000000006</v>
      </c>
      <c r="E43" s="65" t="e">
        <f t="shared" si="12"/>
        <v>#DIV/0!</v>
      </c>
      <c r="F43" s="50"/>
      <c r="G43" s="44">
        <f t="shared" si="10"/>
        <v>0</v>
      </c>
      <c r="H43" s="47">
        <f t="shared" si="11"/>
        <v>0</v>
      </c>
      <c r="I43" s="44">
        <f>'Crushing Down Time Hours'!L38</f>
        <v>0</v>
      </c>
      <c r="J43" s="44">
        <f>'Milling Down Time Hours'!M25</f>
        <v>24</v>
      </c>
      <c r="K43" s="30">
        <f>'Crushing Down Time Hours'!M43</f>
        <v>0.49962121212121213</v>
      </c>
      <c r="L43" s="30">
        <f t="shared" si="2"/>
        <v>1</v>
      </c>
      <c r="M43" s="32">
        <v>7</v>
      </c>
      <c r="N43" s="32">
        <f t="shared" si="7"/>
        <v>0</v>
      </c>
      <c r="O43" s="50"/>
      <c r="P43" s="50"/>
      <c r="Q43" s="50"/>
      <c r="R43" s="50"/>
      <c r="S43" s="50"/>
      <c r="T43" s="66"/>
      <c r="U43" s="32"/>
      <c r="V43" s="50"/>
      <c r="W43" s="50"/>
      <c r="X43" s="50"/>
      <c r="Y43" s="50"/>
      <c r="Z43" s="48">
        <f>'Reagent Consumption'!O46</f>
        <v>0</v>
      </c>
      <c r="AA43" s="62">
        <f>'Fuel Consumption'!F40</f>
        <v>0</v>
      </c>
      <c r="AB43" s="48">
        <f>'Reagent Consumption'!Q46</f>
        <v>0</v>
      </c>
      <c r="AC43" s="48">
        <f>'Reagent Consumption'!P46</f>
        <v>0</v>
      </c>
      <c r="AD43" s="48">
        <f>'Reagent Consumption'!R46</f>
        <v>0</v>
      </c>
      <c r="AE43" s="48">
        <f>'Reagent Consumption'!S46</f>
        <v>0</v>
      </c>
      <c r="AF43" s="48">
        <f>'Reagent Consumption'!T46</f>
        <v>0</v>
      </c>
      <c r="AG43" s="48">
        <f>'Fuel Consumption'!F40</f>
        <v>0</v>
      </c>
      <c r="AH43" s="48"/>
      <c r="AI43" s="48"/>
      <c r="AJ43" s="48"/>
      <c r="AK43" s="48"/>
      <c r="AL43" s="48"/>
      <c r="AM43" s="48"/>
      <c r="AN43" s="48"/>
      <c r="AO43" s="48"/>
      <c r="AP43" s="66"/>
      <c r="AQ43" s="50"/>
      <c r="AR43" s="34"/>
      <c r="AS43" s="34"/>
    </row>
    <row r="44" spans="1:45" x14ac:dyDescent="0.3">
      <c r="A44" s="34"/>
      <c r="B44" s="43">
        <v>46285</v>
      </c>
      <c r="C44" s="64">
        <f>Crushing!N43</f>
        <v>0</v>
      </c>
      <c r="D44" s="64">
        <f t="shared" si="13"/>
        <v>2145.0891000000006</v>
      </c>
      <c r="E44" s="65" t="e">
        <f t="shared" si="12"/>
        <v>#DIV/0!</v>
      </c>
      <c r="F44" s="50"/>
      <c r="G44" s="44">
        <f t="shared" si="10"/>
        <v>0</v>
      </c>
      <c r="H44" s="47">
        <f t="shared" si="11"/>
        <v>0</v>
      </c>
      <c r="I44" s="44">
        <f>'Crushing Down Time Hours'!L39</f>
        <v>0</v>
      </c>
      <c r="J44" s="44">
        <f>'Milling Down Time Hours'!M26</f>
        <v>24</v>
      </c>
      <c r="K44" s="30">
        <f>'Crushing Down Time Hours'!M44</f>
        <v>0</v>
      </c>
      <c r="L44" s="30">
        <f t="shared" si="2"/>
        <v>1</v>
      </c>
      <c r="M44" s="32">
        <v>8</v>
      </c>
      <c r="N44" s="32">
        <f t="shared" si="7"/>
        <v>0</v>
      </c>
      <c r="O44" s="50"/>
      <c r="P44" s="50"/>
      <c r="Q44" s="50"/>
      <c r="R44" s="50"/>
      <c r="S44" s="50"/>
      <c r="T44" s="66"/>
      <c r="U44" s="32"/>
      <c r="V44" s="50"/>
      <c r="W44" s="50"/>
      <c r="X44" s="50"/>
      <c r="Y44" s="50"/>
      <c r="Z44" s="48">
        <f>'Reagent Consumption'!O47</f>
        <v>0</v>
      </c>
      <c r="AA44" s="62">
        <f>'Fuel Consumption'!F41</f>
        <v>0</v>
      </c>
      <c r="AB44" s="48">
        <f>'Reagent Consumption'!Q47</f>
        <v>0</v>
      </c>
      <c r="AC44" s="48">
        <f>'Reagent Consumption'!P47</f>
        <v>0</v>
      </c>
      <c r="AD44" s="48">
        <f>'Reagent Consumption'!R47</f>
        <v>0</v>
      </c>
      <c r="AE44" s="48">
        <f>'Reagent Consumption'!S47</f>
        <v>0</v>
      </c>
      <c r="AF44" s="48">
        <f>'Reagent Consumption'!T47</f>
        <v>0</v>
      </c>
      <c r="AG44" s="48">
        <f>'Fuel Consumption'!F41</f>
        <v>0</v>
      </c>
      <c r="AH44" s="48"/>
      <c r="AI44" s="48"/>
      <c r="AJ44" s="48"/>
      <c r="AK44" s="48"/>
      <c r="AL44" s="48"/>
      <c r="AM44" s="48"/>
      <c r="AN44" s="48"/>
      <c r="AO44" s="48"/>
      <c r="AP44" s="66"/>
      <c r="AQ44" s="50"/>
      <c r="AR44" s="34"/>
      <c r="AS44" s="34"/>
    </row>
    <row r="45" spans="1:45" x14ac:dyDescent="0.3">
      <c r="A45" s="34"/>
      <c r="B45" s="43">
        <v>46286</v>
      </c>
      <c r="C45" s="64">
        <f>Crushing!N44</f>
        <v>0</v>
      </c>
      <c r="D45" s="64">
        <f t="shared" si="13"/>
        <v>2145.0891000000006</v>
      </c>
      <c r="E45" s="65" t="e">
        <f t="shared" si="12"/>
        <v>#DIV/0!</v>
      </c>
      <c r="F45" s="50"/>
      <c r="G45" s="44">
        <f t="shared" si="10"/>
        <v>0</v>
      </c>
      <c r="H45" s="47">
        <f t="shared" si="11"/>
        <v>0</v>
      </c>
      <c r="I45" s="44">
        <f>'Crushing Down Time Hours'!L40</f>
        <v>0</v>
      </c>
      <c r="J45" s="64"/>
      <c r="K45" s="30">
        <f>'Crushing Down Time Hours'!M45</f>
        <v>0</v>
      </c>
      <c r="L45" s="30">
        <f t="shared" si="2"/>
        <v>0</v>
      </c>
      <c r="M45" s="32">
        <v>9</v>
      </c>
      <c r="N45" s="32">
        <f t="shared" si="7"/>
        <v>0</v>
      </c>
      <c r="O45" s="50"/>
      <c r="P45" s="50"/>
      <c r="Q45" s="50"/>
      <c r="R45" s="50"/>
      <c r="S45" s="50"/>
      <c r="T45" s="66"/>
      <c r="U45" s="32"/>
      <c r="V45" s="50"/>
      <c r="W45" s="50"/>
      <c r="X45" s="50"/>
      <c r="Y45" s="50"/>
      <c r="Z45" s="48">
        <f>'Reagent Consumption'!O48</f>
        <v>0</v>
      </c>
      <c r="AA45" s="62">
        <f>'Fuel Consumption'!F42</f>
        <v>0</v>
      </c>
      <c r="AB45" s="48">
        <f>'Reagent Consumption'!Q48</f>
        <v>0</v>
      </c>
      <c r="AC45" s="48">
        <f>'Reagent Consumption'!P48</f>
        <v>0</v>
      </c>
      <c r="AD45" s="48">
        <f>'Reagent Consumption'!R48</f>
        <v>0</v>
      </c>
      <c r="AE45" s="48">
        <f>'Reagent Consumption'!S48</f>
        <v>0</v>
      </c>
      <c r="AF45" s="48">
        <f>'Reagent Consumption'!T48</f>
        <v>0</v>
      </c>
      <c r="AG45" s="48">
        <f>'Fuel Consumption'!F42</f>
        <v>0</v>
      </c>
      <c r="AH45" s="48"/>
      <c r="AI45" s="48"/>
      <c r="AJ45" s="48"/>
      <c r="AK45" s="48"/>
      <c r="AL45" s="48"/>
      <c r="AM45" s="48"/>
      <c r="AN45" s="48"/>
      <c r="AO45" s="48"/>
      <c r="AP45" s="66"/>
      <c r="AQ45" s="50"/>
      <c r="AR45" s="34"/>
      <c r="AS45" s="34"/>
    </row>
    <row r="46" spans="1:45" x14ac:dyDescent="0.3">
      <c r="A46" s="34"/>
      <c r="B46" s="43">
        <v>46287</v>
      </c>
      <c r="C46" s="64">
        <f>Crushing!N45</f>
        <v>0</v>
      </c>
      <c r="D46" s="64">
        <f t="shared" si="13"/>
        <v>2145.0891000000006</v>
      </c>
      <c r="E46" s="65" t="e">
        <f t="shared" si="12"/>
        <v>#DIV/0!</v>
      </c>
      <c r="F46" s="50"/>
      <c r="G46" s="44">
        <f t="shared" si="10"/>
        <v>0</v>
      </c>
      <c r="H46" s="47">
        <f t="shared" si="11"/>
        <v>0</v>
      </c>
      <c r="I46" s="44">
        <f>'Crushing Down Time Hours'!L41</f>
        <v>0</v>
      </c>
      <c r="J46" s="64"/>
      <c r="K46" s="32"/>
      <c r="L46" s="32"/>
      <c r="M46" s="32"/>
      <c r="N46" s="32"/>
      <c r="O46" s="50"/>
      <c r="P46" s="50"/>
      <c r="Q46" s="50"/>
      <c r="R46" s="50"/>
      <c r="S46" s="50"/>
      <c r="T46" s="66"/>
      <c r="U46" s="32"/>
      <c r="V46" s="50"/>
      <c r="W46" s="50"/>
      <c r="X46" s="50"/>
      <c r="Y46" s="50"/>
      <c r="Z46" s="48">
        <f>'Reagent Consumption'!O49</f>
        <v>0</v>
      </c>
      <c r="AA46" s="62">
        <f>'Fuel Consumption'!F43</f>
        <v>0</v>
      </c>
      <c r="AB46" s="48">
        <f>'Reagent Consumption'!Q49</f>
        <v>0</v>
      </c>
      <c r="AC46" s="48">
        <f>'Reagent Consumption'!P49</f>
        <v>0</v>
      </c>
      <c r="AD46" s="48">
        <f>'Reagent Consumption'!R49</f>
        <v>0</v>
      </c>
      <c r="AE46" s="48">
        <f>'Reagent Consumption'!S49</f>
        <v>0</v>
      </c>
      <c r="AF46" s="48">
        <f>'Reagent Consumption'!T49</f>
        <v>0</v>
      </c>
      <c r="AG46" s="48">
        <f>'Fuel Consumption'!F43</f>
        <v>0</v>
      </c>
      <c r="AH46" s="48"/>
      <c r="AI46" s="48"/>
      <c r="AJ46" s="48"/>
      <c r="AK46" s="48"/>
      <c r="AL46" s="48"/>
      <c r="AM46" s="48"/>
      <c r="AN46" s="48"/>
      <c r="AO46" s="48"/>
      <c r="AP46" s="66"/>
      <c r="AQ46" s="50"/>
      <c r="AR46" s="34"/>
      <c r="AS46" s="34"/>
    </row>
    <row r="47" spans="1:45" x14ac:dyDescent="0.3">
      <c r="A47" s="34"/>
      <c r="B47" s="43">
        <v>46288</v>
      </c>
      <c r="C47" s="64">
        <f>Crushing!N46</f>
        <v>0</v>
      </c>
      <c r="D47" s="64">
        <f t="shared" si="13"/>
        <v>2145.0891000000006</v>
      </c>
      <c r="E47" s="65" t="e">
        <f t="shared" si="12"/>
        <v>#DIV/0!</v>
      </c>
      <c r="F47" s="50"/>
      <c r="G47" s="44">
        <f t="shared" si="10"/>
        <v>0</v>
      </c>
      <c r="H47" s="47">
        <f t="shared" si="11"/>
        <v>0</v>
      </c>
      <c r="I47" s="44">
        <f>'Crushing Down Time Hours'!L42</f>
        <v>0</v>
      </c>
      <c r="J47" s="64"/>
      <c r="K47" s="32"/>
      <c r="L47" s="32"/>
      <c r="M47" s="32"/>
      <c r="N47" s="32"/>
      <c r="O47" s="50"/>
      <c r="P47" s="50"/>
      <c r="Q47" s="50"/>
      <c r="R47" s="50"/>
      <c r="S47" s="50"/>
      <c r="T47" s="66"/>
      <c r="U47" s="32"/>
      <c r="V47" s="50"/>
      <c r="W47" s="50"/>
      <c r="X47" s="50"/>
      <c r="Y47" s="50"/>
      <c r="Z47" s="48">
        <f>'Reagent Consumption'!O50</f>
        <v>0</v>
      </c>
      <c r="AA47" s="62">
        <f>'Fuel Consumption'!F44</f>
        <v>0</v>
      </c>
      <c r="AB47" s="48">
        <f>'Reagent Consumption'!Q50</f>
        <v>0</v>
      </c>
      <c r="AC47" s="48">
        <f>'Reagent Consumption'!P50</f>
        <v>0</v>
      </c>
      <c r="AD47" s="48">
        <f>'Reagent Consumption'!R50</f>
        <v>0</v>
      </c>
      <c r="AE47" s="48">
        <f>'Reagent Consumption'!S50</f>
        <v>0</v>
      </c>
      <c r="AF47" s="48">
        <f>'Reagent Consumption'!T50</f>
        <v>0</v>
      </c>
      <c r="AG47" s="48">
        <f>'Fuel Consumption'!F44</f>
        <v>0</v>
      </c>
      <c r="AH47" s="48"/>
      <c r="AI47" s="48"/>
      <c r="AJ47" s="48"/>
      <c r="AK47" s="48"/>
      <c r="AL47" s="48"/>
      <c r="AM47" s="48"/>
      <c r="AN47" s="48"/>
      <c r="AO47" s="48"/>
      <c r="AP47" s="66"/>
      <c r="AQ47" s="50"/>
      <c r="AR47" s="34"/>
      <c r="AS47" s="34"/>
    </row>
    <row r="48" spans="1:45" x14ac:dyDescent="0.3">
      <c r="A48" s="34"/>
      <c r="B48" s="43">
        <v>46289</v>
      </c>
      <c r="C48" s="64">
        <f>Crushing!N47</f>
        <v>0</v>
      </c>
      <c r="D48" s="64">
        <f t="shared" si="13"/>
        <v>2145.0891000000006</v>
      </c>
      <c r="E48" s="65">
        <f t="shared" si="12"/>
        <v>0</v>
      </c>
      <c r="F48" s="50"/>
      <c r="G48" s="44">
        <f t="shared" si="10"/>
        <v>0</v>
      </c>
      <c r="H48" s="47">
        <f t="shared" si="11"/>
        <v>0</v>
      </c>
      <c r="I48" s="44">
        <f>'Crushing Down Time Hours'!L43</f>
        <v>65.95</v>
      </c>
      <c r="J48" s="64"/>
      <c r="K48" s="32"/>
      <c r="L48" s="32"/>
      <c r="M48" s="32"/>
      <c r="N48" s="32"/>
      <c r="O48" s="50"/>
      <c r="P48" s="50"/>
      <c r="Q48" s="50"/>
      <c r="R48" s="50"/>
      <c r="S48" s="50"/>
      <c r="T48" s="66"/>
      <c r="U48" s="32"/>
      <c r="V48" s="50"/>
      <c r="W48" s="50"/>
      <c r="X48" s="50"/>
      <c r="Y48" s="50"/>
      <c r="Z48" s="48">
        <f>'Reagent Consumption'!O51</f>
        <v>0</v>
      </c>
      <c r="AA48" s="62">
        <f>'Fuel Consumption'!F45</f>
        <v>0</v>
      </c>
      <c r="AB48" s="48">
        <f>'Reagent Consumption'!Q51</f>
        <v>0</v>
      </c>
      <c r="AC48" s="48">
        <f>'Reagent Consumption'!P51</f>
        <v>0</v>
      </c>
      <c r="AD48" s="48">
        <f>'Reagent Consumption'!R51</f>
        <v>0</v>
      </c>
      <c r="AE48" s="48">
        <f>'Reagent Consumption'!S51</f>
        <v>0</v>
      </c>
      <c r="AF48" s="48">
        <f>'Reagent Consumption'!T51</f>
        <v>0</v>
      </c>
      <c r="AG48" s="48">
        <f>'Fuel Consumption'!F45</f>
        <v>0</v>
      </c>
      <c r="AH48" s="48"/>
      <c r="AI48" s="48"/>
      <c r="AJ48" s="48"/>
      <c r="AK48" s="48"/>
      <c r="AL48" s="48"/>
      <c r="AM48" s="48"/>
      <c r="AN48" s="48"/>
      <c r="AO48" s="48"/>
      <c r="AP48" s="66"/>
      <c r="AQ48" s="50"/>
      <c r="AR48" s="34"/>
      <c r="AS48" s="34"/>
    </row>
    <row r="49" spans="1:45" x14ac:dyDescent="0.3">
      <c r="A49" s="34"/>
      <c r="B49" s="67">
        <v>46290</v>
      </c>
      <c r="C49" s="68">
        <f>Crushing!N48</f>
        <v>0</v>
      </c>
      <c r="D49" s="68">
        <f t="shared" si="13"/>
        <v>2145.0891000000006</v>
      </c>
      <c r="E49" s="69">
        <f t="shared" si="12"/>
        <v>0</v>
      </c>
      <c r="F49" s="70"/>
      <c r="G49" s="62">
        <f t="shared" si="10"/>
        <v>0</v>
      </c>
      <c r="H49" s="47">
        <f t="shared" si="11"/>
        <v>0</v>
      </c>
      <c r="I49" s="44">
        <f>'Crushing Down Time Hours'!L44</f>
        <v>0.61064814814814816</v>
      </c>
      <c r="J49" s="68"/>
      <c r="K49" s="33"/>
      <c r="L49" s="33"/>
      <c r="M49" s="33"/>
      <c r="N49" s="33"/>
      <c r="O49" s="70"/>
      <c r="P49" s="70"/>
      <c r="Q49" s="70"/>
      <c r="R49" s="70"/>
      <c r="S49" s="70"/>
      <c r="T49" s="71"/>
      <c r="U49" s="33"/>
      <c r="V49" s="70"/>
      <c r="W49" s="70"/>
      <c r="X49" s="70"/>
      <c r="Y49" s="70"/>
      <c r="Z49" s="48">
        <f>'Reagent Consumption'!O52</f>
        <v>0</v>
      </c>
      <c r="AA49" s="62">
        <f>'Fuel Consumption'!F46</f>
        <v>0</v>
      </c>
      <c r="AB49" s="48">
        <f>'Reagent Consumption'!Q52</f>
        <v>0</v>
      </c>
      <c r="AC49" s="48">
        <f>'Reagent Consumption'!P52</f>
        <v>0</v>
      </c>
      <c r="AD49" s="48">
        <f>'Reagent Consumption'!R52</f>
        <v>0</v>
      </c>
      <c r="AE49" s="48">
        <f>'Reagent Consumption'!S52</f>
        <v>0</v>
      </c>
      <c r="AF49" s="48">
        <f>'Reagent Consumption'!T52</f>
        <v>0</v>
      </c>
      <c r="AG49" s="48">
        <f>'Fuel Consumption'!F46</f>
        <v>0</v>
      </c>
      <c r="AH49" s="48"/>
      <c r="AI49" s="48"/>
      <c r="AJ49" s="48"/>
      <c r="AK49" s="48"/>
      <c r="AL49" s="48"/>
      <c r="AM49" s="48"/>
      <c r="AN49" s="48"/>
      <c r="AO49" s="48"/>
      <c r="AP49" s="71"/>
      <c r="AQ49" s="70"/>
      <c r="AR49" s="34"/>
      <c r="AS49" s="34"/>
    </row>
    <row r="50" spans="1:45" x14ac:dyDescent="0.3">
      <c r="A50" s="34"/>
      <c r="B50" s="432" t="s">
        <v>59</v>
      </c>
      <c r="C50" s="374">
        <f>SUM(C7:C49)</f>
        <v>2145.0891000000006</v>
      </c>
      <c r="D50" s="375"/>
      <c r="E50" s="375"/>
      <c r="F50" s="375"/>
      <c r="G50" s="374">
        <f>SUM(G7:G49)</f>
        <v>1775.8371160412696</v>
      </c>
      <c r="H50" s="376">
        <f>SUM(H7:H37)</f>
        <v>1.77583711604127</v>
      </c>
      <c r="I50" s="377">
        <f>'Crushing Down Time Hours'!L45</f>
        <v>0</v>
      </c>
      <c r="J50" s="374"/>
      <c r="K50" s="378"/>
      <c r="L50" s="379"/>
      <c r="M50" s="379"/>
      <c r="N50" s="378"/>
      <c r="O50" s="379">
        <f t="shared" ref="O50:Y50" si="14">SUM(O7:O36)</f>
        <v>0</v>
      </c>
      <c r="P50" s="379">
        <f>SUM(P7:P36)</f>
        <v>0</v>
      </c>
      <c r="Q50" s="379">
        <f t="shared" si="14"/>
        <v>0</v>
      </c>
      <c r="R50" s="379"/>
      <c r="S50" s="379"/>
      <c r="T50" s="379">
        <f t="shared" ref="T50" si="15">R50-S50</f>
        <v>0</v>
      </c>
      <c r="U50" s="380"/>
      <c r="V50" s="379">
        <f t="shared" si="14"/>
        <v>0</v>
      </c>
      <c r="W50" s="379">
        <f t="shared" si="14"/>
        <v>0</v>
      </c>
      <c r="X50" s="379">
        <f t="shared" si="14"/>
        <v>0</v>
      </c>
      <c r="Y50" s="379">
        <f t="shared" si="14"/>
        <v>0</v>
      </c>
      <c r="Z50" s="379">
        <f>SUM(Z7:Z49)</f>
        <v>1125</v>
      </c>
      <c r="AA50" s="379"/>
      <c r="AB50" s="381">
        <f>SUM(AB7:AB49)</f>
        <v>2000</v>
      </c>
      <c r="AC50" s="381">
        <f>SUM(AC7:AC49)</f>
        <v>2250</v>
      </c>
      <c r="AD50" s="381"/>
      <c r="AE50" s="381"/>
      <c r="AF50" s="379">
        <f>SUM(AF7:AF49)</f>
        <v>50</v>
      </c>
      <c r="AG50" s="379">
        <f>SUM(AG7:AG37)</f>
        <v>0</v>
      </c>
      <c r="AH50" s="379"/>
      <c r="AI50" s="379"/>
      <c r="AJ50" s="379"/>
      <c r="AK50" s="379"/>
      <c r="AL50" s="379"/>
      <c r="AM50" s="379"/>
      <c r="AN50" s="381"/>
      <c r="AO50" s="379"/>
      <c r="AP50" s="379"/>
      <c r="AQ50" s="379"/>
      <c r="AR50" s="382"/>
      <c r="AS50" s="383"/>
    </row>
    <row r="51" spans="1:45" x14ac:dyDescent="0.3">
      <c r="A51" s="34"/>
      <c r="B51" s="384" t="s">
        <v>60</v>
      </c>
      <c r="C51" s="385">
        <f>AVERAGE(C7:C15)</f>
        <v>155.12416666666667</v>
      </c>
      <c r="D51" s="385"/>
      <c r="E51" s="385" t="e">
        <f>AVERAGE(E7:E15)</f>
        <v>#DIV/0!</v>
      </c>
      <c r="F51" s="386">
        <f>AVERAGE(F7:F49)</f>
        <v>0.93252380952380953</v>
      </c>
      <c r="G51" s="385">
        <f>AVERAGE(G7:G37)</f>
        <v>57.285068259395793</v>
      </c>
      <c r="H51" s="385">
        <f t="shared" ref="H51:AF51" si="16">AVERAGE(H8:H36)</f>
        <v>6.1235762622112763E-2</v>
      </c>
      <c r="I51" s="385">
        <f>AVERAGE(I7:I15)</f>
        <v>9.1291666666666664</v>
      </c>
      <c r="J51" s="385"/>
      <c r="K51" s="387">
        <f>AVERAGE(K7:K17)</f>
        <v>0.6261904761904763</v>
      </c>
      <c r="L51" s="387">
        <f t="shared" si="16"/>
        <v>0.35986590038314181</v>
      </c>
      <c r="M51" s="387">
        <f t="shared" si="16"/>
        <v>0.91159003831417618</v>
      </c>
      <c r="N51" s="387">
        <f>AVERAGE(N8:N45)</f>
        <v>0.2220029239766082</v>
      </c>
      <c r="O51" s="385" t="e">
        <f t="shared" si="16"/>
        <v>#DIV/0!</v>
      </c>
      <c r="P51" s="385" t="e">
        <f>AVERAGE(P8:P36)</f>
        <v>#DIV/0!</v>
      </c>
      <c r="Q51" s="385" t="e">
        <f t="shared" si="16"/>
        <v>#DIV/0!</v>
      </c>
      <c r="R51" s="385"/>
      <c r="S51" s="385"/>
      <c r="T51" s="385"/>
      <c r="U51" s="388"/>
      <c r="V51" s="385" t="e">
        <f t="shared" si="16"/>
        <v>#DIV/0!</v>
      </c>
      <c r="W51" s="385" t="e">
        <f t="shared" si="16"/>
        <v>#DIV/0!</v>
      </c>
      <c r="X51" s="385" t="e">
        <f t="shared" si="16"/>
        <v>#DIV/0!</v>
      </c>
      <c r="Y51" s="385" t="e">
        <f t="shared" si="16"/>
        <v>#DIV/0!</v>
      </c>
      <c r="Z51" s="389">
        <f t="shared" si="16"/>
        <v>38.793103448275865</v>
      </c>
      <c r="AA51" s="385">
        <f t="shared" si="16"/>
        <v>0</v>
      </c>
      <c r="AB51" s="385">
        <f t="shared" si="16"/>
        <v>68.965517241379317</v>
      </c>
      <c r="AC51" s="389">
        <f t="shared" si="16"/>
        <v>77.58620689655173</v>
      </c>
      <c r="AD51" s="389"/>
      <c r="AE51" s="389"/>
      <c r="AF51" s="385">
        <f t="shared" si="16"/>
        <v>1.7241379310344827</v>
      </c>
      <c r="AG51" s="385"/>
      <c r="AH51" s="385"/>
      <c r="AI51" s="385"/>
      <c r="AJ51" s="385"/>
      <c r="AK51" s="385"/>
      <c r="AL51" s="385"/>
      <c r="AM51" s="385"/>
      <c r="AN51" s="385"/>
      <c r="AO51" s="385"/>
      <c r="AP51" s="385"/>
      <c r="AQ51" s="385"/>
      <c r="AR51" s="390"/>
      <c r="AS51" s="391"/>
    </row>
    <row r="52" spans="1:45" x14ac:dyDescent="0.3">
      <c r="A52" s="34"/>
      <c r="B52" s="34"/>
      <c r="C52" s="35"/>
      <c r="D52" s="36"/>
      <c r="E52" s="36"/>
      <c r="F52" s="34"/>
      <c r="G52" s="34"/>
      <c r="H52" s="34"/>
      <c r="I52" s="35"/>
      <c r="J52" s="35"/>
      <c r="K52" s="36"/>
      <c r="L52" s="36"/>
      <c r="M52" s="36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</row>
    <row r="53" spans="1:45" ht="22.05" customHeight="1" x14ac:dyDescent="0.3">
      <c r="A53" s="34"/>
      <c r="B53" s="34"/>
      <c r="C53" s="35"/>
      <c r="D53" s="36"/>
      <c r="E53" s="433" t="s">
        <v>61</v>
      </c>
      <c r="F53" s="393">
        <f>MEDIAN(F7:F49)</f>
        <v>0.872</v>
      </c>
      <c r="G53" s="392"/>
      <c r="H53" s="34"/>
      <c r="I53" s="35"/>
      <c r="J53" s="35"/>
      <c r="K53" s="36"/>
      <c r="L53" s="36"/>
      <c r="M53" s="36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</row>
    <row r="54" spans="1:45" ht="22.05" customHeight="1" x14ac:dyDescent="0.3">
      <c r="A54" s="34"/>
      <c r="B54" s="34"/>
      <c r="C54" s="35"/>
      <c r="D54" s="36"/>
      <c r="E54" s="433" t="s">
        <v>62</v>
      </c>
      <c r="F54" s="392">
        <f>MAX(F7:F17)</f>
        <v>1.45</v>
      </c>
      <c r="G54" s="392"/>
      <c r="H54" s="34"/>
      <c r="I54" s="35"/>
      <c r="J54" s="35"/>
      <c r="K54" s="36"/>
      <c r="L54" s="36"/>
      <c r="M54" s="36"/>
      <c r="N54" s="34"/>
      <c r="O54" s="34"/>
      <c r="P54" s="34"/>
      <c r="Q54" s="34"/>
      <c r="R54" s="34"/>
      <c r="S54" s="34"/>
      <c r="T54" s="34"/>
      <c r="U54" s="34"/>
      <c r="V54" s="34"/>
      <c r="W54" s="531" t="s">
        <v>63</v>
      </c>
      <c r="X54" s="531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</row>
    <row r="55" spans="1:45" ht="22.05" customHeight="1" x14ac:dyDescent="0.3">
      <c r="A55" s="34"/>
      <c r="B55" s="34"/>
      <c r="C55" s="35"/>
      <c r="D55" s="36"/>
      <c r="E55" s="433" t="s">
        <v>64</v>
      </c>
      <c r="F55" s="392">
        <f>MIN(F7,F9:F19)</f>
        <v>0.442</v>
      </c>
      <c r="G55" s="392"/>
      <c r="H55" s="34"/>
      <c r="I55" s="35"/>
      <c r="J55" s="35"/>
      <c r="K55" s="36"/>
      <c r="L55" s="36"/>
      <c r="M55" s="36"/>
      <c r="N55" s="34"/>
      <c r="O55" s="34"/>
      <c r="P55" s="34"/>
      <c r="Q55" s="34"/>
      <c r="R55" s="34"/>
      <c r="S55" s="34"/>
      <c r="T55" s="34"/>
      <c r="U55" s="34"/>
      <c r="V55" s="34"/>
      <c r="W55" s="433" t="s">
        <v>65</v>
      </c>
      <c r="X55" s="393">
        <f>F53</f>
        <v>0.872</v>
      </c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</row>
    <row r="56" spans="1:45" ht="22.05" customHeight="1" x14ac:dyDescent="0.3">
      <c r="A56" s="34"/>
      <c r="B56" s="34"/>
      <c r="C56" s="35"/>
      <c r="D56" s="36"/>
      <c r="E56" s="392"/>
      <c r="F56" s="392"/>
      <c r="G56" s="392" t="s">
        <v>66</v>
      </c>
      <c r="H56" s="34"/>
      <c r="I56" s="35"/>
      <c r="J56" s="35"/>
      <c r="K56" s="36"/>
      <c r="L56" s="36"/>
      <c r="M56" s="36"/>
      <c r="N56" s="34"/>
      <c r="O56" s="34"/>
      <c r="P56" s="34"/>
      <c r="Q56" s="34"/>
      <c r="R56" s="34"/>
      <c r="S56" s="34"/>
      <c r="T56" s="34"/>
      <c r="U56" s="34"/>
      <c r="V56" s="34"/>
      <c r="W56" s="433" t="s">
        <v>60</v>
      </c>
      <c r="X56" s="393">
        <f>F51</f>
        <v>0.93252380952380953</v>
      </c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>
        <f>0.6*1.4</f>
        <v>0.84</v>
      </c>
      <c r="AJ56" s="34"/>
      <c r="AK56" s="34"/>
      <c r="AL56" s="34"/>
      <c r="AM56" s="34"/>
      <c r="AN56" s="34"/>
      <c r="AO56" s="34"/>
      <c r="AP56" s="34"/>
      <c r="AQ56" s="34"/>
      <c r="AR56" s="34"/>
      <c r="AS56" s="34"/>
    </row>
    <row r="57" spans="1:45" ht="22.05" customHeight="1" x14ac:dyDescent="0.3">
      <c r="A57" s="34"/>
      <c r="B57" s="34"/>
      <c r="C57" s="35"/>
      <c r="D57" s="36"/>
      <c r="E57" s="394"/>
      <c r="F57" s="392" t="s">
        <v>67</v>
      </c>
      <c r="G57" s="393">
        <f>G50/D49</f>
        <v>0.82786170329300968</v>
      </c>
      <c r="H57" s="34"/>
      <c r="I57" s="35"/>
      <c r="J57" s="35"/>
      <c r="K57" s="36"/>
      <c r="L57" s="36"/>
      <c r="M57" s="36"/>
      <c r="N57" s="34"/>
      <c r="O57" s="34"/>
      <c r="P57" s="34"/>
      <c r="Q57" s="34"/>
      <c r="R57" s="34"/>
      <c r="S57" s="34"/>
      <c r="T57" s="34"/>
      <c r="U57" s="34"/>
      <c r="V57" s="34"/>
      <c r="W57" s="433" t="s">
        <v>64</v>
      </c>
      <c r="X57" s="393">
        <f>F55</f>
        <v>0.442</v>
      </c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</row>
    <row r="58" spans="1:45" ht="22.05" customHeight="1" x14ac:dyDescent="0.3">
      <c r="A58" s="34"/>
      <c r="B58" s="34"/>
      <c r="C58" s="35"/>
      <c r="D58" s="36"/>
      <c r="E58" s="36"/>
      <c r="F58" s="34"/>
      <c r="G58" s="34"/>
      <c r="H58" s="34"/>
      <c r="I58" s="35"/>
      <c r="J58" s="35"/>
      <c r="K58" s="36"/>
      <c r="L58" s="36"/>
      <c r="M58" s="36"/>
      <c r="N58" s="34"/>
      <c r="O58" s="34"/>
      <c r="P58" s="34"/>
      <c r="Q58" s="34"/>
      <c r="R58" s="34"/>
      <c r="S58" s="34"/>
      <c r="T58" s="34"/>
      <c r="U58" s="34"/>
      <c r="V58" s="34"/>
      <c r="W58" s="433" t="s">
        <v>62</v>
      </c>
      <c r="X58" s="393">
        <f>F54</f>
        <v>1.45</v>
      </c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</row>
    <row r="59" spans="1:45" ht="22.05" customHeight="1" x14ac:dyDescent="0.3">
      <c r="A59" s="34"/>
      <c r="B59" s="34"/>
      <c r="C59" s="35"/>
      <c r="D59" s="36"/>
      <c r="E59" s="36"/>
      <c r="F59" s="34"/>
      <c r="G59" s="34"/>
      <c r="H59" s="34"/>
      <c r="I59" s="35"/>
      <c r="J59" s="35"/>
      <c r="K59" s="36"/>
      <c r="L59" s="36"/>
      <c r="M59" s="36"/>
      <c r="N59" s="34"/>
      <c r="O59" s="34"/>
      <c r="P59" s="34"/>
      <c r="Q59" s="34"/>
      <c r="R59" s="34"/>
      <c r="S59" s="34"/>
      <c r="T59" s="34"/>
      <c r="U59" s="34"/>
      <c r="V59" s="34"/>
      <c r="W59" s="392"/>
      <c r="X59" s="392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</row>
    <row r="60" spans="1:45" ht="22.05" customHeight="1" x14ac:dyDescent="0.3">
      <c r="A60" s="34"/>
      <c r="B60" s="34"/>
      <c r="C60" s="35"/>
      <c r="D60" s="74"/>
      <c r="E60" s="36"/>
      <c r="F60" s="34"/>
      <c r="G60" s="34"/>
      <c r="H60" s="34"/>
      <c r="I60" s="35"/>
      <c r="J60" s="35"/>
      <c r="K60" s="36"/>
      <c r="L60" s="36"/>
      <c r="M60" s="36"/>
      <c r="N60" s="34"/>
      <c r="O60" s="34"/>
      <c r="P60" s="34"/>
      <c r="Q60" s="34"/>
      <c r="R60" s="34"/>
      <c r="S60" s="34"/>
      <c r="T60" s="34"/>
      <c r="U60" s="34"/>
      <c r="V60" s="34"/>
      <c r="W60" s="531" t="s">
        <v>68</v>
      </c>
      <c r="X60" s="531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</row>
    <row r="61" spans="1:45" ht="22.05" customHeight="1" x14ac:dyDescent="0.3">
      <c r="A61" s="34"/>
      <c r="B61" s="34"/>
      <c r="C61" s="35"/>
      <c r="D61" s="36"/>
      <c r="E61" s="36"/>
      <c r="F61" s="34"/>
      <c r="G61" s="34"/>
      <c r="H61" s="34"/>
      <c r="I61" s="35"/>
      <c r="J61" s="35"/>
      <c r="K61" s="36"/>
      <c r="L61" s="36"/>
      <c r="M61" s="36"/>
      <c r="N61" s="34"/>
      <c r="O61" s="34"/>
      <c r="P61" s="34"/>
      <c r="Q61" s="34"/>
      <c r="R61" s="34"/>
      <c r="S61" s="34"/>
      <c r="T61" s="34"/>
      <c r="U61" s="34"/>
      <c r="V61" s="34"/>
      <c r="W61" s="392" t="s">
        <v>69</v>
      </c>
      <c r="X61" s="395">
        <f>C51</f>
        <v>155.12416666666667</v>
      </c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</row>
    <row r="62" spans="1:45" ht="22.05" customHeight="1" x14ac:dyDescent="0.3">
      <c r="A62" s="34"/>
      <c r="B62" s="34"/>
      <c r="C62" s="35"/>
      <c r="D62" s="36"/>
      <c r="E62" s="36"/>
      <c r="F62" s="34"/>
      <c r="G62" s="34"/>
      <c r="H62" s="34"/>
      <c r="I62" s="35"/>
      <c r="J62" s="35"/>
      <c r="K62" s="36"/>
      <c r="L62" s="36"/>
      <c r="M62" s="36"/>
      <c r="N62" s="34"/>
      <c r="O62" s="34"/>
      <c r="P62" s="34"/>
      <c r="Q62" s="34"/>
      <c r="R62" s="34"/>
      <c r="S62" s="34"/>
      <c r="T62" s="34"/>
      <c r="U62" s="34"/>
      <c r="V62" s="34"/>
      <c r="W62" s="392" t="s">
        <v>70</v>
      </c>
      <c r="X62" s="395" t="e">
        <f>E51</f>
        <v>#DIV/0!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</row>
    <row r="63" spans="1:45" x14ac:dyDescent="0.3">
      <c r="C63" s="10"/>
      <c r="D63" s="11"/>
      <c r="E63" s="11"/>
      <c r="I63" s="10"/>
      <c r="J63" s="10"/>
      <c r="K63" s="11"/>
      <c r="L63" s="11"/>
      <c r="M63" s="11"/>
    </row>
    <row r="64" spans="1:45" x14ac:dyDescent="0.3">
      <c r="C64" s="10"/>
      <c r="D64" s="11"/>
      <c r="E64" s="11"/>
      <c r="I64" s="10"/>
      <c r="J64" s="10"/>
      <c r="K64" s="11"/>
      <c r="L64" s="11"/>
      <c r="M64" s="11"/>
    </row>
    <row r="65" spans="3:13" x14ac:dyDescent="0.3">
      <c r="C65" s="10"/>
      <c r="D65" s="11"/>
      <c r="E65" s="11"/>
      <c r="I65" s="10"/>
      <c r="J65" s="10"/>
      <c r="K65" s="11"/>
      <c r="L65" s="11"/>
      <c r="M65" s="11"/>
    </row>
    <row r="66" spans="3:13" x14ac:dyDescent="0.3">
      <c r="C66" s="10"/>
      <c r="D66" s="11"/>
      <c r="E66" s="11"/>
      <c r="I66" s="10"/>
      <c r="J66" s="10"/>
      <c r="K66" s="11"/>
      <c r="L66" s="11"/>
      <c r="M66" s="11"/>
    </row>
    <row r="67" spans="3:13" x14ac:dyDescent="0.3">
      <c r="C67" s="10"/>
      <c r="D67" s="11"/>
      <c r="E67" s="11"/>
      <c r="I67" s="10"/>
      <c r="J67" s="10"/>
      <c r="K67" s="11"/>
      <c r="L67" s="11"/>
      <c r="M67" s="11"/>
    </row>
    <row r="68" spans="3:13" x14ac:dyDescent="0.3">
      <c r="C68" s="10"/>
      <c r="D68" s="11"/>
      <c r="E68" s="11"/>
      <c r="I68" s="10"/>
      <c r="J68" s="10"/>
      <c r="K68" s="11"/>
      <c r="L68" s="11"/>
      <c r="M68" s="11"/>
    </row>
    <row r="69" spans="3:13" x14ac:dyDescent="0.3">
      <c r="C69" s="10"/>
      <c r="D69" s="11"/>
      <c r="E69" s="11"/>
      <c r="I69" s="10"/>
      <c r="J69" s="10"/>
      <c r="K69" s="11"/>
      <c r="L69" s="11"/>
      <c r="M69" s="11"/>
    </row>
    <row r="70" spans="3:13" x14ac:dyDescent="0.3">
      <c r="C70" s="10"/>
      <c r="D70" s="11"/>
      <c r="E70" s="11"/>
      <c r="I70" s="10"/>
      <c r="J70" s="10"/>
      <c r="K70" s="11"/>
      <c r="L70" s="11"/>
      <c r="M70" s="11"/>
    </row>
    <row r="71" spans="3:13" x14ac:dyDescent="0.3">
      <c r="C71" s="10"/>
      <c r="D71" s="11"/>
      <c r="E71" s="11"/>
      <c r="I71" s="10"/>
      <c r="J71" s="10"/>
      <c r="K71" s="11"/>
      <c r="L71" s="11"/>
      <c r="M71" s="11"/>
    </row>
    <row r="72" spans="3:13" x14ac:dyDescent="0.3">
      <c r="C72" s="10"/>
      <c r="D72" s="11"/>
      <c r="E72" s="11"/>
      <c r="I72" s="10"/>
      <c r="J72" s="10"/>
      <c r="K72" s="11"/>
      <c r="L72" s="11"/>
      <c r="M72" s="11"/>
    </row>
    <row r="73" spans="3:13" x14ac:dyDescent="0.3">
      <c r="C73" s="10"/>
      <c r="D73" s="11"/>
      <c r="E73" s="11"/>
      <c r="I73" s="10"/>
      <c r="J73" s="10"/>
      <c r="K73" s="11"/>
      <c r="L73" s="11"/>
      <c r="M73" s="11"/>
    </row>
    <row r="74" spans="3:13" x14ac:dyDescent="0.3">
      <c r="C74" s="10"/>
      <c r="D74" s="11"/>
      <c r="E74" s="11"/>
      <c r="I74" s="10"/>
      <c r="J74" s="10"/>
      <c r="K74" s="11"/>
      <c r="L74" s="11"/>
      <c r="M74" s="11"/>
    </row>
    <row r="75" spans="3:13" x14ac:dyDescent="0.3">
      <c r="C75" s="10"/>
      <c r="D75" s="11"/>
      <c r="E75" s="11"/>
      <c r="I75" s="10"/>
      <c r="J75" s="10"/>
      <c r="K75" s="11"/>
      <c r="L75" s="11"/>
      <c r="M75" s="11"/>
    </row>
    <row r="76" spans="3:13" x14ac:dyDescent="0.3">
      <c r="C76" s="10"/>
      <c r="D76" s="11"/>
      <c r="E76" s="11"/>
      <c r="I76" s="10"/>
      <c r="J76" s="10"/>
      <c r="K76" s="11"/>
      <c r="L76" s="11"/>
      <c r="M76" s="11"/>
    </row>
    <row r="77" spans="3:13" x14ac:dyDescent="0.3">
      <c r="C77" s="10"/>
      <c r="D77" s="11"/>
      <c r="E77" s="11"/>
      <c r="I77" s="10"/>
      <c r="J77" s="10"/>
      <c r="K77" s="11"/>
      <c r="L77" s="11"/>
      <c r="M77" s="11"/>
    </row>
    <row r="78" spans="3:13" x14ac:dyDescent="0.3">
      <c r="C78" s="10"/>
      <c r="D78" s="11"/>
      <c r="E78" s="11"/>
      <c r="I78" s="10"/>
      <c r="J78" s="10"/>
      <c r="K78" s="11"/>
      <c r="L78" s="11"/>
      <c r="M78" s="11"/>
    </row>
    <row r="79" spans="3:13" x14ac:dyDescent="0.3">
      <c r="C79" s="10"/>
      <c r="D79" s="11"/>
      <c r="E79" s="11"/>
      <c r="I79" s="10"/>
      <c r="J79" s="10"/>
      <c r="K79" s="11"/>
      <c r="L79" s="11"/>
      <c r="M79" s="11"/>
    </row>
    <row r="80" spans="3:13" x14ac:dyDescent="0.3">
      <c r="C80" s="10"/>
      <c r="D80" s="11"/>
      <c r="E80" s="11"/>
      <c r="I80" s="10"/>
      <c r="J80" s="10"/>
      <c r="K80" s="11"/>
      <c r="L80" s="11"/>
      <c r="M80" s="11"/>
    </row>
    <row r="81" spans="3:13" x14ac:dyDescent="0.3">
      <c r="C81" s="10"/>
      <c r="D81" s="11"/>
      <c r="E81" s="11"/>
      <c r="I81" s="10"/>
      <c r="J81" s="10"/>
      <c r="K81" s="11"/>
      <c r="L81" s="11"/>
      <c r="M81" s="11"/>
    </row>
    <row r="82" spans="3:13" x14ac:dyDescent="0.3">
      <c r="C82" s="10"/>
      <c r="D82" s="11"/>
      <c r="E82" s="11"/>
      <c r="I82" s="10"/>
      <c r="J82" s="10"/>
      <c r="K82" s="11"/>
      <c r="L82" s="11"/>
      <c r="M82" s="11"/>
    </row>
    <row r="83" spans="3:13" x14ac:dyDescent="0.3">
      <c r="C83" s="10"/>
      <c r="D83" s="11"/>
      <c r="E83" s="11"/>
      <c r="I83" s="10"/>
      <c r="J83" s="10"/>
      <c r="K83" s="11"/>
      <c r="L83" s="11"/>
      <c r="M83" s="11"/>
    </row>
    <row r="84" spans="3:13" x14ac:dyDescent="0.3">
      <c r="C84" s="10"/>
      <c r="D84" s="11"/>
      <c r="E84" s="11"/>
      <c r="I84" s="10"/>
      <c r="J84" s="10"/>
      <c r="K84" s="11"/>
      <c r="L84" s="11"/>
      <c r="M84" s="11"/>
    </row>
    <row r="85" spans="3:13" x14ac:dyDescent="0.3">
      <c r="C85" s="10"/>
      <c r="D85" s="11"/>
      <c r="E85" s="11"/>
      <c r="I85" s="10"/>
      <c r="J85" s="10"/>
      <c r="K85" s="11"/>
      <c r="L85" s="11"/>
      <c r="M85" s="11"/>
    </row>
    <row r="86" spans="3:13" x14ac:dyDescent="0.3">
      <c r="C86" s="10"/>
      <c r="D86" s="11"/>
      <c r="E86" s="11"/>
      <c r="I86" s="10"/>
      <c r="J86" s="10"/>
      <c r="K86" s="11"/>
      <c r="L86" s="11"/>
      <c r="M86" s="11"/>
    </row>
    <row r="87" spans="3:13" x14ac:dyDescent="0.3">
      <c r="C87" s="10"/>
      <c r="D87" s="11"/>
      <c r="E87" s="11"/>
      <c r="I87" s="10"/>
      <c r="J87" s="10"/>
      <c r="K87" s="11"/>
      <c r="L87" s="11"/>
      <c r="M87" s="11"/>
    </row>
    <row r="88" spans="3:13" x14ac:dyDescent="0.3">
      <c r="C88" s="10"/>
      <c r="D88" s="11"/>
      <c r="E88" s="11"/>
      <c r="I88" s="10"/>
      <c r="J88" s="10"/>
      <c r="K88" s="11"/>
      <c r="L88" s="11"/>
      <c r="M88" s="11"/>
    </row>
    <row r="89" spans="3:13" x14ac:dyDescent="0.3">
      <c r="C89" s="10"/>
      <c r="D89" s="11"/>
      <c r="E89" s="11"/>
      <c r="I89" s="10"/>
      <c r="J89" s="10"/>
      <c r="K89" s="11"/>
      <c r="L89" s="11"/>
      <c r="M89" s="11"/>
    </row>
    <row r="90" spans="3:13" x14ac:dyDescent="0.3">
      <c r="C90" s="10"/>
      <c r="D90" s="11"/>
      <c r="E90" s="11"/>
      <c r="I90" s="10"/>
      <c r="J90" s="10"/>
      <c r="K90" s="11"/>
      <c r="L90" s="11"/>
      <c r="M90" s="11"/>
    </row>
    <row r="91" spans="3:13" x14ac:dyDescent="0.3">
      <c r="C91" s="10"/>
      <c r="D91" s="11"/>
      <c r="E91" s="11"/>
      <c r="I91" s="10"/>
      <c r="J91" s="10"/>
      <c r="K91" s="11"/>
      <c r="L91" s="11"/>
      <c r="M91" s="11"/>
    </row>
    <row r="92" spans="3:13" x14ac:dyDescent="0.3">
      <c r="C92" s="10"/>
      <c r="D92" s="11"/>
      <c r="E92" s="11"/>
      <c r="I92" s="10"/>
      <c r="J92" s="10"/>
      <c r="K92" s="11"/>
      <c r="L92" s="11"/>
      <c r="M92" s="11"/>
    </row>
    <row r="93" spans="3:13" x14ac:dyDescent="0.3">
      <c r="C93" s="10"/>
      <c r="D93" s="11"/>
      <c r="E93" s="11"/>
      <c r="I93" s="10"/>
      <c r="J93" s="10"/>
      <c r="K93" s="11"/>
      <c r="L93" s="11"/>
      <c r="M93" s="11"/>
    </row>
    <row r="94" spans="3:13" x14ac:dyDescent="0.3">
      <c r="C94" s="10"/>
      <c r="D94" s="11"/>
      <c r="E94" s="11"/>
      <c r="I94" s="10"/>
      <c r="J94" s="10"/>
      <c r="K94" s="11"/>
      <c r="L94" s="11"/>
      <c r="M94" s="11"/>
    </row>
    <row r="95" spans="3:13" x14ac:dyDescent="0.3">
      <c r="C95" s="10"/>
      <c r="D95" s="11"/>
      <c r="E95" s="11"/>
      <c r="I95" s="10"/>
      <c r="J95" s="10"/>
      <c r="K95" s="11"/>
      <c r="L95" s="11"/>
      <c r="M95" s="11"/>
    </row>
    <row r="96" spans="3:13" x14ac:dyDescent="0.3">
      <c r="C96" s="10"/>
      <c r="D96" s="11"/>
      <c r="E96" s="11"/>
      <c r="I96" s="10"/>
      <c r="J96" s="10"/>
      <c r="K96" s="11"/>
      <c r="L96" s="11"/>
      <c r="M96" s="11"/>
    </row>
    <row r="97" spans="3:13" x14ac:dyDescent="0.3">
      <c r="C97" s="10"/>
      <c r="D97" s="11"/>
      <c r="E97" s="11"/>
      <c r="I97" s="10"/>
      <c r="J97" s="10"/>
      <c r="K97" s="11"/>
      <c r="L97" s="11"/>
      <c r="M97" s="11"/>
    </row>
    <row r="98" spans="3:13" x14ac:dyDescent="0.3">
      <c r="C98" s="10"/>
      <c r="D98" s="11"/>
      <c r="E98" s="11"/>
      <c r="I98" s="10"/>
      <c r="J98" s="10"/>
      <c r="K98" s="11"/>
      <c r="L98" s="11"/>
      <c r="M98" s="11"/>
    </row>
    <row r="99" spans="3:13" x14ac:dyDescent="0.3">
      <c r="C99" s="10"/>
      <c r="D99" s="11"/>
      <c r="E99" s="11"/>
      <c r="I99" s="10"/>
      <c r="J99" s="10"/>
      <c r="K99" s="11"/>
      <c r="L99" s="11"/>
      <c r="M99" s="11"/>
    </row>
    <row r="100" spans="3:13" x14ac:dyDescent="0.3">
      <c r="C100" s="10"/>
      <c r="D100" s="11"/>
      <c r="E100" s="11"/>
      <c r="I100" s="10"/>
      <c r="J100" s="10"/>
      <c r="K100" s="11"/>
      <c r="L100" s="11"/>
      <c r="M100" s="11"/>
    </row>
    <row r="101" spans="3:13" x14ac:dyDescent="0.3">
      <c r="C101" s="10"/>
      <c r="D101" s="11"/>
      <c r="E101" s="11"/>
      <c r="I101" s="10"/>
      <c r="J101" s="10"/>
      <c r="K101" s="11"/>
      <c r="L101" s="11"/>
      <c r="M101" s="11"/>
    </row>
    <row r="102" spans="3:13" x14ac:dyDescent="0.3">
      <c r="C102" s="10"/>
      <c r="D102" s="11"/>
      <c r="E102" s="11"/>
      <c r="I102" s="10"/>
      <c r="J102" s="10"/>
      <c r="K102" s="11"/>
      <c r="L102" s="11"/>
      <c r="M102" s="11"/>
    </row>
    <row r="103" spans="3:13" x14ac:dyDescent="0.3">
      <c r="C103" s="10"/>
      <c r="D103" s="11"/>
      <c r="E103" s="11"/>
      <c r="I103" s="10"/>
      <c r="J103" s="10"/>
      <c r="K103" s="11"/>
      <c r="L103" s="11"/>
      <c r="M103" s="11"/>
    </row>
    <row r="104" spans="3:13" x14ac:dyDescent="0.3">
      <c r="C104" s="10"/>
      <c r="D104" s="11"/>
      <c r="E104" s="11"/>
      <c r="I104" s="10"/>
      <c r="J104" s="10"/>
      <c r="K104" s="11"/>
      <c r="L104" s="11"/>
      <c r="M104" s="11"/>
    </row>
    <row r="105" spans="3:13" x14ac:dyDescent="0.3">
      <c r="C105" s="10"/>
      <c r="D105" s="11"/>
      <c r="E105" s="11"/>
      <c r="I105" s="10"/>
      <c r="J105" s="10"/>
      <c r="K105" s="11"/>
      <c r="L105" s="11"/>
      <c r="M105" s="11"/>
    </row>
    <row r="106" spans="3:13" x14ac:dyDescent="0.3">
      <c r="C106" s="10"/>
      <c r="D106" s="11"/>
      <c r="E106" s="11"/>
      <c r="I106" s="10"/>
      <c r="J106" s="10"/>
      <c r="K106" s="11"/>
      <c r="L106" s="11"/>
      <c r="M106" s="11"/>
    </row>
    <row r="107" spans="3:13" x14ac:dyDescent="0.3">
      <c r="C107" s="10"/>
      <c r="D107" s="11"/>
      <c r="E107" s="11"/>
      <c r="I107" s="10"/>
      <c r="J107" s="10"/>
      <c r="K107" s="11"/>
      <c r="L107" s="11"/>
      <c r="M107" s="11"/>
    </row>
    <row r="108" spans="3:13" x14ac:dyDescent="0.3">
      <c r="C108" s="10"/>
      <c r="D108" s="11"/>
      <c r="E108" s="11"/>
      <c r="I108" s="10"/>
      <c r="J108" s="10"/>
      <c r="K108" s="11"/>
      <c r="L108" s="11"/>
      <c r="M108" s="11"/>
    </row>
    <row r="109" spans="3:13" x14ac:dyDescent="0.3">
      <c r="C109" s="10"/>
      <c r="D109" s="11"/>
      <c r="E109" s="11"/>
      <c r="I109" s="10"/>
      <c r="J109" s="10"/>
      <c r="K109" s="11"/>
      <c r="L109" s="11"/>
      <c r="M109" s="11"/>
    </row>
    <row r="110" spans="3:13" x14ac:dyDescent="0.3">
      <c r="C110" s="10"/>
      <c r="D110" s="11"/>
      <c r="E110" s="11"/>
      <c r="I110" s="10"/>
      <c r="J110" s="10"/>
      <c r="K110" s="11"/>
      <c r="L110" s="11"/>
      <c r="M110" s="11"/>
    </row>
    <row r="111" spans="3:13" x14ac:dyDescent="0.3">
      <c r="C111" s="10"/>
      <c r="D111" s="11"/>
      <c r="E111" s="11"/>
      <c r="I111" s="10"/>
      <c r="J111" s="10"/>
      <c r="K111" s="11"/>
      <c r="L111" s="11"/>
      <c r="M111" s="11"/>
    </row>
    <row r="112" spans="3:13" x14ac:dyDescent="0.3">
      <c r="C112" s="10"/>
      <c r="D112" s="11"/>
      <c r="E112" s="11"/>
      <c r="I112" s="10"/>
      <c r="J112" s="10"/>
      <c r="K112" s="11"/>
      <c r="L112" s="11"/>
      <c r="M112" s="11"/>
    </row>
    <row r="113" spans="3:13" x14ac:dyDescent="0.3">
      <c r="C113" s="10"/>
      <c r="D113" s="11"/>
      <c r="E113" s="11"/>
      <c r="I113" s="10"/>
      <c r="J113" s="10"/>
      <c r="K113" s="11"/>
      <c r="L113" s="11"/>
      <c r="M113" s="11"/>
    </row>
    <row r="114" spans="3:13" x14ac:dyDescent="0.3">
      <c r="C114" s="10"/>
      <c r="D114" s="11"/>
      <c r="E114" s="11"/>
      <c r="I114" s="10"/>
      <c r="J114" s="10"/>
      <c r="K114" s="11"/>
      <c r="L114" s="11"/>
      <c r="M114" s="11"/>
    </row>
    <row r="115" spans="3:13" x14ac:dyDescent="0.3">
      <c r="C115" s="10"/>
      <c r="D115" s="11"/>
      <c r="E115" s="11"/>
      <c r="I115" s="10"/>
      <c r="J115" s="10"/>
      <c r="K115" s="11"/>
      <c r="L115" s="11"/>
      <c r="M115" s="11"/>
    </row>
    <row r="116" spans="3:13" x14ac:dyDescent="0.3">
      <c r="C116" s="10"/>
      <c r="D116" s="11"/>
      <c r="E116" s="11"/>
      <c r="I116" s="10"/>
      <c r="J116" s="10"/>
      <c r="K116" s="11"/>
      <c r="L116" s="11"/>
      <c r="M116" s="11"/>
    </row>
    <row r="117" spans="3:13" x14ac:dyDescent="0.3">
      <c r="C117" s="10"/>
      <c r="D117" s="11"/>
      <c r="E117" s="11"/>
      <c r="I117" s="10"/>
      <c r="J117" s="10"/>
      <c r="K117" s="11"/>
      <c r="L117" s="11"/>
      <c r="M117" s="11"/>
    </row>
    <row r="118" spans="3:13" x14ac:dyDescent="0.3">
      <c r="C118" s="10"/>
      <c r="D118" s="11"/>
      <c r="E118" s="11"/>
      <c r="I118" s="10"/>
      <c r="J118" s="10"/>
      <c r="K118" s="11"/>
      <c r="L118" s="11"/>
      <c r="M118" s="11"/>
    </row>
    <row r="119" spans="3:13" x14ac:dyDescent="0.3">
      <c r="C119" s="10"/>
      <c r="D119" s="11"/>
      <c r="E119" s="11"/>
      <c r="I119" s="10"/>
      <c r="J119" s="10"/>
      <c r="K119" s="11"/>
      <c r="L119" s="11"/>
      <c r="M119" s="11"/>
    </row>
    <row r="120" spans="3:13" x14ac:dyDescent="0.3">
      <c r="C120" s="10"/>
      <c r="D120" s="11"/>
      <c r="E120" s="11"/>
      <c r="I120" s="10"/>
      <c r="J120" s="10"/>
      <c r="K120" s="11"/>
      <c r="L120" s="11"/>
      <c r="M120" s="11"/>
    </row>
    <row r="121" spans="3:13" x14ac:dyDescent="0.3">
      <c r="C121" s="10"/>
      <c r="D121" s="11"/>
      <c r="E121" s="11"/>
      <c r="I121" s="10"/>
      <c r="J121" s="10"/>
      <c r="K121" s="11"/>
      <c r="L121" s="11"/>
      <c r="M121" s="11"/>
    </row>
    <row r="122" spans="3:13" x14ac:dyDescent="0.3">
      <c r="C122" s="10"/>
      <c r="D122" s="11"/>
      <c r="E122" s="11"/>
      <c r="I122" s="10"/>
      <c r="J122" s="10"/>
      <c r="K122" s="11"/>
      <c r="L122" s="11"/>
      <c r="M122" s="11"/>
    </row>
    <row r="123" spans="3:13" x14ac:dyDescent="0.3">
      <c r="C123" s="10"/>
      <c r="D123" s="11"/>
      <c r="E123" s="11"/>
      <c r="I123" s="10"/>
      <c r="J123" s="10"/>
      <c r="K123" s="11"/>
      <c r="L123" s="11"/>
      <c r="M123" s="11"/>
    </row>
    <row r="124" spans="3:13" x14ac:dyDescent="0.3">
      <c r="C124" s="10"/>
      <c r="D124" s="11"/>
      <c r="E124" s="11"/>
      <c r="I124" s="10"/>
      <c r="J124" s="10"/>
      <c r="K124" s="11"/>
      <c r="L124" s="11"/>
      <c r="M124" s="11"/>
    </row>
    <row r="125" spans="3:13" x14ac:dyDescent="0.3">
      <c r="C125" s="10"/>
      <c r="D125" s="11"/>
      <c r="E125" s="11"/>
      <c r="I125" s="10"/>
      <c r="J125" s="10"/>
      <c r="K125" s="11"/>
      <c r="L125" s="11"/>
      <c r="M125" s="11"/>
    </row>
    <row r="126" spans="3:13" x14ac:dyDescent="0.3">
      <c r="C126" s="10"/>
      <c r="D126" s="11"/>
      <c r="E126" s="11"/>
      <c r="I126" s="10"/>
      <c r="J126" s="10"/>
      <c r="K126" s="11"/>
      <c r="L126" s="11"/>
      <c r="M126" s="11"/>
    </row>
    <row r="127" spans="3:13" x14ac:dyDescent="0.3">
      <c r="C127" s="10"/>
      <c r="D127" s="11"/>
      <c r="E127" s="11"/>
      <c r="I127" s="10"/>
      <c r="J127" s="10"/>
      <c r="K127" s="11"/>
      <c r="L127" s="11"/>
      <c r="M127" s="11"/>
    </row>
    <row r="128" spans="3:13" x14ac:dyDescent="0.3">
      <c r="C128" s="10"/>
      <c r="D128" s="11"/>
      <c r="E128" s="11"/>
      <c r="I128" s="10"/>
      <c r="J128" s="10"/>
      <c r="K128" s="11"/>
      <c r="L128" s="11"/>
      <c r="M128" s="11"/>
    </row>
    <row r="129" spans="3:13" x14ac:dyDescent="0.3">
      <c r="C129" s="10"/>
      <c r="D129" s="11"/>
      <c r="E129" s="11"/>
      <c r="I129" s="10"/>
      <c r="J129" s="10"/>
      <c r="K129" s="11"/>
      <c r="L129" s="11"/>
      <c r="M129" s="11"/>
    </row>
    <row r="130" spans="3:13" x14ac:dyDescent="0.3">
      <c r="C130" s="10"/>
      <c r="D130" s="11"/>
      <c r="E130" s="11"/>
      <c r="I130" s="10"/>
      <c r="J130" s="10"/>
      <c r="K130" s="11"/>
      <c r="L130" s="11"/>
      <c r="M130" s="11"/>
    </row>
    <row r="131" spans="3:13" x14ac:dyDescent="0.3">
      <c r="C131" s="10"/>
      <c r="D131" s="11"/>
      <c r="E131" s="11"/>
      <c r="I131" s="10"/>
      <c r="J131" s="10"/>
      <c r="K131" s="11"/>
      <c r="L131" s="11"/>
      <c r="M131" s="11"/>
    </row>
    <row r="132" spans="3:13" x14ac:dyDescent="0.3">
      <c r="C132" s="10"/>
      <c r="D132" s="11"/>
      <c r="E132" s="11"/>
      <c r="I132" s="10"/>
      <c r="J132" s="10"/>
      <c r="K132" s="11"/>
      <c r="L132" s="11"/>
      <c r="M132" s="11"/>
    </row>
    <row r="133" spans="3:13" x14ac:dyDescent="0.3">
      <c r="C133" s="10"/>
      <c r="D133" s="11"/>
      <c r="E133" s="11"/>
      <c r="I133" s="10"/>
      <c r="J133" s="10"/>
      <c r="K133" s="11"/>
      <c r="L133" s="11"/>
      <c r="M133" s="11"/>
    </row>
    <row r="134" spans="3:13" x14ac:dyDescent="0.3">
      <c r="C134" s="10"/>
      <c r="D134" s="11"/>
      <c r="E134" s="11"/>
      <c r="I134" s="10"/>
      <c r="J134" s="10"/>
      <c r="K134" s="11"/>
      <c r="L134" s="11"/>
      <c r="M134" s="11"/>
    </row>
    <row r="135" spans="3:13" x14ac:dyDescent="0.3">
      <c r="C135" s="10"/>
      <c r="D135" s="11"/>
      <c r="E135" s="11"/>
      <c r="I135" s="10"/>
      <c r="J135" s="10"/>
      <c r="K135" s="11"/>
      <c r="L135" s="11"/>
      <c r="M135" s="11"/>
    </row>
    <row r="136" spans="3:13" x14ac:dyDescent="0.3">
      <c r="C136" s="10"/>
      <c r="D136" s="11"/>
      <c r="E136" s="11"/>
      <c r="I136" s="10"/>
      <c r="J136" s="10"/>
      <c r="K136" s="11"/>
      <c r="L136" s="11"/>
      <c r="M136" s="11"/>
    </row>
    <row r="137" spans="3:13" x14ac:dyDescent="0.3">
      <c r="C137" s="10"/>
      <c r="D137" s="11"/>
      <c r="E137" s="11"/>
      <c r="I137" s="10"/>
      <c r="J137" s="10"/>
      <c r="K137" s="11"/>
      <c r="L137" s="11"/>
      <c r="M137" s="11"/>
    </row>
    <row r="138" spans="3:13" x14ac:dyDescent="0.3">
      <c r="C138" s="10"/>
      <c r="D138" s="11"/>
      <c r="E138" s="11"/>
      <c r="I138" s="10"/>
      <c r="J138" s="10"/>
      <c r="K138" s="11"/>
      <c r="L138" s="11"/>
      <c r="M138" s="11"/>
    </row>
    <row r="139" spans="3:13" x14ac:dyDescent="0.3">
      <c r="C139" s="10"/>
      <c r="D139" s="11"/>
      <c r="E139" s="11"/>
      <c r="I139" s="10"/>
      <c r="J139" s="10"/>
      <c r="K139" s="11"/>
      <c r="L139" s="11"/>
      <c r="M139" s="11"/>
    </row>
    <row r="140" spans="3:13" x14ac:dyDescent="0.3">
      <c r="C140" s="10"/>
      <c r="D140" s="11"/>
      <c r="E140" s="11"/>
      <c r="I140" s="10"/>
      <c r="J140" s="10"/>
      <c r="K140" s="11"/>
      <c r="L140" s="11"/>
      <c r="M140" s="11"/>
    </row>
    <row r="141" spans="3:13" x14ac:dyDescent="0.3">
      <c r="C141" s="10"/>
      <c r="D141" s="11"/>
      <c r="E141" s="11"/>
      <c r="I141" s="10"/>
      <c r="J141" s="10"/>
      <c r="K141" s="11"/>
      <c r="L141" s="11"/>
      <c r="M141" s="11"/>
    </row>
    <row r="142" spans="3:13" x14ac:dyDescent="0.3">
      <c r="C142" s="10"/>
      <c r="D142" s="11"/>
      <c r="E142" s="11"/>
      <c r="I142" s="10"/>
      <c r="J142" s="10"/>
      <c r="K142" s="11"/>
      <c r="L142" s="11"/>
      <c r="M142" s="11"/>
    </row>
    <row r="143" spans="3:13" x14ac:dyDescent="0.3">
      <c r="C143" s="10"/>
      <c r="D143" s="11"/>
      <c r="E143" s="11"/>
      <c r="I143" s="10"/>
      <c r="J143" s="10"/>
      <c r="K143" s="11"/>
      <c r="L143" s="11"/>
      <c r="M143" s="11"/>
    </row>
    <row r="144" spans="3:13" x14ac:dyDescent="0.3">
      <c r="C144" s="10"/>
      <c r="D144" s="11"/>
      <c r="E144" s="11"/>
      <c r="I144" s="10"/>
      <c r="J144" s="10"/>
      <c r="K144" s="11"/>
      <c r="L144" s="11"/>
      <c r="M144" s="11"/>
    </row>
    <row r="145" spans="3:13" x14ac:dyDescent="0.3">
      <c r="C145" s="10"/>
      <c r="D145" s="11"/>
      <c r="E145" s="11"/>
      <c r="I145" s="10"/>
      <c r="J145" s="10"/>
      <c r="K145" s="11"/>
      <c r="L145" s="11"/>
      <c r="M145" s="11"/>
    </row>
    <row r="146" spans="3:13" x14ac:dyDescent="0.3">
      <c r="C146" s="10"/>
      <c r="D146" s="11"/>
      <c r="E146" s="11"/>
      <c r="I146" s="10"/>
      <c r="J146" s="10"/>
      <c r="K146" s="11"/>
      <c r="L146" s="11"/>
      <c r="M146" s="11"/>
    </row>
    <row r="147" spans="3:13" x14ac:dyDescent="0.3">
      <c r="C147" s="10"/>
      <c r="D147" s="11"/>
      <c r="E147" s="11"/>
      <c r="I147" s="10"/>
      <c r="J147" s="10"/>
      <c r="K147" s="11"/>
      <c r="L147" s="11"/>
      <c r="M147" s="11"/>
    </row>
    <row r="148" spans="3:13" x14ac:dyDescent="0.3">
      <c r="C148" s="10"/>
      <c r="D148" s="11"/>
      <c r="E148" s="11"/>
      <c r="I148" s="10"/>
      <c r="J148" s="10"/>
      <c r="K148" s="11"/>
      <c r="L148" s="11"/>
      <c r="M148" s="11"/>
    </row>
    <row r="149" spans="3:13" x14ac:dyDescent="0.3">
      <c r="C149" s="10"/>
      <c r="D149" s="11"/>
      <c r="E149" s="11"/>
      <c r="I149" s="10"/>
      <c r="J149" s="10"/>
      <c r="K149" s="11"/>
      <c r="L149" s="11"/>
      <c r="M149" s="11"/>
    </row>
    <row r="150" spans="3:13" x14ac:dyDescent="0.3">
      <c r="C150" s="10"/>
      <c r="D150" s="11"/>
      <c r="E150" s="11"/>
      <c r="I150" s="10"/>
      <c r="J150" s="10"/>
      <c r="K150" s="11"/>
      <c r="L150" s="11"/>
      <c r="M150" s="11"/>
    </row>
    <row r="151" spans="3:13" x14ac:dyDescent="0.3">
      <c r="C151" s="10"/>
      <c r="D151" s="11"/>
      <c r="E151" s="11"/>
      <c r="I151" s="10"/>
      <c r="J151" s="10"/>
      <c r="K151" s="11"/>
      <c r="L151" s="11"/>
      <c r="M151" s="11"/>
    </row>
    <row r="152" spans="3:13" x14ac:dyDescent="0.3">
      <c r="C152" s="10"/>
      <c r="D152" s="11"/>
      <c r="E152" s="11"/>
      <c r="I152" s="10"/>
      <c r="J152" s="10"/>
      <c r="K152" s="11"/>
      <c r="L152" s="11"/>
      <c r="M152" s="11"/>
    </row>
    <row r="153" spans="3:13" x14ac:dyDescent="0.3">
      <c r="C153" s="10"/>
      <c r="D153" s="11"/>
      <c r="E153" s="11"/>
      <c r="I153" s="10"/>
      <c r="J153" s="10"/>
      <c r="K153" s="11"/>
      <c r="L153" s="11"/>
      <c r="M153" s="11"/>
    </row>
    <row r="154" spans="3:13" x14ac:dyDescent="0.3">
      <c r="C154" s="10"/>
      <c r="D154" s="11"/>
      <c r="E154" s="11"/>
      <c r="I154" s="10"/>
      <c r="J154" s="10"/>
      <c r="K154" s="11"/>
      <c r="L154" s="11"/>
      <c r="M154" s="11"/>
    </row>
    <row r="155" spans="3:13" x14ac:dyDescent="0.3">
      <c r="C155" s="10"/>
      <c r="D155" s="11"/>
      <c r="E155" s="11"/>
      <c r="I155" s="10"/>
      <c r="J155" s="10"/>
      <c r="K155" s="11"/>
      <c r="L155" s="11"/>
      <c r="M155" s="11"/>
    </row>
    <row r="156" spans="3:13" x14ac:dyDescent="0.3">
      <c r="C156" s="10"/>
      <c r="D156" s="11"/>
      <c r="E156" s="11"/>
      <c r="I156" s="10"/>
      <c r="J156" s="10"/>
      <c r="K156" s="11"/>
      <c r="L156" s="11"/>
      <c r="M156" s="11"/>
    </row>
    <row r="157" spans="3:13" x14ac:dyDescent="0.3">
      <c r="C157" s="10"/>
      <c r="D157" s="11"/>
      <c r="E157" s="11"/>
      <c r="I157" s="10"/>
      <c r="J157" s="10"/>
      <c r="K157" s="11"/>
      <c r="L157" s="11"/>
      <c r="M157" s="11"/>
    </row>
    <row r="158" spans="3:13" x14ac:dyDescent="0.3">
      <c r="C158" s="10"/>
      <c r="D158" s="11"/>
      <c r="E158" s="11"/>
      <c r="I158" s="10"/>
      <c r="J158" s="10"/>
      <c r="K158" s="11"/>
      <c r="L158" s="11"/>
      <c r="M158" s="11"/>
    </row>
    <row r="159" spans="3:13" x14ac:dyDescent="0.3">
      <c r="C159" s="10"/>
      <c r="D159" s="11"/>
      <c r="E159" s="11"/>
      <c r="I159" s="10"/>
      <c r="J159" s="10"/>
      <c r="K159" s="11"/>
      <c r="L159" s="11"/>
      <c r="M159" s="11"/>
    </row>
    <row r="160" spans="3:13" x14ac:dyDescent="0.3">
      <c r="C160" s="10"/>
      <c r="D160" s="11"/>
      <c r="E160" s="11"/>
      <c r="I160" s="10"/>
      <c r="J160" s="10"/>
      <c r="K160" s="11"/>
      <c r="L160" s="11"/>
      <c r="M160" s="11"/>
    </row>
    <row r="161" spans="3:13" x14ac:dyDescent="0.3">
      <c r="C161" s="10"/>
      <c r="D161" s="11"/>
      <c r="E161" s="11"/>
      <c r="I161" s="10"/>
      <c r="J161" s="10"/>
      <c r="K161" s="11"/>
      <c r="L161" s="11"/>
      <c r="M161" s="11"/>
    </row>
    <row r="162" spans="3:13" x14ac:dyDescent="0.3">
      <c r="C162" s="10"/>
      <c r="D162" s="11"/>
      <c r="E162" s="11"/>
      <c r="I162" s="10"/>
      <c r="J162" s="10"/>
      <c r="K162" s="11"/>
      <c r="L162" s="11"/>
      <c r="M162" s="11"/>
    </row>
    <row r="163" spans="3:13" x14ac:dyDescent="0.3">
      <c r="C163" s="10"/>
      <c r="D163" s="11"/>
      <c r="E163" s="11"/>
      <c r="I163" s="10"/>
      <c r="J163" s="10"/>
      <c r="K163" s="11"/>
      <c r="L163" s="11"/>
      <c r="M163" s="11"/>
    </row>
    <row r="164" spans="3:13" x14ac:dyDescent="0.3">
      <c r="C164" s="10"/>
      <c r="D164" s="11"/>
      <c r="E164" s="11"/>
      <c r="I164" s="10"/>
      <c r="J164" s="10"/>
      <c r="K164" s="11"/>
      <c r="L164" s="11"/>
      <c r="M164" s="11"/>
    </row>
    <row r="165" spans="3:13" x14ac:dyDescent="0.3">
      <c r="C165" s="10"/>
      <c r="D165" s="11"/>
      <c r="E165" s="11"/>
      <c r="I165" s="10"/>
      <c r="J165" s="10"/>
      <c r="K165" s="11"/>
      <c r="L165" s="11"/>
      <c r="M165" s="11"/>
    </row>
    <row r="166" spans="3:13" x14ac:dyDescent="0.3">
      <c r="C166" s="10"/>
      <c r="D166" s="11"/>
      <c r="E166" s="11"/>
      <c r="I166" s="10"/>
      <c r="J166" s="10"/>
      <c r="K166" s="11"/>
      <c r="L166" s="11"/>
      <c r="M166" s="11"/>
    </row>
    <row r="167" spans="3:13" x14ac:dyDescent="0.3">
      <c r="C167" s="10"/>
      <c r="D167" s="11"/>
      <c r="E167" s="11"/>
      <c r="I167" s="10"/>
      <c r="J167" s="10"/>
      <c r="K167" s="11"/>
      <c r="L167" s="11"/>
      <c r="M167" s="11"/>
    </row>
    <row r="168" spans="3:13" x14ac:dyDescent="0.3">
      <c r="C168" s="10"/>
      <c r="D168" s="11"/>
      <c r="E168" s="11"/>
      <c r="I168" s="10"/>
      <c r="J168" s="10"/>
      <c r="K168" s="11"/>
      <c r="L168" s="11"/>
      <c r="M168" s="11"/>
    </row>
    <row r="169" spans="3:13" x14ac:dyDescent="0.3">
      <c r="C169" s="10"/>
      <c r="D169" s="11"/>
      <c r="E169" s="11"/>
      <c r="I169" s="10"/>
      <c r="J169" s="10"/>
      <c r="K169" s="11"/>
      <c r="L169" s="11"/>
      <c r="M169" s="11"/>
    </row>
    <row r="170" spans="3:13" x14ac:dyDescent="0.3">
      <c r="C170" s="10"/>
      <c r="D170" s="11"/>
      <c r="E170" s="11"/>
      <c r="I170" s="10"/>
      <c r="J170" s="10"/>
      <c r="K170" s="11"/>
      <c r="L170" s="11"/>
      <c r="M170" s="11"/>
    </row>
    <row r="171" spans="3:13" x14ac:dyDescent="0.3">
      <c r="C171" s="10"/>
      <c r="D171" s="11"/>
      <c r="E171" s="11"/>
      <c r="I171" s="10"/>
      <c r="J171" s="10"/>
      <c r="K171" s="11"/>
      <c r="L171" s="11"/>
      <c r="M171" s="11"/>
    </row>
    <row r="172" spans="3:13" x14ac:dyDescent="0.3">
      <c r="C172" s="10"/>
      <c r="D172" s="11"/>
      <c r="E172" s="11"/>
      <c r="I172" s="10"/>
      <c r="J172" s="10"/>
      <c r="K172" s="11"/>
      <c r="L172" s="11"/>
      <c r="M172" s="11"/>
    </row>
    <row r="173" spans="3:13" x14ac:dyDescent="0.3">
      <c r="C173" s="10"/>
      <c r="D173" s="11"/>
      <c r="E173" s="11"/>
      <c r="I173" s="10"/>
      <c r="J173" s="10"/>
      <c r="K173" s="11"/>
      <c r="L173" s="11"/>
      <c r="M173" s="11"/>
    </row>
    <row r="174" spans="3:13" x14ac:dyDescent="0.3">
      <c r="C174" s="10"/>
      <c r="D174" s="11"/>
      <c r="E174" s="11"/>
      <c r="I174" s="10"/>
      <c r="J174" s="10"/>
      <c r="K174" s="11"/>
      <c r="L174" s="11"/>
      <c r="M174" s="11"/>
    </row>
    <row r="175" spans="3:13" x14ac:dyDescent="0.3">
      <c r="C175" s="10"/>
      <c r="D175" s="11"/>
      <c r="E175" s="11"/>
      <c r="I175" s="10"/>
      <c r="J175" s="10"/>
      <c r="K175" s="11"/>
      <c r="L175" s="11"/>
      <c r="M175" s="11"/>
    </row>
    <row r="176" spans="3:13" x14ac:dyDescent="0.3">
      <c r="C176" s="10"/>
      <c r="D176" s="11"/>
      <c r="E176" s="11"/>
      <c r="I176" s="10"/>
      <c r="J176" s="10"/>
      <c r="K176" s="11"/>
      <c r="L176" s="11"/>
      <c r="M176" s="11"/>
    </row>
    <row r="177" spans="3:13" x14ac:dyDescent="0.3">
      <c r="C177" s="10"/>
      <c r="D177" s="11"/>
      <c r="E177" s="11"/>
      <c r="I177" s="10"/>
      <c r="J177" s="10"/>
      <c r="K177" s="11"/>
      <c r="L177" s="11"/>
      <c r="M177" s="11"/>
    </row>
    <row r="178" spans="3:13" x14ac:dyDescent="0.3">
      <c r="C178" s="10"/>
      <c r="D178" s="11"/>
      <c r="E178" s="11"/>
      <c r="I178" s="10"/>
      <c r="J178" s="10"/>
      <c r="K178" s="11"/>
      <c r="L178" s="11"/>
      <c r="M178" s="11"/>
    </row>
    <row r="179" spans="3:13" x14ac:dyDescent="0.3">
      <c r="C179" s="10"/>
      <c r="D179" s="11"/>
      <c r="E179" s="11"/>
      <c r="I179" s="10"/>
      <c r="J179" s="10"/>
      <c r="K179" s="11"/>
      <c r="L179" s="11"/>
      <c r="M179" s="11"/>
    </row>
    <row r="180" spans="3:13" x14ac:dyDescent="0.3">
      <c r="C180" s="10"/>
      <c r="D180" s="11"/>
      <c r="E180" s="11"/>
      <c r="I180" s="10"/>
      <c r="J180" s="10"/>
      <c r="K180" s="11"/>
      <c r="L180" s="11"/>
      <c r="M180" s="11"/>
    </row>
    <row r="181" spans="3:13" x14ac:dyDescent="0.3">
      <c r="C181" s="10"/>
      <c r="D181" s="11"/>
      <c r="E181" s="11"/>
      <c r="I181" s="10"/>
      <c r="J181" s="10"/>
      <c r="K181" s="11"/>
      <c r="L181" s="11"/>
      <c r="M181" s="11"/>
    </row>
    <row r="182" spans="3:13" x14ac:dyDescent="0.3">
      <c r="C182" s="10"/>
      <c r="D182" s="11"/>
      <c r="E182" s="11"/>
      <c r="I182" s="10"/>
      <c r="J182" s="10"/>
      <c r="K182" s="11"/>
      <c r="L182" s="11"/>
      <c r="M182" s="11"/>
    </row>
    <row r="183" spans="3:13" x14ac:dyDescent="0.3">
      <c r="C183" s="10"/>
      <c r="D183" s="11"/>
      <c r="E183" s="11"/>
      <c r="I183" s="10"/>
      <c r="J183" s="10"/>
      <c r="K183" s="11"/>
      <c r="L183" s="11"/>
      <c r="M183" s="11"/>
    </row>
    <row r="184" spans="3:13" x14ac:dyDescent="0.3">
      <c r="C184" s="10"/>
      <c r="D184" s="11"/>
      <c r="E184" s="11"/>
      <c r="I184" s="10"/>
      <c r="J184" s="10"/>
      <c r="K184" s="11"/>
      <c r="L184" s="11"/>
      <c r="M184" s="11"/>
    </row>
    <row r="185" spans="3:13" x14ac:dyDescent="0.3">
      <c r="C185" s="10"/>
      <c r="D185" s="11"/>
      <c r="E185" s="11"/>
      <c r="I185" s="10"/>
      <c r="J185" s="10"/>
      <c r="K185" s="11"/>
      <c r="L185" s="11"/>
      <c r="M185" s="11"/>
    </row>
    <row r="186" spans="3:13" x14ac:dyDescent="0.3">
      <c r="C186" s="10"/>
      <c r="D186" s="11"/>
      <c r="E186" s="11"/>
      <c r="I186" s="10"/>
      <c r="J186" s="10"/>
      <c r="K186" s="11"/>
      <c r="L186" s="11"/>
      <c r="M186" s="11"/>
    </row>
    <row r="187" spans="3:13" x14ac:dyDescent="0.3">
      <c r="C187" s="10"/>
      <c r="D187" s="11"/>
      <c r="E187" s="11"/>
      <c r="I187" s="10"/>
      <c r="J187" s="10"/>
      <c r="K187" s="11"/>
      <c r="L187" s="11"/>
      <c r="M187" s="11"/>
    </row>
    <row r="188" spans="3:13" x14ac:dyDescent="0.3">
      <c r="C188" s="10"/>
      <c r="D188" s="11"/>
      <c r="E188" s="11"/>
      <c r="I188" s="10"/>
      <c r="J188" s="10"/>
      <c r="K188" s="11"/>
      <c r="L188" s="11"/>
      <c r="M188" s="11"/>
    </row>
    <row r="189" spans="3:13" x14ac:dyDescent="0.3">
      <c r="C189" s="10"/>
      <c r="D189" s="11"/>
      <c r="E189" s="11"/>
      <c r="I189" s="10"/>
      <c r="J189" s="10"/>
      <c r="K189" s="11"/>
      <c r="L189" s="11"/>
      <c r="M189" s="11"/>
    </row>
    <row r="190" spans="3:13" x14ac:dyDescent="0.3">
      <c r="C190" s="10"/>
      <c r="D190" s="11"/>
      <c r="E190" s="11"/>
      <c r="I190" s="10"/>
      <c r="J190" s="10"/>
      <c r="K190" s="11"/>
      <c r="L190" s="11"/>
      <c r="M190" s="11"/>
    </row>
    <row r="191" spans="3:13" x14ac:dyDescent="0.3">
      <c r="C191" s="10"/>
      <c r="D191" s="11"/>
      <c r="E191" s="11"/>
      <c r="I191" s="10"/>
      <c r="J191" s="10"/>
      <c r="K191" s="11"/>
      <c r="L191" s="11"/>
      <c r="M191" s="11"/>
    </row>
    <row r="192" spans="3:13" x14ac:dyDescent="0.3">
      <c r="C192" s="10"/>
      <c r="D192" s="11"/>
      <c r="E192" s="11"/>
      <c r="I192" s="10"/>
      <c r="J192" s="10"/>
      <c r="K192" s="11"/>
      <c r="L192" s="11"/>
      <c r="M192" s="11"/>
    </row>
    <row r="193" spans="3:13" x14ac:dyDescent="0.3">
      <c r="C193" s="10"/>
      <c r="D193" s="11"/>
      <c r="E193" s="11"/>
      <c r="I193" s="10"/>
      <c r="J193" s="10"/>
      <c r="K193" s="11"/>
      <c r="L193" s="11"/>
      <c r="M193" s="11"/>
    </row>
    <row r="194" spans="3:13" x14ac:dyDescent="0.3">
      <c r="C194" s="10"/>
      <c r="D194" s="11"/>
      <c r="E194" s="11"/>
      <c r="I194" s="10"/>
      <c r="J194" s="10"/>
      <c r="K194" s="11"/>
      <c r="L194" s="11"/>
      <c r="M194" s="11"/>
    </row>
    <row r="195" spans="3:13" x14ac:dyDescent="0.3">
      <c r="C195" s="10"/>
      <c r="D195" s="11"/>
      <c r="E195" s="11"/>
      <c r="I195" s="10"/>
      <c r="J195" s="10"/>
      <c r="K195" s="11"/>
      <c r="L195" s="11"/>
      <c r="M195" s="11"/>
    </row>
    <row r="196" spans="3:13" x14ac:dyDescent="0.3">
      <c r="C196" s="10"/>
      <c r="D196" s="11"/>
      <c r="E196" s="11"/>
      <c r="I196" s="10"/>
      <c r="J196" s="10"/>
      <c r="K196" s="11"/>
      <c r="L196" s="11"/>
      <c r="M196" s="11"/>
    </row>
    <row r="197" spans="3:13" x14ac:dyDescent="0.3">
      <c r="C197" s="10"/>
      <c r="D197" s="11"/>
      <c r="E197" s="11"/>
      <c r="I197" s="10"/>
      <c r="J197" s="10"/>
      <c r="K197" s="11"/>
      <c r="L197" s="11"/>
      <c r="M197" s="11"/>
    </row>
    <row r="198" spans="3:13" x14ac:dyDescent="0.3">
      <c r="C198" s="10"/>
      <c r="D198" s="11"/>
      <c r="E198" s="11"/>
      <c r="I198" s="10"/>
      <c r="J198" s="10"/>
      <c r="K198" s="11"/>
      <c r="L198" s="11"/>
      <c r="M198" s="11"/>
    </row>
    <row r="199" spans="3:13" x14ac:dyDescent="0.3">
      <c r="C199" s="10"/>
      <c r="D199" s="11"/>
      <c r="E199" s="11"/>
      <c r="I199" s="10"/>
      <c r="J199" s="10"/>
      <c r="K199" s="11"/>
      <c r="L199" s="11"/>
      <c r="M199" s="11"/>
    </row>
    <row r="200" spans="3:13" x14ac:dyDescent="0.3">
      <c r="C200" s="10"/>
      <c r="D200" s="11"/>
      <c r="E200" s="11"/>
      <c r="I200" s="10"/>
      <c r="J200" s="10"/>
      <c r="K200" s="11"/>
      <c r="L200" s="11"/>
      <c r="M200" s="11"/>
    </row>
    <row r="201" spans="3:13" x14ac:dyDescent="0.3">
      <c r="C201" s="10"/>
      <c r="D201" s="11"/>
      <c r="E201" s="11"/>
      <c r="I201" s="10"/>
      <c r="J201" s="10"/>
      <c r="K201" s="11"/>
      <c r="L201" s="11"/>
      <c r="M201" s="11"/>
    </row>
    <row r="202" spans="3:13" x14ac:dyDescent="0.3">
      <c r="C202" s="10"/>
      <c r="D202" s="11"/>
      <c r="E202" s="11"/>
      <c r="I202" s="10"/>
      <c r="J202" s="10"/>
      <c r="K202" s="11"/>
      <c r="L202" s="11"/>
      <c r="M202" s="11"/>
    </row>
    <row r="203" spans="3:13" x14ac:dyDescent="0.3">
      <c r="C203" s="10"/>
      <c r="D203" s="11"/>
      <c r="E203" s="11"/>
      <c r="I203" s="10"/>
      <c r="J203" s="10"/>
      <c r="K203" s="11"/>
      <c r="L203" s="11"/>
      <c r="M203" s="11"/>
    </row>
    <row r="204" spans="3:13" x14ac:dyDescent="0.3">
      <c r="C204" s="10"/>
      <c r="D204" s="11"/>
      <c r="E204" s="11"/>
      <c r="I204" s="10"/>
      <c r="J204" s="10"/>
      <c r="K204" s="11"/>
      <c r="L204" s="11"/>
      <c r="M204" s="11"/>
    </row>
    <row r="205" spans="3:13" x14ac:dyDescent="0.3">
      <c r="C205" s="10"/>
      <c r="D205" s="11"/>
      <c r="E205" s="11"/>
      <c r="I205" s="10"/>
      <c r="J205" s="10"/>
      <c r="K205" s="11"/>
      <c r="L205" s="11"/>
      <c r="M205" s="11"/>
    </row>
    <row r="206" spans="3:13" x14ac:dyDescent="0.3">
      <c r="C206" s="10"/>
      <c r="D206" s="11"/>
      <c r="E206" s="11"/>
      <c r="I206" s="10"/>
      <c r="J206" s="10"/>
      <c r="K206" s="11"/>
      <c r="L206" s="11"/>
      <c r="M206" s="11"/>
    </row>
    <row r="207" spans="3:13" x14ac:dyDescent="0.3">
      <c r="C207" s="10"/>
      <c r="D207" s="11"/>
      <c r="E207" s="11"/>
      <c r="I207" s="10"/>
      <c r="J207" s="10"/>
      <c r="K207" s="11"/>
      <c r="L207" s="11"/>
      <c r="M207" s="11"/>
    </row>
    <row r="208" spans="3:13" x14ac:dyDescent="0.3">
      <c r="C208" s="10"/>
      <c r="D208" s="11"/>
      <c r="E208" s="11"/>
      <c r="I208" s="10"/>
      <c r="J208" s="10"/>
      <c r="K208" s="11"/>
      <c r="L208" s="11"/>
      <c r="M208" s="11"/>
    </row>
    <row r="209" spans="3:13" x14ac:dyDescent="0.3">
      <c r="C209" s="10"/>
      <c r="D209" s="11"/>
      <c r="E209" s="11"/>
      <c r="I209" s="10"/>
      <c r="J209" s="10"/>
      <c r="K209" s="11"/>
      <c r="L209" s="11"/>
      <c r="M209" s="11"/>
    </row>
    <row r="210" spans="3:13" x14ac:dyDescent="0.3">
      <c r="C210" s="10"/>
      <c r="D210" s="11"/>
      <c r="E210" s="11"/>
      <c r="I210" s="10"/>
      <c r="J210" s="10"/>
      <c r="K210" s="11"/>
      <c r="L210" s="11"/>
      <c r="M210" s="11"/>
    </row>
    <row r="211" spans="3:13" x14ac:dyDescent="0.3">
      <c r="C211" s="10"/>
      <c r="D211" s="11"/>
      <c r="E211" s="11"/>
      <c r="I211" s="10"/>
      <c r="J211" s="10"/>
      <c r="K211" s="11"/>
      <c r="L211" s="11"/>
      <c r="M211" s="11"/>
    </row>
    <row r="212" spans="3:13" x14ac:dyDescent="0.3">
      <c r="C212" s="10"/>
      <c r="D212" s="11"/>
      <c r="E212" s="11"/>
      <c r="I212" s="10"/>
      <c r="J212" s="10"/>
      <c r="K212" s="11"/>
      <c r="L212" s="11"/>
      <c r="M212" s="11"/>
    </row>
    <row r="213" spans="3:13" x14ac:dyDescent="0.3">
      <c r="C213" s="10"/>
      <c r="D213" s="11"/>
      <c r="E213" s="11"/>
      <c r="I213" s="10"/>
      <c r="J213" s="10"/>
      <c r="K213" s="11"/>
      <c r="L213" s="11"/>
      <c r="M213" s="11"/>
    </row>
    <row r="214" spans="3:13" x14ac:dyDescent="0.3">
      <c r="C214" s="10"/>
      <c r="D214" s="11"/>
      <c r="E214" s="11"/>
      <c r="I214" s="10"/>
      <c r="J214" s="10"/>
      <c r="K214" s="11"/>
      <c r="L214" s="11"/>
      <c r="M214" s="11"/>
    </row>
    <row r="215" spans="3:13" x14ac:dyDescent="0.3">
      <c r="C215" s="10"/>
      <c r="D215" s="11"/>
      <c r="E215" s="11"/>
      <c r="I215" s="10"/>
      <c r="J215" s="10"/>
      <c r="K215" s="11"/>
      <c r="L215" s="11"/>
      <c r="M215" s="11"/>
    </row>
    <row r="216" spans="3:13" x14ac:dyDescent="0.3">
      <c r="C216" s="10"/>
      <c r="D216" s="11"/>
      <c r="E216" s="11"/>
      <c r="I216" s="10"/>
      <c r="J216" s="10"/>
      <c r="K216" s="11"/>
      <c r="L216" s="11"/>
      <c r="M216" s="11"/>
    </row>
    <row r="217" spans="3:13" x14ac:dyDescent="0.3">
      <c r="C217" s="10"/>
      <c r="D217" s="11"/>
      <c r="E217" s="11"/>
      <c r="I217" s="10"/>
      <c r="J217" s="10"/>
      <c r="K217" s="11"/>
      <c r="L217" s="11"/>
      <c r="M217" s="11"/>
    </row>
    <row r="218" spans="3:13" x14ac:dyDescent="0.3">
      <c r="C218" s="10"/>
      <c r="D218" s="11"/>
      <c r="E218" s="11"/>
      <c r="I218" s="10"/>
      <c r="J218" s="10"/>
      <c r="K218" s="11"/>
      <c r="L218" s="11"/>
      <c r="M218" s="11"/>
    </row>
    <row r="219" spans="3:13" x14ac:dyDescent="0.3">
      <c r="C219" s="10"/>
      <c r="D219" s="11"/>
      <c r="E219" s="11"/>
      <c r="I219" s="10"/>
      <c r="J219" s="10"/>
      <c r="K219" s="11"/>
      <c r="L219" s="11"/>
      <c r="M219" s="11"/>
    </row>
    <row r="220" spans="3:13" x14ac:dyDescent="0.3">
      <c r="C220" s="10"/>
      <c r="D220" s="11"/>
      <c r="E220" s="11"/>
      <c r="I220" s="10"/>
      <c r="J220" s="10"/>
      <c r="K220" s="11"/>
      <c r="L220" s="11"/>
      <c r="M220" s="11"/>
    </row>
    <row r="221" spans="3:13" x14ac:dyDescent="0.3">
      <c r="C221" s="10"/>
      <c r="D221" s="11"/>
      <c r="E221" s="11"/>
      <c r="I221" s="10"/>
      <c r="J221" s="10"/>
      <c r="K221" s="11"/>
      <c r="L221" s="11"/>
      <c r="M221" s="11"/>
    </row>
    <row r="222" spans="3:13" x14ac:dyDescent="0.3">
      <c r="C222" s="10"/>
      <c r="D222" s="11"/>
      <c r="E222" s="11"/>
      <c r="I222" s="10"/>
      <c r="J222" s="10"/>
      <c r="K222" s="11"/>
      <c r="L222" s="11"/>
      <c r="M222" s="11"/>
    </row>
    <row r="223" spans="3:13" x14ac:dyDescent="0.3">
      <c r="C223" s="10"/>
      <c r="D223" s="11"/>
      <c r="E223" s="11"/>
      <c r="I223" s="10"/>
      <c r="J223" s="10"/>
      <c r="K223" s="11"/>
      <c r="L223" s="11"/>
      <c r="M223" s="11"/>
    </row>
    <row r="224" spans="3:13" x14ac:dyDescent="0.3">
      <c r="C224" s="10"/>
      <c r="D224" s="11"/>
      <c r="E224" s="11"/>
      <c r="I224" s="10"/>
      <c r="J224" s="10"/>
      <c r="K224" s="11"/>
      <c r="L224" s="11"/>
      <c r="M224" s="11"/>
    </row>
    <row r="225" spans="3:13" x14ac:dyDescent="0.3">
      <c r="C225" s="10"/>
      <c r="D225" s="11"/>
      <c r="E225" s="11"/>
      <c r="I225" s="10"/>
      <c r="J225" s="10"/>
      <c r="K225" s="11"/>
      <c r="L225" s="11"/>
      <c r="M225" s="11"/>
    </row>
    <row r="226" spans="3:13" x14ac:dyDescent="0.3">
      <c r="C226" s="10"/>
      <c r="D226" s="11"/>
      <c r="E226" s="11"/>
      <c r="I226" s="10"/>
      <c r="J226" s="10"/>
      <c r="K226" s="11"/>
      <c r="L226" s="11"/>
      <c r="M226" s="11"/>
    </row>
    <row r="227" spans="3:13" x14ac:dyDescent="0.3">
      <c r="C227" s="10"/>
      <c r="D227" s="11"/>
      <c r="E227" s="11"/>
      <c r="I227" s="10"/>
      <c r="J227" s="10"/>
      <c r="K227" s="11"/>
      <c r="L227" s="11"/>
      <c r="M227" s="11"/>
    </row>
    <row r="228" spans="3:13" x14ac:dyDescent="0.3">
      <c r="C228" s="10"/>
      <c r="D228" s="11"/>
      <c r="E228" s="11"/>
      <c r="I228" s="10"/>
      <c r="J228" s="10"/>
      <c r="K228" s="11"/>
      <c r="L228" s="11"/>
      <c r="M228" s="11"/>
    </row>
    <row r="229" spans="3:13" x14ac:dyDescent="0.3">
      <c r="C229" s="10"/>
      <c r="D229" s="11"/>
      <c r="E229" s="11"/>
      <c r="I229" s="10"/>
      <c r="J229" s="10"/>
      <c r="K229" s="11"/>
      <c r="L229" s="11"/>
      <c r="M229" s="11"/>
    </row>
    <row r="230" spans="3:13" x14ac:dyDescent="0.3">
      <c r="C230" s="10"/>
      <c r="D230" s="11"/>
      <c r="E230" s="11"/>
      <c r="I230" s="10"/>
      <c r="J230" s="10"/>
      <c r="K230" s="11"/>
      <c r="L230" s="11"/>
      <c r="M230" s="11"/>
    </row>
    <row r="231" spans="3:13" x14ac:dyDescent="0.3">
      <c r="C231" s="10"/>
      <c r="D231" s="11"/>
      <c r="E231" s="11"/>
      <c r="I231" s="10"/>
      <c r="J231" s="10"/>
      <c r="K231" s="11"/>
      <c r="L231" s="11"/>
      <c r="M231" s="11"/>
    </row>
    <row r="232" spans="3:13" x14ac:dyDescent="0.3">
      <c r="C232" s="10"/>
      <c r="D232" s="11"/>
      <c r="E232" s="11"/>
      <c r="I232" s="10"/>
      <c r="J232" s="10"/>
      <c r="K232" s="11"/>
      <c r="L232" s="11"/>
      <c r="M232" s="11"/>
    </row>
    <row r="233" spans="3:13" x14ac:dyDescent="0.3">
      <c r="C233" s="10"/>
      <c r="D233" s="11"/>
      <c r="E233" s="11"/>
      <c r="I233" s="10"/>
      <c r="J233" s="10"/>
      <c r="K233" s="11"/>
      <c r="L233" s="11"/>
      <c r="M233" s="11"/>
    </row>
    <row r="234" spans="3:13" x14ac:dyDescent="0.3">
      <c r="C234" s="10"/>
      <c r="D234" s="11"/>
      <c r="E234" s="11"/>
      <c r="I234" s="10"/>
      <c r="J234" s="10"/>
      <c r="K234" s="11"/>
      <c r="L234" s="11"/>
      <c r="M234" s="11"/>
    </row>
    <row r="235" spans="3:13" x14ac:dyDescent="0.3">
      <c r="C235" s="10"/>
      <c r="D235" s="11"/>
      <c r="E235" s="11"/>
      <c r="I235" s="10"/>
      <c r="J235" s="10"/>
      <c r="K235" s="11"/>
      <c r="L235" s="11"/>
      <c r="M235" s="11"/>
    </row>
    <row r="236" spans="3:13" x14ac:dyDescent="0.3">
      <c r="C236" s="10"/>
      <c r="D236" s="11"/>
      <c r="E236" s="11"/>
      <c r="I236" s="10"/>
      <c r="J236" s="10"/>
      <c r="K236" s="11"/>
      <c r="L236" s="11"/>
      <c r="M236" s="11"/>
    </row>
    <row r="237" spans="3:13" x14ac:dyDescent="0.3">
      <c r="C237" s="10"/>
      <c r="D237" s="11"/>
      <c r="E237" s="11"/>
      <c r="I237" s="10"/>
      <c r="J237" s="10"/>
      <c r="K237" s="11"/>
      <c r="L237" s="11"/>
      <c r="M237" s="11"/>
    </row>
    <row r="238" spans="3:13" x14ac:dyDescent="0.3">
      <c r="C238" s="10"/>
      <c r="D238" s="11"/>
      <c r="E238" s="11"/>
      <c r="I238" s="10"/>
      <c r="J238" s="10"/>
      <c r="K238" s="11"/>
      <c r="L238" s="11"/>
      <c r="M238" s="11"/>
    </row>
    <row r="239" spans="3:13" x14ac:dyDescent="0.3">
      <c r="C239" s="10"/>
      <c r="D239" s="11"/>
      <c r="E239" s="11"/>
      <c r="I239" s="10"/>
      <c r="J239" s="10"/>
      <c r="K239" s="11"/>
      <c r="L239" s="11"/>
      <c r="M239" s="11"/>
    </row>
    <row r="240" spans="3:13" x14ac:dyDescent="0.3">
      <c r="C240" s="10"/>
      <c r="D240" s="11"/>
      <c r="E240" s="11"/>
      <c r="I240" s="10"/>
      <c r="J240" s="10"/>
      <c r="K240" s="11"/>
      <c r="L240" s="11"/>
      <c r="M240" s="11"/>
    </row>
    <row r="241" spans="3:13" x14ac:dyDescent="0.3">
      <c r="C241" s="10"/>
      <c r="D241" s="11"/>
      <c r="E241" s="11"/>
      <c r="I241" s="10"/>
      <c r="J241" s="10"/>
      <c r="K241" s="11"/>
      <c r="L241" s="11"/>
      <c r="M241" s="11"/>
    </row>
    <row r="242" spans="3:13" x14ac:dyDescent="0.3">
      <c r="C242" s="10"/>
      <c r="D242" s="11"/>
      <c r="E242" s="11"/>
      <c r="I242" s="10"/>
      <c r="J242" s="10"/>
      <c r="K242" s="11"/>
      <c r="L242" s="11"/>
      <c r="M242" s="11"/>
    </row>
    <row r="243" spans="3:13" x14ac:dyDescent="0.3">
      <c r="C243" s="10"/>
      <c r="D243" s="11"/>
      <c r="E243" s="11"/>
      <c r="I243" s="10"/>
      <c r="J243" s="10"/>
      <c r="K243" s="11"/>
      <c r="L243" s="11"/>
      <c r="M243" s="11"/>
    </row>
    <row r="244" spans="3:13" x14ac:dyDescent="0.3">
      <c r="C244" s="10"/>
      <c r="D244" s="11"/>
      <c r="E244" s="11"/>
      <c r="I244" s="10"/>
      <c r="J244" s="10"/>
      <c r="K244" s="11"/>
      <c r="L244" s="11"/>
      <c r="M244" s="11"/>
    </row>
    <row r="245" spans="3:13" x14ac:dyDescent="0.3">
      <c r="C245" s="10"/>
      <c r="D245" s="11"/>
      <c r="E245" s="11"/>
      <c r="I245" s="10"/>
      <c r="J245" s="10"/>
      <c r="K245" s="11"/>
      <c r="L245" s="11"/>
      <c r="M245" s="11"/>
    </row>
    <row r="246" spans="3:13" x14ac:dyDescent="0.3">
      <c r="C246" s="10"/>
      <c r="D246" s="11"/>
      <c r="E246" s="11"/>
      <c r="I246" s="10"/>
      <c r="J246" s="10"/>
      <c r="K246" s="11"/>
      <c r="L246" s="11"/>
      <c r="M246" s="11"/>
    </row>
    <row r="247" spans="3:13" x14ac:dyDescent="0.3">
      <c r="C247" s="10"/>
      <c r="D247" s="11"/>
      <c r="E247" s="11"/>
      <c r="I247" s="10"/>
      <c r="J247" s="10"/>
      <c r="K247" s="11"/>
      <c r="L247" s="11"/>
      <c r="M247" s="11"/>
    </row>
    <row r="248" spans="3:13" x14ac:dyDescent="0.3">
      <c r="C248" s="10"/>
      <c r="D248" s="11"/>
      <c r="E248" s="11"/>
      <c r="I248" s="10"/>
      <c r="J248" s="10"/>
      <c r="K248" s="11"/>
      <c r="L248" s="11"/>
      <c r="M248" s="11"/>
    </row>
    <row r="249" spans="3:13" x14ac:dyDescent="0.3">
      <c r="C249" s="10"/>
      <c r="D249" s="11"/>
      <c r="E249" s="11"/>
      <c r="I249" s="10"/>
      <c r="J249" s="10"/>
      <c r="K249" s="11"/>
      <c r="L249" s="11"/>
      <c r="M249" s="11"/>
    </row>
    <row r="250" spans="3:13" x14ac:dyDescent="0.3">
      <c r="C250" s="10"/>
      <c r="D250" s="11"/>
      <c r="E250" s="11"/>
      <c r="I250" s="10"/>
      <c r="J250" s="10"/>
      <c r="K250" s="11"/>
      <c r="L250" s="11"/>
      <c r="M250" s="11"/>
    </row>
    <row r="251" spans="3:13" x14ac:dyDescent="0.3">
      <c r="C251" s="10"/>
      <c r="D251" s="11"/>
      <c r="E251" s="11"/>
      <c r="I251" s="10"/>
      <c r="J251" s="10"/>
      <c r="K251" s="11"/>
      <c r="L251" s="11"/>
      <c r="M251" s="11"/>
    </row>
    <row r="252" spans="3:13" x14ac:dyDescent="0.3">
      <c r="C252" s="10"/>
      <c r="D252" s="11"/>
      <c r="E252" s="11"/>
      <c r="I252" s="10"/>
      <c r="J252" s="10"/>
      <c r="K252" s="11"/>
      <c r="L252" s="11"/>
      <c r="M252" s="11"/>
    </row>
    <row r="253" spans="3:13" x14ac:dyDescent="0.3">
      <c r="C253" s="10"/>
      <c r="D253" s="11"/>
      <c r="E253" s="11"/>
      <c r="I253" s="10"/>
      <c r="J253" s="10"/>
      <c r="K253" s="11"/>
      <c r="L253" s="11"/>
      <c r="M253" s="11"/>
    </row>
    <row r="254" spans="3:13" x14ac:dyDescent="0.3">
      <c r="C254" s="10"/>
      <c r="D254" s="11"/>
      <c r="E254" s="11"/>
      <c r="I254" s="10"/>
      <c r="J254" s="10"/>
      <c r="K254" s="11"/>
      <c r="L254" s="11"/>
      <c r="M254" s="11"/>
    </row>
    <row r="255" spans="3:13" x14ac:dyDescent="0.3">
      <c r="C255" s="10"/>
      <c r="D255" s="11"/>
      <c r="E255" s="11"/>
      <c r="I255" s="10"/>
      <c r="J255" s="10"/>
      <c r="K255" s="11"/>
      <c r="L255" s="11"/>
      <c r="M255" s="11"/>
    </row>
    <row r="256" spans="3:13" x14ac:dyDescent="0.3">
      <c r="C256" s="10"/>
      <c r="D256" s="11"/>
      <c r="E256" s="11"/>
      <c r="I256" s="10"/>
      <c r="J256" s="10"/>
      <c r="K256" s="11"/>
      <c r="L256" s="11"/>
      <c r="M256" s="11"/>
    </row>
    <row r="257" spans="3:13" x14ac:dyDescent="0.3">
      <c r="C257" s="10"/>
      <c r="D257" s="11"/>
      <c r="E257" s="11"/>
      <c r="I257" s="10"/>
      <c r="J257" s="10"/>
      <c r="K257" s="11"/>
      <c r="L257" s="11"/>
      <c r="M257" s="11"/>
    </row>
    <row r="258" spans="3:13" x14ac:dyDescent="0.3">
      <c r="C258" s="10"/>
      <c r="D258" s="11"/>
      <c r="E258" s="11"/>
      <c r="I258" s="10"/>
      <c r="J258" s="10"/>
      <c r="K258" s="11"/>
      <c r="L258" s="11"/>
      <c r="M258" s="11"/>
    </row>
    <row r="259" spans="3:13" x14ac:dyDescent="0.3">
      <c r="C259" s="10"/>
      <c r="D259" s="11"/>
      <c r="E259" s="11"/>
      <c r="I259" s="10"/>
      <c r="J259" s="10"/>
      <c r="K259" s="11"/>
      <c r="L259" s="11"/>
      <c r="M259" s="11"/>
    </row>
    <row r="260" spans="3:13" x14ac:dyDescent="0.3">
      <c r="C260" s="10"/>
      <c r="D260" s="11"/>
      <c r="E260" s="11"/>
      <c r="I260" s="10"/>
      <c r="J260" s="10"/>
      <c r="K260" s="11"/>
      <c r="L260" s="11"/>
      <c r="M260" s="11"/>
    </row>
    <row r="261" spans="3:13" x14ac:dyDescent="0.3">
      <c r="C261" s="10"/>
      <c r="D261" s="11"/>
      <c r="E261" s="11"/>
      <c r="I261" s="10"/>
      <c r="J261" s="10"/>
      <c r="K261" s="11"/>
      <c r="L261" s="11"/>
      <c r="M261" s="11"/>
    </row>
    <row r="262" spans="3:13" x14ac:dyDescent="0.3">
      <c r="C262" s="10"/>
      <c r="D262" s="11"/>
      <c r="E262" s="11"/>
      <c r="I262" s="10"/>
      <c r="J262" s="10"/>
      <c r="K262" s="11"/>
      <c r="L262" s="11"/>
      <c r="M262" s="11"/>
    </row>
    <row r="263" spans="3:13" x14ac:dyDescent="0.3">
      <c r="C263" s="10"/>
      <c r="D263" s="11"/>
      <c r="E263" s="11"/>
      <c r="I263" s="10"/>
      <c r="J263" s="10"/>
      <c r="K263" s="11"/>
      <c r="L263" s="11"/>
      <c r="M263" s="11"/>
    </row>
    <row r="264" spans="3:13" x14ac:dyDescent="0.3">
      <c r="C264" s="10"/>
      <c r="D264" s="11"/>
      <c r="E264" s="11"/>
      <c r="I264" s="10"/>
      <c r="J264" s="10"/>
      <c r="K264" s="11"/>
      <c r="L264" s="11"/>
      <c r="M264" s="11"/>
    </row>
    <row r="265" spans="3:13" x14ac:dyDescent="0.3">
      <c r="C265" s="10"/>
      <c r="D265" s="11"/>
      <c r="E265" s="11"/>
      <c r="I265" s="10"/>
      <c r="J265" s="10"/>
      <c r="K265" s="11"/>
      <c r="L265" s="11"/>
      <c r="M265" s="11"/>
    </row>
    <row r="266" spans="3:13" x14ac:dyDescent="0.3">
      <c r="C266" s="10"/>
      <c r="D266" s="11"/>
      <c r="E266" s="11"/>
      <c r="I266" s="10"/>
      <c r="J266" s="10"/>
      <c r="K266" s="11"/>
      <c r="L266" s="11"/>
      <c r="M266" s="11"/>
    </row>
    <row r="267" spans="3:13" x14ac:dyDescent="0.3">
      <c r="C267" s="10"/>
      <c r="D267" s="11"/>
      <c r="E267" s="11"/>
      <c r="I267" s="10"/>
      <c r="J267" s="10"/>
      <c r="K267" s="11"/>
      <c r="L267" s="11"/>
      <c r="M267" s="11"/>
    </row>
    <row r="268" spans="3:13" x14ac:dyDescent="0.3">
      <c r="C268" s="10"/>
      <c r="D268" s="11"/>
      <c r="E268" s="11"/>
      <c r="I268" s="10"/>
      <c r="J268" s="10"/>
      <c r="K268" s="11"/>
      <c r="L268" s="11"/>
      <c r="M268" s="11"/>
    </row>
    <row r="269" spans="3:13" x14ac:dyDescent="0.3">
      <c r="C269" s="10"/>
      <c r="D269" s="11"/>
      <c r="E269" s="11"/>
      <c r="I269" s="10"/>
      <c r="J269" s="10"/>
      <c r="K269" s="11"/>
      <c r="L269" s="11"/>
      <c r="M269" s="11"/>
    </row>
    <row r="270" spans="3:13" x14ac:dyDescent="0.3">
      <c r="C270" s="10"/>
      <c r="D270" s="11"/>
      <c r="E270" s="11"/>
      <c r="I270" s="10"/>
      <c r="J270" s="10"/>
      <c r="K270" s="11"/>
      <c r="L270" s="11"/>
      <c r="M270" s="11"/>
    </row>
    <row r="271" spans="3:13" x14ac:dyDescent="0.3">
      <c r="C271" s="10"/>
      <c r="D271" s="11"/>
      <c r="E271" s="11"/>
      <c r="I271" s="10"/>
      <c r="J271" s="10"/>
      <c r="K271" s="11"/>
      <c r="L271" s="11"/>
      <c r="M271" s="11"/>
    </row>
    <row r="272" spans="3:13" x14ac:dyDescent="0.3">
      <c r="C272" s="10"/>
      <c r="D272" s="11"/>
      <c r="E272" s="11"/>
      <c r="I272" s="10"/>
      <c r="J272" s="10"/>
      <c r="K272" s="11"/>
      <c r="L272" s="11"/>
      <c r="M272" s="11"/>
    </row>
    <row r="273" spans="3:13" x14ac:dyDescent="0.3">
      <c r="C273" s="10"/>
      <c r="D273" s="11"/>
      <c r="E273" s="11"/>
      <c r="I273" s="10"/>
      <c r="J273" s="10"/>
      <c r="K273" s="11"/>
      <c r="L273" s="11"/>
      <c r="M273" s="11"/>
    </row>
    <row r="274" spans="3:13" x14ac:dyDescent="0.3">
      <c r="C274" s="10"/>
      <c r="D274" s="11"/>
      <c r="E274" s="11"/>
      <c r="I274" s="10"/>
      <c r="J274" s="10"/>
      <c r="K274" s="11"/>
      <c r="L274" s="11"/>
      <c r="M274" s="11"/>
    </row>
    <row r="275" spans="3:13" x14ac:dyDescent="0.3">
      <c r="C275" s="10"/>
      <c r="D275" s="11"/>
      <c r="E275" s="11"/>
      <c r="I275" s="10"/>
      <c r="J275" s="10"/>
      <c r="K275" s="11"/>
      <c r="L275" s="11"/>
      <c r="M275" s="11"/>
    </row>
    <row r="276" spans="3:13" x14ac:dyDescent="0.3">
      <c r="C276" s="10"/>
      <c r="D276" s="11"/>
      <c r="E276" s="11"/>
      <c r="I276" s="10"/>
      <c r="J276" s="10"/>
      <c r="K276" s="11"/>
      <c r="L276" s="11"/>
      <c r="M276" s="11"/>
    </row>
    <row r="277" spans="3:13" x14ac:dyDescent="0.3">
      <c r="C277" s="10"/>
      <c r="D277" s="11"/>
      <c r="E277" s="11"/>
      <c r="I277" s="10"/>
      <c r="J277" s="10"/>
      <c r="K277" s="11"/>
      <c r="L277" s="11"/>
      <c r="M277" s="11"/>
    </row>
    <row r="278" spans="3:13" x14ac:dyDescent="0.3">
      <c r="C278" s="10"/>
      <c r="D278" s="11"/>
      <c r="E278" s="11"/>
      <c r="I278" s="10"/>
      <c r="J278" s="10"/>
      <c r="K278" s="11"/>
      <c r="L278" s="11"/>
      <c r="M278" s="11"/>
    </row>
    <row r="279" spans="3:13" x14ac:dyDescent="0.3">
      <c r="C279" s="10"/>
      <c r="D279" s="11"/>
      <c r="E279" s="11"/>
      <c r="I279" s="10"/>
      <c r="J279" s="10"/>
      <c r="K279" s="11"/>
      <c r="L279" s="11"/>
      <c r="M279" s="11"/>
    </row>
    <row r="280" spans="3:13" x14ac:dyDescent="0.3">
      <c r="C280" s="10"/>
      <c r="D280" s="11"/>
      <c r="E280" s="11"/>
      <c r="I280" s="10"/>
      <c r="J280" s="10"/>
      <c r="K280" s="11"/>
      <c r="L280" s="11"/>
      <c r="M280" s="11"/>
    </row>
    <row r="281" spans="3:13" x14ac:dyDescent="0.3">
      <c r="C281" s="10"/>
      <c r="D281" s="11"/>
      <c r="E281" s="11"/>
      <c r="I281" s="10"/>
      <c r="J281" s="10"/>
      <c r="K281" s="11"/>
      <c r="L281" s="11"/>
      <c r="M281" s="11"/>
    </row>
    <row r="282" spans="3:13" x14ac:dyDescent="0.3">
      <c r="C282" s="10"/>
      <c r="D282" s="11"/>
      <c r="E282" s="11"/>
      <c r="I282" s="10"/>
      <c r="J282" s="10"/>
      <c r="K282" s="11"/>
      <c r="L282" s="11"/>
      <c r="M282" s="11"/>
    </row>
    <row r="283" spans="3:13" x14ac:dyDescent="0.3">
      <c r="C283" s="10"/>
      <c r="D283" s="11"/>
      <c r="E283" s="11"/>
      <c r="I283" s="10"/>
      <c r="J283" s="10"/>
      <c r="K283" s="11"/>
      <c r="L283" s="11"/>
      <c r="M283" s="11"/>
    </row>
    <row r="284" spans="3:13" x14ac:dyDescent="0.3">
      <c r="C284" s="10"/>
      <c r="D284" s="11"/>
      <c r="E284" s="11"/>
      <c r="I284" s="10"/>
      <c r="J284" s="10"/>
      <c r="K284" s="11"/>
      <c r="L284" s="11"/>
      <c r="M284" s="11"/>
    </row>
    <row r="285" spans="3:13" x14ac:dyDescent="0.3">
      <c r="C285" s="10"/>
      <c r="D285" s="11"/>
      <c r="E285" s="11"/>
      <c r="I285" s="10"/>
      <c r="J285" s="10"/>
      <c r="K285" s="11"/>
      <c r="L285" s="11"/>
      <c r="M285" s="11"/>
    </row>
    <row r="286" spans="3:13" x14ac:dyDescent="0.3">
      <c r="C286" s="10"/>
      <c r="D286" s="11"/>
      <c r="E286" s="11"/>
      <c r="I286" s="10"/>
      <c r="J286" s="10"/>
      <c r="K286" s="11"/>
      <c r="L286" s="11"/>
      <c r="M286" s="11"/>
    </row>
    <row r="287" spans="3:13" x14ac:dyDescent="0.3">
      <c r="C287" s="10"/>
      <c r="D287" s="11"/>
      <c r="E287" s="11"/>
      <c r="I287" s="10"/>
      <c r="J287" s="10"/>
      <c r="K287" s="11"/>
      <c r="L287" s="11"/>
      <c r="M287" s="11"/>
    </row>
    <row r="288" spans="3:13" x14ac:dyDescent="0.3">
      <c r="C288" s="10"/>
      <c r="D288" s="11"/>
      <c r="E288" s="11"/>
      <c r="I288" s="10"/>
      <c r="J288" s="10"/>
      <c r="K288" s="11"/>
      <c r="L288" s="11"/>
      <c r="M288" s="11"/>
    </row>
    <row r="289" spans="3:13" x14ac:dyDescent="0.3">
      <c r="C289" s="10"/>
      <c r="D289" s="11"/>
      <c r="E289" s="11"/>
      <c r="I289" s="10"/>
      <c r="J289" s="10"/>
      <c r="K289" s="11"/>
      <c r="L289" s="11"/>
      <c r="M289" s="11"/>
    </row>
    <row r="290" spans="3:13" x14ac:dyDescent="0.3">
      <c r="C290" s="10"/>
      <c r="D290" s="11"/>
      <c r="E290" s="11"/>
      <c r="I290" s="10"/>
      <c r="J290" s="10"/>
      <c r="K290" s="11"/>
      <c r="L290" s="11"/>
      <c r="M290" s="11"/>
    </row>
    <row r="291" spans="3:13" x14ac:dyDescent="0.3">
      <c r="C291" s="10"/>
      <c r="D291" s="11"/>
      <c r="E291" s="11"/>
      <c r="I291" s="10"/>
      <c r="J291" s="10"/>
      <c r="K291" s="11"/>
      <c r="L291" s="11"/>
      <c r="M291" s="11"/>
    </row>
    <row r="292" spans="3:13" x14ac:dyDescent="0.3">
      <c r="C292" s="10"/>
      <c r="D292" s="11"/>
      <c r="E292" s="11"/>
      <c r="I292" s="10"/>
      <c r="J292" s="10"/>
      <c r="K292" s="11"/>
      <c r="L292" s="11"/>
      <c r="M292" s="11"/>
    </row>
    <row r="293" spans="3:13" x14ac:dyDescent="0.3">
      <c r="C293" s="10"/>
      <c r="D293" s="11"/>
      <c r="E293" s="11"/>
      <c r="I293" s="10"/>
      <c r="J293" s="10"/>
      <c r="K293" s="11"/>
      <c r="L293" s="11"/>
      <c r="M293" s="11"/>
    </row>
    <row r="294" spans="3:13" x14ac:dyDescent="0.3">
      <c r="C294" s="10"/>
      <c r="D294" s="11"/>
      <c r="E294" s="11"/>
      <c r="I294" s="10"/>
      <c r="J294" s="10"/>
      <c r="K294" s="11"/>
      <c r="L294" s="11"/>
      <c r="M294" s="11"/>
    </row>
    <row r="295" spans="3:13" x14ac:dyDescent="0.3">
      <c r="C295" s="10"/>
      <c r="D295" s="11"/>
      <c r="E295" s="11"/>
      <c r="I295" s="10"/>
      <c r="J295" s="10"/>
      <c r="K295" s="11"/>
      <c r="L295" s="11"/>
      <c r="M295" s="11"/>
    </row>
    <row r="296" spans="3:13" x14ac:dyDescent="0.3">
      <c r="C296" s="10"/>
      <c r="D296" s="11"/>
      <c r="E296" s="11"/>
      <c r="I296" s="10"/>
      <c r="J296" s="10"/>
      <c r="K296" s="11"/>
      <c r="L296" s="11"/>
      <c r="M296" s="11"/>
    </row>
    <row r="297" spans="3:13" x14ac:dyDescent="0.3">
      <c r="C297" s="10"/>
      <c r="D297" s="11"/>
      <c r="E297" s="11"/>
      <c r="I297" s="10"/>
      <c r="J297" s="10"/>
      <c r="K297" s="11"/>
      <c r="L297" s="11"/>
      <c r="M297" s="11"/>
    </row>
    <row r="298" spans="3:13" x14ac:dyDescent="0.3">
      <c r="C298" s="10"/>
      <c r="D298" s="11"/>
      <c r="E298" s="11"/>
      <c r="I298" s="10"/>
      <c r="J298" s="10"/>
      <c r="K298" s="11"/>
      <c r="L298" s="11"/>
      <c r="M298" s="11"/>
    </row>
    <row r="299" spans="3:13" x14ac:dyDescent="0.3">
      <c r="C299" s="10"/>
      <c r="D299" s="11"/>
      <c r="E299" s="11"/>
      <c r="I299" s="10"/>
      <c r="J299" s="10"/>
      <c r="K299" s="11"/>
      <c r="L299" s="11"/>
      <c r="M299" s="11"/>
    </row>
    <row r="300" spans="3:13" x14ac:dyDescent="0.3">
      <c r="C300" s="10"/>
      <c r="D300" s="11"/>
      <c r="E300" s="11"/>
      <c r="I300" s="10"/>
      <c r="J300" s="10"/>
      <c r="K300" s="11"/>
      <c r="L300" s="11"/>
      <c r="M300" s="11"/>
    </row>
    <row r="301" spans="3:13" x14ac:dyDescent="0.3">
      <c r="C301" s="10"/>
      <c r="D301" s="11"/>
      <c r="E301" s="11"/>
      <c r="I301" s="10"/>
      <c r="J301" s="10"/>
      <c r="K301" s="11"/>
      <c r="L301" s="11"/>
      <c r="M301" s="11"/>
    </row>
    <row r="302" spans="3:13" x14ac:dyDescent="0.3">
      <c r="C302" s="10"/>
      <c r="D302" s="11"/>
      <c r="E302" s="11"/>
      <c r="I302" s="10"/>
      <c r="J302" s="10"/>
      <c r="K302" s="11"/>
      <c r="L302" s="11"/>
      <c r="M302" s="11"/>
    </row>
    <row r="303" spans="3:13" x14ac:dyDescent="0.3">
      <c r="C303" s="10"/>
      <c r="D303" s="11"/>
      <c r="E303" s="11"/>
      <c r="I303" s="10"/>
      <c r="J303" s="10"/>
      <c r="K303" s="11"/>
      <c r="L303" s="11"/>
      <c r="M303" s="11"/>
    </row>
    <row r="304" spans="3:13" x14ac:dyDescent="0.3">
      <c r="C304" s="10"/>
      <c r="D304" s="11"/>
      <c r="E304" s="11"/>
      <c r="I304" s="10"/>
      <c r="J304" s="10"/>
      <c r="K304" s="11"/>
      <c r="L304" s="11"/>
      <c r="M304" s="11"/>
    </row>
    <row r="305" spans="3:13" x14ac:dyDescent="0.3">
      <c r="C305" s="10"/>
      <c r="D305" s="11"/>
      <c r="E305" s="11"/>
      <c r="I305" s="10"/>
      <c r="J305" s="10"/>
      <c r="K305" s="11"/>
      <c r="L305" s="11"/>
      <c r="M305" s="11"/>
    </row>
    <row r="306" spans="3:13" x14ac:dyDescent="0.3">
      <c r="C306" s="10"/>
      <c r="D306" s="11"/>
      <c r="E306" s="11"/>
      <c r="I306" s="10"/>
      <c r="J306" s="10"/>
      <c r="K306" s="11"/>
      <c r="L306" s="11"/>
      <c r="M306" s="11"/>
    </row>
    <row r="307" spans="3:13" x14ac:dyDescent="0.3">
      <c r="C307" s="10"/>
      <c r="D307" s="11"/>
      <c r="E307" s="11"/>
      <c r="I307" s="10"/>
      <c r="J307" s="10"/>
      <c r="K307" s="11"/>
      <c r="L307" s="11"/>
      <c r="M307" s="11"/>
    </row>
    <row r="308" spans="3:13" x14ac:dyDescent="0.3">
      <c r="C308" s="10"/>
      <c r="D308" s="11"/>
      <c r="E308" s="11"/>
      <c r="I308" s="10"/>
      <c r="J308" s="10"/>
      <c r="K308" s="11"/>
      <c r="L308" s="11"/>
      <c r="M308" s="11"/>
    </row>
    <row r="309" spans="3:13" x14ac:dyDescent="0.3">
      <c r="C309" s="10"/>
      <c r="D309" s="11"/>
      <c r="E309" s="11"/>
      <c r="I309" s="10"/>
      <c r="J309" s="10"/>
      <c r="K309" s="11"/>
      <c r="L309" s="11"/>
      <c r="M309" s="11"/>
    </row>
    <row r="310" spans="3:13" x14ac:dyDescent="0.3">
      <c r="C310" s="10"/>
      <c r="D310" s="11"/>
      <c r="E310" s="11"/>
      <c r="I310" s="10"/>
      <c r="J310" s="10"/>
      <c r="K310" s="11"/>
      <c r="L310" s="11"/>
      <c r="M310" s="11"/>
    </row>
    <row r="311" spans="3:13" x14ac:dyDescent="0.3">
      <c r="C311" s="10"/>
      <c r="D311" s="11"/>
      <c r="E311" s="11"/>
      <c r="I311" s="10"/>
      <c r="J311" s="10"/>
      <c r="K311" s="11"/>
      <c r="L311" s="11"/>
      <c r="M311" s="11"/>
    </row>
    <row r="312" spans="3:13" x14ac:dyDescent="0.3">
      <c r="C312" s="10"/>
      <c r="D312" s="11"/>
      <c r="E312" s="11"/>
      <c r="I312" s="10"/>
      <c r="J312" s="10"/>
      <c r="K312" s="11"/>
      <c r="L312" s="11"/>
      <c r="M312" s="11"/>
    </row>
    <row r="313" spans="3:13" x14ac:dyDescent="0.3">
      <c r="C313" s="10"/>
      <c r="D313" s="11"/>
      <c r="E313" s="11"/>
      <c r="I313" s="10"/>
      <c r="J313" s="10"/>
      <c r="K313" s="11"/>
      <c r="L313" s="11"/>
      <c r="M313" s="11"/>
    </row>
    <row r="314" spans="3:13" x14ac:dyDescent="0.3">
      <c r="C314" s="10"/>
      <c r="D314" s="11"/>
      <c r="E314" s="11"/>
      <c r="I314" s="10"/>
      <c r="J314" s="10"/>
      <c r="K314" s="11"/>
      <c r="L314" s="11"/>
      <c r="M314" s="11"/>
    </row>
    <row r="315" spans="3:13" x14ac:dyDescent="0.3">
      <c r="C315" s="10"/>
      <c r="D315" s="11"/>
      <c r="E315" s="11"/>
      <c r="I315" s="10"/>
      <c r="J315" s="10"/>
      <c r="K315" s="11"/>
      <c r="L315" s="11"/>
      <c r="M315" s="11"/>
    </row>
    <row r="316" spans="3:13" x14ac:dyDescent="0.3">
      <c r="C316" s="10"/>
      <c r="D316" s="11"/>
      <c r="E316" s="11"/>
      <c r="I316" s="10"/>
      <c r="J316" s="10"/>
      <c r="K316" s="11"/>
      <c r="L316" s="11"/>
      <c r="M316" s="11"/>
    </row>
    <row r="317" spans="3:13" x14ac:dyDescent="0.3">
      <c r="C317" s="10"/>
      <c r="D317" s="11"/>
      <c r="E317" s="11"/>
      <c r="I317" s="10"/>
      <c r="J317" s="10"/>
      <c r="K317" s="11"/>
      <c r="L317" s="11"/>
      <c r="M317" s="11"/>
    </row>
    <row r="318" spans="3:13" x14ac:dyDescent="0.3">
      <c r="C318" s="10"/>
      <c r="D318" s="11"/>
      <c r="E318" s="11"/>
      <c r="I318" s="10"/>
      <c r="J318" s="10"/>
      <c r="K318" s="11"/>
      <c r="L318" s="11"/>
      <c r="M318" s="11"/>
    </row>
    <row r="319" spans="3:13" x14ac:dyDescent="0.3">
      <c r="C319" s="10"/>
      <c r="D319" s="11"/>
      <c r="E319" s="11"/>
      <c r="I319" s="10"/>
      <c r="J319" s="10"/>
      <c r="K319" s="11"/>
      <c r="L319" s="11"/>
      <c r="M319" s="11"/>
    </row>
    <row r="320" spans="3:13" x14ac:dyDescent="0.3">
      <c r="C320" s="10"/>
      <c r="D320" s="11"/>
      <c r="E320" s="11"/>
      <c r="I320" s="10"/>
      <c r="J320" s="10"/>
      <c r="K320" s="11"/>
      <c r="L320" s="11"/>
      <c r="M320" s="11"/>
    </row>
    <row r="321" spans="3:13" x14ac:dyDescent="0.3">
      <c r="C321" s="10"/>
      <c r="D321" s="11"/>
      <c r="E321" s="11"/>
      <c r="I321" s="10"/>
      <c r="J321" s="10"/>
      <c r="K321" s="11"/>
      <c r="L321" s="11"/>
      <c r="M321" s="11"/>
    </row>
    <row r="322" spans="3:13" x14ac:dyDescent="0.3">
      <c r="C322" s="10"/>
      <c r="D322" s="11"/>
      <c r="E322" s="11"/>
      <c r="I322" s="10"/>
      <c r="J322" s="10"/>
      <c r="K322" s="11"/>
      <c r="L322" s="11"/>
      <c r="M322" s="11"/>
    </row>
    <row r="323" spans="3:13" x14ac:dyDescent="0.3">
      <c r="C323" s="10"/>
      <c r="D323" s="11"/>
      <c r="E323" s="11"/>
      <c r="I323" s="10"/>
      <c r="J323" s="10"/>
      <c r="K323" s="11"/>
      <c r="L323" s="11"/>
      <c r="M323" s="11"/>
    </row>
    <row r="324" spans="3:13" x14ac:dyDescent="0.3">
      <c r="C324" s="10"/>
      <c r="D324" s="11"/>
      <c r="E324" s="11"/>
      <c r="I324" s="10"/>
      <c r="J324" s="10"/>
      <c r="K324" s="11"/>
      <c r="L324" s="11"/>
      <c r="M324" s="11"/>
    </row>
    <row r="325" spans="3:13" x14ac:dyDescent="0.3">
      <c r="C325" s="10"/>
      <c r="D325" s="11"/>
      <c r="E325" s="11"/>
      <c r="I325" s="10"/>
      <c r="J325" s="10"/>
      <c r="K325" s="11"/>
      <c r="L325" s="11"/>
      <c r="M325" s="11"/>
    </row>
    <row r="326" spans="3:13" x14ac:dyDescent="0.3">
      <c r="C326" s="10"/>
      <c r="D326" s="11"/>
      <c r="E326" s="11"/>
      <c r="I326" s="10"/>
      <c r="J326" s="10"/>
      <c r="K326" s="11"/>
      <c r="L326" s="11"/>
      <c r="M326" s="11"/>
    </row>
    <row r="327" spans="3:13" x14ac:dyDescent="0.3">
      <c r="C327" s="10"/>
      <c r="D327" s="11"/>
      <c r="E327" s="11"/>
      <c r="I327" s="10"/>
      <c r="J327" s="10"/>
      <c r="K327" s="11"/>
      <c r="L327" s="11"/>
      <c r="M327" s="11"/>
    </row>
    <row r="328" spans="3:13" x14ac:dyDescent="0.3">
      <c r="C328" s="10"/>
      <c r="D328" s="11"/>
      <c r="E328" s="11"/>
      <c r="I328" s="10"/>
      <c r="J328" s="10"/>
      <c r="K328" s="11"/>
      <c r="L328" s="11"/>
      <c r="M328" s="11"/>
    </row>
    <row r="329" spans="3:13" x14ac:dyDescent="0.3">
      <c r="C329" s="10"/>
      <c r="D329" s="11"/>
      <c r="E329" s="11"/>
      <c r="I329" s="10"/>
      <c r="J329" s="10"/>
      <c r="K329" s="11"/>
      <c r="L329" s="11"/>
      <c r="M329" s="11"/>
    </row>
    <row r="330" spans="3:13" x14ac:dyDescent="0.3">
      <c r="C330" s="10"/>
      <c r="D330" s="11"/>
      <c r="E330" s="11"/>
      <c r="I330" s="10"/>
      <c r="J330" s="10"/>
      <c r="K330" s="11"/>
      <c r="L330" s="11"/>
      <c r="M330" s="11"/>
    </row>
    <row r="331" spans="3:13" x14ac:dyDescent="0.3">
      <c r="C331" s="10"/>
      <c r="D331" s="11"/>
      <c r="E331" s="11"/>
      <c r="I331" s="10"/>
      <c r="J331" s="10"/>
      <c r="K331" s="11"/>
      <c r="L331" s="11"/>
      <c r="M331" s="11"/>
    </row>
    <row r="332" spans="3:13" x14ac:dyDescent="0.3">
      <c r="C332" s="10"/>
      <c r="D332" s="11"/>
      <c r="E332" s="11"/>
      <c r="I332" s="10"/>
      <c r="J332" s="10"/>
      <c r="K332" s="11"/>
      <c r="L332" s="11"/>
      <c r="M332" s="11"/>
    </row>
    <row r="333" spans="3:13" x14ac:dyDescent="0.3">
      <c r="C333" s="10"/>
      <c r="D333" s="11"/>
      <c r="E333" s="11"/>
      <c r="I333" s="10"/>
      <c r="J333" s="10"/>
      <c r="K333" s="11"/>
      <c r="L333" s="11"/>
      <c r="M333" s="11"/>
    </row>
    <row r="334" spans="3:13" x14ac:dyDescent="0.3">
      <c r="C334" s="10"/>
      <c r="D334" s="11"/>
      <c r="E334" s="11"/>
      <c r="I334" s="10"/>
      <c r="J334" s="10"/>
      <c r="K334" s="11"/>
      <c r="L334" s="11"/>
      <c r="M334" s="11"/>
    </row>
    <row r="335" spans="3:13" x14ac:dyDescent="0.3">
      <c r="C335" s="10"/>
      <c r="D335" s="11"/>
      <c r="E335" s="11"/>
      <c r="I335" s="10"/>
      <c r="J335" s="10"/>
      <c r="K335" s="11"/>
      <c r="L335" s="11"/>
      <c r="M335" s="11"/>
    </row>
    <row r="336" spans="3:13" x14ac:dyDescent="0.3">
      <c r="C336" s="10"/>
      <c r="D336" s="11"/>
      <c r="E336" s="11"/>
      <c r="I336" s="10"/>
      <c r="J336" s="10"/>
      <c r="K336" s="11"/>
      <c r="L336" s="11"/>
      <c r="M336" s="11"/>
    </row>
    <row r="337" spans="3:13" x14ac:dyDescent="0.3">
      <c r="C337" s="10"/>
      <c r="D337" s="11"/>
      <c r="E337" s="11"/>
      <c r="I337" s="10"/>
      <c r="J337" s="10"/>
      <c r="K337" s="11"/>
      <c r="L337" s="11"/>
      <c r="M337" s="11"/>
    </row>
    <row r="338" spans="3:13" x14ac:dyDescent="0.3">
      <c r="C338" s="10"/>
      <c r="D338" s="11"/>
      <c r="E338" s="11"/>
      <c r="I338" s="10"/>
      <c r="J338" s="10"/>
      <c r="K338" s="11"/>
      <c r="L338" s="11"/>
      <c r="M338" s="11"/>
    </row>
    <row r="339" spans="3:13" x14ac:dyDescent="0.3">
      <c r="C339" s="10"/>
      <c r="D339" s="11"/>
      <c r="E339" s="11"/>
      <c r="I339" s="10"/>
      <c r="J339" s="10"/>
      <c r="K339" s="11"/>
      <c r="L339" s="11"/>
      <c r="M339" s="11"/>
    </row>
    <row r="340" spans="3:13" x14ac:dyDescent="0.3">
      <c r="C340" s="10"/>
      <c r="D340" s="11"/>
      <c r="E340" s="11"/>
      <c r="I340" s="10"/>
      <c r="J340" s="10"/>
      <c r="K340" s="11"/>
      <c r="L340" s="11"/>
      <c r="M340" s="11"/>
    </row>
    <row r="341" spans="3:13" x14ac:dyDescent="0.3">
      <c r="C341" s="10"/>
      <c r="D341" s="11"/>
      <c r="E341" s="11"/>
      <c r="I341" s="10"/>
      <c r="J341" s="10"/>
      <c r="K341" s="11"/>
      <c r="L341" s="11"/>
      <c r="M341" s="11"/>
    </row>
    <row r="342" spans="3:13" x14ac:dyDescent="0.3">
      <c r="C342" s="10"/>
      <c r="D342" s="11"/>
      <c r="E342" s="11"/>
      <c r="I342" s="10"/>
      <c r="J342" s="10"/>
      <c r="K342" s="11"/>
      <c r="L342" s="11"/>
      <c r="M342" s="11"/>
    </row>
    <row r="343" spans="3:13" x14ac:dyDescent="0.3">
      <c r="C343" s="10"/>
      <c r="D343" s="11"/>
      <c r="E343" s="11"/>
      <c r="I343" s="10"/>
      <c r="J343" s="10"/>
      <c r="K343" s="11"/>
      <c r="L343" s="11"/>
      <c r="M343" s="11"/>
    </row>
    <row r="344" spans="3:13" x14ac:dyDescent="0.3">
      <c r="C344" s="10"/>
      <c r="D344" s="11"/>
      <c r="E344" s="11"/>
      <c r="I344" s="10"/>
      <c r="J344" s="10"/>
      <c r="K344" s="11"/>
      <c r="L344" s="11"/>
      <c r="M344" s="11"/>
    </row>
    <row r="345" spans="3:13" x14ac:dyDescent="0.3">
      <c r="C345" s="10"/>
      <c r="D345" s="11"/>
      <c r="E345" s="11"/>
      <c r="I345" s="10"/>
      <c r="J345" s="10"/>
      <c r="K345" s="11"/>
      <c r="L345" s="11"/>
      <c r="M345" s="11"/>
    </row>
    <row r="346" spans="3:13" x14ac:dyDescent="0.3">
      <c r="C346" s="10"/>
      <c r="D346" s="11"/>
      <c r="E346" s="11"/>
      <c r="I346" s="10"/>
      <c r="J346" s="10"/>
      <c r="K346" s="11"/>
      <c r="L346" s="11"/>
      <c r="M346" s="11"/>
    </row>
    <row r="347" spans="3:13" x14ac:dyDescent="0.3">
      <c r="C347" s="10"/>
      <c r="D347" s="11"/>
      <c r="E347" s="11"/>
      <c r="I347" s="10"/>
      <c r="J347" s="10"/>
      <c r="K347" s="11"/>
      <c r="L347" s="11"/>
      <c r="M347" s="11"/>
    </row>
    <row r="348" spans="3:13" x14ac:dyDescent="0.3">
      <c r="C348" s="10"/>
      <c r="D348" s="11"/>
      <c r="E348" s="11"/>
      <c r="I348" s="10"/>
      <c r="J348" s="10"/>
      <c r="K348" s="11"/>
      <c r="L348" s="11"/>
      <c r="M348" s="11"/>
    </row>
    <row r="349" spans="3:13" x14ac:dyDescent="0.3">
      <c r="C349" s="10"/>
      <c r="D349" s="11"/>
      <c r="E349" s="11"/>
      <c r="I349" s="10"/>
      <c r="J349" s="10"/>
      <c r="K349" s="11"/>
      <c r="L349" s="11"/>
      <c r="M349" s="11"/>
    </row>
    <row r="350" spans="3:13" x14ac:dyDescent="0.3">
      <c r="C350" s="10"/>
      <c r="D350" s="11"/>
      <c r="E350" s="11"/>
      <c r="I350" s="10"/>
      <c r="J350" s="10"/>
      <c r="K350" s="11"/>
      <c r="L350" s="11"/>
      <c r="M350" s="11"/>
    </row>
    <row r="351" spans="3:13" x14ac:dyDescent="0.3">
      <c r="C351" s="10"/>
      <c r="D351" s="11"/>
      <c r="E351" s="11"/>
      <c r="I351" s="10"/>
      <c r="J351" s="10"/>
      <c r="K351" s="11"/>
      <c r="L351" s="11"/>
      <c r="M351" s="11"/>
    </row>
    <row r="352" spans="3:13" x14ac:dyDescent="0.3">
      <c r="C352" s="10"/>
      <c r="D352" s="11"/>
      <c r="E352" s="11"/>
      <c r="I352" s="10"/>
      <c r="J352" s="10"/>
      <c r="K352" s="11"/>
      <c r="L352" s="11"/>
      <c r="M352" s="11"/>
    </row>
    <row r="353" spans="3:13" x14ac:dyDescent="0.3">
      <c r="C353" s="10"/>
      <c r="D353" s="11"/>
      <c r="E353" s="11"/>
      <c r="I353" s="10"/>
      <c r="J353" s="10"/>
      <c r="K353" s="11"/>
      <c r="L353" s="11"/>
      <c r="M353" s="11"/>
    </row>
    <row r="354" spans="3:13" x14ac:dyDescent="0.3">
      <c r="C354" s="10"/>
      <c r="D354" s="11"/>
      <c r="E354" s="11"/>
      <c r="I354" s="10"/>
      <c r="J354" s="10"/>
      <c r="K354" s="11"/>
      <c r="L354" s="11"/>
      <c r="M354" s="11"/>
    </row>
    <row r="355" spans="3:13" x14ac:dyDescent="0.3">
      <c r="C355" s="10"/>
      <c r="D355" s="11"/>
      <c r="E355" s="11"/>
      <c r="I355" s="10"/>
      <c r="J355" s="10"/>
      <c r="K355" s="11"/>
      <c r="L355" s="11"/>
      <c r="M355" s="11"/>
    </row>
    <row r="356" spans="3:13" x14ac:dyDescent="0.3">
      <c r="C356" s="10"/>
      <c r="D356" s="11"/>
      <c r="E356" s="11"/>
      <c r="I356" s="10"/>
      <c r="J356" s="10"/>
      <c r="K356" s="11"/>
      <c r="L356" s="11"/>
      <c r="M356" s="11"/>
    </row>
    <row r="357" spans="3:13" x14ac:dyDescent="0.3">
      <c r="C357" s="10"/>
      <c r="D357" s="11"/>
      <c r="E357" s="11"/>
      <c r="I357" s="10"/>
      <c r="J357" s="10"/>
      <c r="K357" s="11"/>
      <c r="L357" s="11"/>
      <c r="M357" s="11"/>
    </row>
    <row r="358" spans="3:13" x14ac:dyDescent="0.3">
      <c r="C358" s="10"/>
      <c r="D358" s="11"/>
      <c r="E358" s="11"/>
      <c r="I358" s="10"/>
      <c r="J358" s="10"/>
      <c r="K358" s="11"/>
      <c r="L358" s="11"/>
      <c r="M358" s="11"/>
    </row>
    <row r="359" spans="3:13" x14ac:dyDescent="0.3">
      <c r="C359" s="10"/>
      <c r="D359" s="11"/>
      <c r="E359" s="11"/>
      <c r="I359" s="10"/>
      <c r="J359" s="10"/>
      <c r="K359" s="11"/>
      <c r="L359" s="11"/>
      <c r="M359" s="11"/>
    </row>
    <row r="360" spans="3:13" x14ac:dyDescent="0.3">
      <c r="C360" s="10"/>
      <c r="D360" s="11"/>
      <c r="E360" s="11"/>
      <c r="I360" s="10"/>
      <c r="J360" s="10"/>
      <c r="K360" s="11"/>
      <c r="L360" s="11"/>
      <c r="M360" s="11"/>
    </row>
    <row r="361" spans="3:13" x14ac:dyDescent="0.3">
      <c r="C361" s="10"/>
      <c r="D361" s="11"/>
      <c r="E361" s="11"/>
      <c r="I361" s="10"/>
      <c r="J361" s="10"/>
      <c r="K361" s="11"/>
      <c r="L361" s="11"/>
      <c r="M361" s="11"/>
    </row>
    <row r="362" spans="3:13" x14ac:dyDescent="0.3">
      <c r="C362" s="10"/>
      <c r="D362" s="11"/>
      <c r="E362" s="11"/>
      <c r="I362" s="10"/>
      <c r="J362" s="10"/>
      <c r="K362" s="11"/>
      <c r="L362" s="11"/>
      <c r="M362" s="11"/>
    </row>
    <row r="363" spans="3:13" x14ac:dyDescent="0.3">
      <c r="C363" s="10"/>
      <c r="D363" s="11"/>
      <c r="E363" s="11"/>
      <c r="I363" s="10"/>
      <c r="J363" s="10"/>
      <c r="K363" s="11"/>
      <c r="L363" s="11"/>
      <c r="M363" s="11"/>
    </row>
    <row r="364" spans="3:13" x14ac:dyDescent="0.3">
      <c r="C364" s="10"/>
      <c r="D364" s="11"/>
      <c r="E364" s="11"/>
      <c r="I364" s="10"/>
      <c r="J364" s="10"/>
      <c r="K364" s="11"/>
      <c r="L364" s="11"/>
      <c r="M364" s="11"/>
    </row>
    <row r="365" spans="3:13" x14ac:dyDescent="0.3">
      <c r="C365" s="10"/>
      <c r="D365" s="11"/>
      <c r="E365" s="11"/>
      <c r="I365" s="10"/>
      <c r="J365" s="10"/>
      <c r="K365" s="11"/>
      <c r="L365" s="11"/>
      <c r="M365" s="11"/>
    </row>
    <row r="366" spans="3:13" x14ac:dyDescent="0.3">
      <c r="C366" s="10"/>
      <c r="D366" s="11"/>
      <c r="E366" s="11"/>
      <c r="I366" s="10"/>
      <c r="J366" s="10"/>
      <c r="K366" s="11"/>
      <c r="L366" s="11"/>
      <c r="M366" s="11"/>
    </row>
    <row r="367" spans="3:13" x14ac:dyDescent="0.3">
      <c r="C367" s="10"/>
      <c r="D367" s="11"/>
      <c r="E367" s="11"/>
      <c r="I367" s="10"/>
      <c r="J367" s="10"/>
      <c r="K367" s="11"/>
      <c r="L367" s="11"/>
      <c r="M367" s="11"/>
    </row>
    <row r="368" spans="3:13" x14ac:dyDescent="0.3">
      <c r="C368" s="10"/>
      <c r="D368" s="11"/>
      <c r="E368" s="11"/>
      <c r="I368" s="10"/>
      <c r="J368" s="10"/>
      <c r="K368" s="11"/>
      <c r="L368" s="11"/>
      <c r="M368" s="11"/>
    </row>
    <row r="369" spans="3:13" x14ac:dyDescent="0.3">
      <c r="C369" s="10"/>
      <c r="D369" s="11"/>
      <c r="E369" s="11"/>
      <c r="I369" s="10"/>
      <c r="J369" s="10"/>
      <c r="K369" s="11"/>
      <c r="L369" s="11"/>
      <c r="M369" s="11"/>
    </row>
    <row r="370" spans="3:13" x14ac:dyDescent="0.3">
      <c r="C370" s="10"/>
      <c r="D370" s="11"/>
      <c r="E370" s="11"/>
      <c r="I370" s="10"/>
      <c r="J370" s="10"/>
      <c r="K370" s="11"/>
      <c r="L370" s="11"/>
      <c r="M370" s="11"/>
    </row>
    <row r="371" spans="3:13" x14ac:dyDescent="0.3">
      <c r="C371" s="10"/>
      <c r="D371" s="11"/>
      <c r="E371" s="11"/>
      <c r="I371" s="10"/>
      <c r="J371" s="10"/>
      <c r="K371" s="11"/>
      <c r="L371" s="11"/>
      <c r="M371" s="11"/>
    </row>
    <row r="372" spans="3:13" x14ac:dyDescent="0.3">
      <c r="C372" s="10"/>
      <c r="D372" s="11"/>
      <c r="E372" s="11"/>
      <c r="I372" s="10"/>
      <c r="J372" s="10"/>
      <c r="K372" s="11"/>
      <c r="L372" s="11"/>
      <c r="M372" s="11"/>
    </row>
    <row r="373" spans="3:13" x14ac:dyDescent="0.3">
      <c r="C373" s="10"/>
      <c r="D373" s="11"/>
      <c r="E373" s="11"/>
      <c r="I373" s="10"/>
      <c r="J373" s="10"/>
      <c r="K373" s="11"/>
      <c r="L373" s="11"/>
      <c r="M373" s="11"/>
    </row>
    <row r="374" spans="3:13" x14ac:dyDescent="0.3">
      <c r="C374" s="10"/>
      <c r="D374" s="11"/>
      <c r="E374" s="11"/>
      <c r="I374" s="10"/>
      <c r="J374" s="10"/>
      <c r="K374" s="11"/>
      <c r="L374" s="11"/>
      <c r="M374" s="11"/>
    </row>
    <row r="375" spans="3:13" x14ac:dyDescent="0.3">
      <c r="C375" s="10"/>
      <c r="D375" s="11"/>
      <c r="E375" s="11"/>
      <c r="I375" s="10"/>
      <c r="J375" s="10"/>
      <c r="K375" s="11"/>
      <c r="L375" s="11"/>
      <c r="M375" s="11"/>
    </row>
    <row r="376" spans="3:13" x14ac:dyDescent="0.3">
      <c r="C376" s="10"/>
      <c r="D376" s="11"/>
      <c r="E376" s="11"/>
      <c r="I376" s="10"/>
      <c r="J376" s="10"/>
      <c r="K376" s="11"/>
      <c r="L376" s="11"/>
      <c r="M376" s="11"/>
    </row>
    <row r="377" spans="3:13" x14ac:dyDescent="0.3">
      <c r="C377" s="10"/>
      <c r="D377" s="11"/>
      <c r="E377" s="11"/>
      <c r="I377" s="10"/>
      <c r="J377" s="10"/>
      <c r="K377" s="11"/>
      <c r="L377" s="11"/>
      <c r="M377" s="11"/>
    </row>
    <row r="378" spans="3:13" x14ac:dyDescent="0.3">
      <c r="C378" s="10"/>
      <c r="D378" s="11"/>
      <c r="E378" s="11"/>
      <c r="I378" s="10"/>
      <c r="J378" s="10"/>
      <c r="K378" s="11"/>
      <c r="L378" s="11"/>
      <c r="M378" s="11"/>
    </row>
    <row r="379" spans="3:13" x14ac:dyDescent="0.3">
      <c r="C379" s="10"/>
      <c r="D379" s="11"/>
      <c r="E379" s="11"/>
      <c r="I379" s="10"/>
      <c r="J379" s="10"/>
      <c r="K379" s="11"/>
      <c r="L379" s="11"/>
      <c r="M379" s="11"/>
    </row>
    <row r="380" spans="3:13" x14ac:dyDescent="0.3">
      <c r="C380" s="10"/>
      <c r="D380" s="11"/>
      <c r="E380" s="11"/>
      <c r="I380" s="10"/>
      <c r="J380" s="10"/>
      <c r="K380" s="11"/>
      <c r="L380" s="11"/>
      <c r="M380" s="11"/>
    </row>
    <row r="381" spans="3:13" x14ac:dyDescent="0.3">
      <c r="C381" s="10"/>
      <c r="D381" s="11"/>
      <c r="E381" s="11"/>
      <c r="I381" s="10"/>
      <c r="J381" s="10"/>
      <c r="K381" s="11"/>
      <c r="L381" s="11"/>
      <c r="M381" s="11"/>
    </row>
    <row r="382" spans="3:13" x14ac:dyDescent="0.3">
      <c r="C382" s="10"/>
      <c r="D382" s="11"/>
      <c r="E382" s="11"/>
      <c r="I382" s="10"/>
      <c r="J382" s="10"/>
      <c r="K382" s="11"/>
      <c r="L382" s="11"/>
      <c r="M382" s="11"/>
    </row>
    <row r="383" spans="3:13" x14ac:dyDescent="0.3">
      <c r="C383" s="10"/>
      <c r="D383" s="11"/>
      <c r="E383" s="11"/>
      <c r="I383" s="10"/>
      <c r="J383" s="10"/>
      <c r="K383" s="11"/>
      <c r="L383" s="11"/>
      <c r="M383" s="11"/>
    </row>
    <row r="384" spans="3:13" x14ac:dyDescent="0.3">
      <c r="C384" s="10"/>
      <c r="D384" s="11"/>
      <c r="E384" s="11"/>
      <c r="I384" s="10"/>
      <c r="J384" s="10"/>
      <c r="K384" s="11"/>
      <c r="L384" s="11"/>
      <c r="M384" s="11"/>
    </row>
    <row r="385" spans="3:13" x14ac:dyDescent="0.3">
      <c r="C385" s="10"/>
      <c r="D385" s="11"/>
      <c r="E385" s="11"/>
      <c r="I385" s="10"/>
      <c r="J385" s="10"/>
      <c r="K385" s="11"/>
      <c r="L385" s="11"/>
      <c r="M385" s="11"/>
    </row>
    <row r="386" spans="3:13" x14ac:dyDescent="0.3">
      <c r="C386" s="10"/>
      <c r="D386" s="11"/>
      <c r="E386" s="11"/>
      <c r="I386" s="10"/>
      <c r="J386" s="10"/>
      <c r="K386" s="11"/>
      <c r="L386" s="11"/>
      <c r="M386" s="11"/>
    </row>
    <row r="387" spans="3:13" x14ac:dyDescent="0.3">
      <c r="C387" s="10"/>
      <c r="D387" s="11"/>
      <c r="E387" s="11"/>
      <c r="I387" s="10"/>
      <c r="J387" s="10"/>
      <c r="K387" s="11"/>
      <c r="L387" s="11"/>
      <c r="M387" s="11"/>
    </row>
    <row r="388" spans="3:13" x14ac:dyDescent="0.3">
      <c r="C388" s="10"/>
      <c r="D388" s="11"/>
      <c r="E388" s="11"/>
      <c r="I388" s="10"/>
      <c r="J388" s="10"/>
      <c r="K388" s="11"/>
      <c r="L388" s="11"/>
      <c r="M388" s="11"/>
    </row>
    <row r="389" spans="3:13" x14ac:dyDescent="0.3">
      <c r="C389" s="10"/>
      <c r="D389" s="11"/>
      <c r="E389" s="11"/>
      <c r="I389" s="10"/>
      <c r="J389" s="10"/>
      <c r="K389" s="11"/>
      <c r="L389" s="11"/>
      <c r="M389" s="11"/>
    </row>
    <row r="390" spans="3:13" x14ac:dyDescent="0.3">
      <c r="C390" s="10"/>
      <c r="D390" s="11"/>
      <c r="E390" s="11"/>
      <c r="I390" s="10"/>
      <c r="J390" s="10"/>
      <c r="K390" s="11"/>
      <c r="L390" s="11"/>
      <c r="M390" s="11"/>
    </row>
    <row r="391" spans="3:13" x14ac:dyDescent="0.3">
      <c r="C391" s="10"/>
      <c r="D391" s="11"/>
      <c r="E391" s="11"/>
      <c r="I391" s="10"/>
      <c r="J391" s="10"/>
      <c r="K391" s="11"/>
      <c r="L391" s="11"/>
      <c r="M391" s="11"/>
    </row>
    <row r="392" spans="3:13" x14ac:dyDescent="0.3">
      <c r="C392" s="10"/>
      <c r="D392" s="11"/>
      <c r="E392" s="11"/>
      <c r="I392" s="10"/>
      <c r="J392" s="10"/>
      <c r="K392" s="11"/>
      <c r="L392" s="11"/>
      <c r="M392" s="11"/>
    </row>
    <row r="393" spans="3:13" x14ac:dyDescent="0.3">
      <c r="C393" s="10"/>
      <c r="D393" s="11"/>
      <c r="E393" s="11"/>
      <c r="I393" s="10"/>
      <c r="J393" s="10"/>
      <c r="K393" s="11"/>
      <c r="L393" s="11"/>
      <c r="M393" s="11"/>
    </row>
    <row r="394" spans="3:13" x14ac:dyDescent="0.3">
      <c r="C394" s="10"/>
      <c r="D394" s="11"/>
      <c r="E394" s="11"/>
      <c r="I394" s="10"/>
      <c r="J394" s="10"/>
      <c r="K394" s="11"/>
      <c r="L394" s="11"/>
      <c r="M394" s="11"/>
    </row>
    <row r="395" spans="3:13" x14ac:dyDescent="0.3">
      <c r="C395" s="10"/>
      <c r="D395" s="11"/>
      <c r="E395" s="11"/>
      <c r="I395" s="10"/>
      <c r="J395" s="10"/>
      <c r="K395" s="11"/>
      <c r="L395" s="11"/>
      <c r="M395" s="11"/>
    </row>
    <row r="396" spans="3:13" x14ac:dyDescent="0.3">
      <c r="C396" s="10"/>
      <c r="D396" s="11"/>
      <c r="E396" s="11"/>
      <c r="I396" s="10"/>
      <c r="J396" s="10"/>
      <c r="K396" s="11"/>
      <c r="L396" s="11"/>
      <c r="M396" s="11"/>
    </row>
    <row r="397" spans="3:13" x14ac:dyDescent="0.3">
      <c r="C397" s="10"/>
      <c r="D397" s="11"/>
      <c r="E397" s="11"/>
      <c r="I397" s="10"/>
      <c r="J397" s="10"/>
      <c r="K397" s="11"/>
      <c r="L397" s="11"/>
      <c r="M397" s="11"/>
    </row>
    <row r="398" spans="3:13" x14ac:dyDescent="0.3">
      <c r="C398" s="10"/>
      <c r="D398" s="11"/>
      <c r="E398" s="11"/>
      <c r="I398" s="10"/>
      <c r="J398" s="10"/>
      <c r="K398" s="11"/>
      <c r="L398" s="11"/>
      <c r="M398" s="11"/>
    </row>
    <row r="399" spans="3:13" x14ac:dyDescent="0.3">
      <c r="C399" s="10"/>
      <c r="D399" s="11"/>
      <c r="E399" s="11"/>
      <c r="I399" s="10"/>
      <c r="J399" s="10"/>
      <c r="K399" s="11"/>
      <c r="L399" s="11"/>
      <c r="M399" s="11"/>
    </row>
    <row r="400" spans="3:13" x14ac:dyDescent="0.3">
      <c r="C400" s="10"/>
      <c r="D400" s="11"/>
      <c r="E400" s="11"/>
      <c r="I400" s="10"/>
      <c r="J400" s="10"/>
      <c r="K400" s="11"/>
      <c r="L400" s="11"/>
      <c r="M400" s="11"/>
    </row>
    <row r="401" spans="3:13" x14ac:dyDescent="0.3">
      <c r="C401" s="10"/>
      <c r="D401" s="11"/>
      <c r="E401" s="11"/>
      <c r="I401" s="10"/>
      <c r="J401" s="10"/>
      <c r="K401" s="11"/>
      <c r="L401" s="11"/>
      <c r="M401" s="11"/>
    </row>
    <row r="402" spans="3:13" x14ac:dyDescent="0.3">
      <c r="C402" s="10"/>
      <c r="D402" s="11"/>
      <c r="E402" s="11"/>
      <c r="I402" s="10"/>
      <c r="J402" s="10"/>
      <c r="K402" s="11"/>
      <c r="L402" s="11"/>
      <c r="M402" s="11"/>
    </row>
    <row r="403" spans="3:13" x14ac:dyDescent="0.3">
      <c r="C403" s="10"/>
      <c r="D403" s="11"/>
      <c r="E403" s="11"/>
      <c r="I403" s="10"/>
      <c r="J403" s="10"/>
      <c r="K403" s="11"/>
      <c r="L403" s="11"/>
      <c r="M403" s="11"/>
    </row>
    <row r="404" spans="3:13" x14ac:dyDescent="0.3">
      <c r="C404" s="10"/>
      <c r="D404" s="11"/>
      <c r="E404" s="11"/>
      <c r="I404" s="10"/>
      <c r="J404" s="10"/>
      <c r="K404" s="11"/>
      <c r="L404" s="11"/>
      <c r="M404" s="11"/>
    </row>
    <row r="405" spans="3:13" x14ac:dyDescent="0.3">
      <c r="C405" s="10"/>
      <c r="D405" s="11"/>
      <c r="E405" s="11"/>
      <c r="I405" s="10"/>
      <c r="J405" s="10"/>
      <c r="K405" s="11"/>
      <c r="L405" s="11"/>
      <c r="M405" s="11"/>
    </row>
    <row r="406" spans="3:13" x14ac:dyDescent="0.3">
      <c r="C406" s="10"/>
      <c r="D406" s="11"/>
      <c r="E406" s="11"/>
      <c r="I406" s="10"/>
      <c r="J406" s="10"/>
      <c r="K406" s="11"/>
      <c r="L406" s="11"/>
      <c r="M406" s="11"/>
    </row>
    <row r="407" spans="3:13" x14ac:dyDescent="0.3">
      <c r="C407" s="10"/>
      <c r="D407" s="11"/>
      <c r="E407" s="11"/>
      <c r="I407" s="10"/>
      <c r="J407" s="10"/>
      <c r="K407" s="11"/>
      <c r="L407" s="11"/>
      <c r="M407" s="11"/>
    </row>
    <row r="408" spans="3:13" x14ac:dyDescent="0.3">
      <c r="C408" s="10"/>
      <c r="D408" s="11"/>
      <c r="E408" s="11"/>
      <c r="I408" s="10"/>
      <c r="J408" s="10"/>
      <c r="K408" s="11"/>
      <c r="L408" s="11"/>
      <c r="M408" s="11"/>
    </row>
    <row r="409" spans="3:13" x14ac:dyDescent="0.3">
      <c r="C409" s="10"/>
      <c r="D409" s="11"/>
      <c r="E409" s="11"/>
      <c r="I409" s="10"/>
      <c r="J409" s="10"/>
      <c r="K409" s="11"/>
      <c r="L409" s="11"/>
      <c r="M409" s="11"/>
    </row>
    <row r="410" spans="3:13" x14ac:dyDescent="0.3">
      <c r="C410" s="10"/>
      <c r="D410" s="11"/>
      <c r="E410" s="11"/>
      <c r="I410" s="10"/>
      <c r="J410" s="10"/>
      <c r="K410" s="11"/>
      <c r="L410" s="11"/>
      <c r="M410" s="11"/>
    </row>
    <row r="411" spans="3:13" x14ac:dyDescent="0.3">
      <c r="C411" s="10"/>
      <c r="D411" s="11"/>
      <c r="E411" s="11"/>
      <c r="I411" s="10"/>
      <c r="J411" s="10"/>
      <c r="K411" s="11"/>
      <c r="L411" s="11"/>
      <c r="M411" s="11"/>
    </row>
    <row r="412" spans="3:13" x14ac:dyDescent="0.3">
      <c r="C412" s="10"/>
      <c r="D412" s="11"/>
      <c r="E412" s="11"/>
      <c r="I412" s="10"/>
      <c r="J412" s="10"/>
      <c r="K412" s="11"/>
      <c r="L412" s="11"/>
      <c r="M412" s="11"/>
    </row>
    <row r="413" spans="3:13" x14ac:dyDescent="0.3">
      <c r="C413" s="10"/>
      <c r="D413" s="11"/>
      <c r="E413" s="11"/>
      <c r="I413" s="10"/>
      <c r="J413" s="10"/>
      <c r="K413" s="11"/>
      <c r="L413" s="11"/>
      <c r="M413" s="11"/>
    </row>
    <row r="414" spans="3:13" x14ac:dyDescent="0.3">
      <c r="C414" s="10"/>
      <c r="D414" s="11"/>
      <c r="E414" s="11"/>
      <c r="I414" s="10"/>
      <c r="J414" s="10"/>
      <c r="K414" s="11"/>
      <c r="L414" s="11"/>
      <c r="M414" s="11"/>
    </row>
    <row r="415" spans="3:13" x14ac:dyDescent="0.3">
      <c r="C415" s="10"/>
      <c r="D415" s="11"/>
      <c r="E415" s="11"/>
      <c r="I415" s="10"/>
      <c r="J415" s="10"/>
      <c r="K415" s="11"/>
      <c r="L415" s="11"/>
      <c r="M415" s="11"/>
    </row>
    <row r="416" spans="3:13" x14ac:dyDescent="0.3">
      <c r="C416" s="10"/>
      <c r="D416" s="11"/>
      <c r="E416" s="11"/>
      <c r="I416" s="10"/>
      <c r="J416" s="10"/>
      <c r="K416" s="11"/>
      <c r="L416" s="11"/>
      <c r="M416" s="11"/>
    </row>
    <row r="417" spans="3:13" x14ac:dyDescent="0.3">
      <c r="C417" s="10"/>
      <c r="D417" s="11"/>
      <c r="E417" s="11"/>
      <c r="I417" s="10"/>
      <c r="J417" s="10"/>
      <c r="K417" s="11"/>
      <c r="L417" s="11"/>
      <c r="M417" s="11"/>
    </row>
    <row r="418" spans="3:13" x14ac:dyDescent="0.3">
      <c r="C418" s="10"/>
      <c r="D418" s="11"/>
      <c r="E418" s="11"/>
      <c r="I418" s="10"/>
      <c r="J418" s="10"/>
      <c r="K418" s="11"/>
      <c r="L418" s="11"/>
      <c r="M418" s="11"/>
    </row>
    <row r="419" spans="3:13" x14ac:dyDescent="0.3">
      <c r="C419" s="10"/>
      <c r="D419" s="11"/>
      <c r="E419" s="11"/>
      <c r="I419" s="10"/>
      <c r="J419" s="10"/>
      <c r="K419" s="11"/>
      <c r="L419" s="11"/>
      <c r="M419" s="11"/>
    </row>
    <row r="420" spans="3:13" x14ac:dyDescent="0.3">
      <c r="C420" s="10"/>
      <c r="D420" s="11"/>
      <c r="E420" s="11"/>
      <c r="I420" s="10"/>
      <c r="J420" s="10"/>
      <c r="K420" s="11"/>
      <c r="L420" s="11"/>
      <c r="M420" s="11"/>
    </row>
    <row r="421" spans="3:13" x14ac:dyDescent="0.3">
      <c r="C421" s="10"/>
      <c r="D421" s="11"/>
      <c r="E421" s="11"/>
      <c r="I421" s="10"/>
      <c r="J421" s="10"/>
      <c r="K421" s="11"/>
      <c r="L421" s="11"/>
      <c r="M421" s="11"/>
    </row>
    <row r="422" spans="3:13" x14ac:dyDescent="0.3">
      <c r="C422" s="10"/>
      <c r="D422" s="11"/>
      <c r="E422" s="11"/>
      <c r="I422" s="10"/>
      <c r="J422" s="10"/>
      <c r="K422" s="11"/>
      <c r="L422" s="11"/>
      <c r="M422" s="11"/>
    </row>
    <row r="423" spans="3:13" x14ac:dyDescent="0.3">
      <c r="C423" s="10"/>
      <c r="D423" s="11"/>
      <c r="E423" s="11"/>
      <c r="I423" s="10"/>
      <c r="J423" s="10"/>
      <c r="K423" s="11"/>
      <c r="L423" s="11"/>
      <c r="M423" s="11"/>
    </row>
    <row r="424" spans="3:13" x14ac:dyDescent="0.3">
      <c r="C424" s="10"/>
      <c r="D424" s="11"/>
      <c r="E424" s="11"/>
      <c r="I424" s="10"/>
      <c r="J424" s="10"/>
      <c r="K424" s="11"/>
      <c r="L424" s="11"/>
      <c r="M424" s="11"/>
    </row>
    <row r="425" spans="3:13" x14ac:dyDescent="0.3">
      <c r="C425" s="10"/>
      <c r="D425" s="11"/>
      <c r="E425" s="11"/>
      <c r="I425" s="10"/>
      <c r="J425" s="10"/>
      <c r="K425" s="11"/>
      <c r="L425" s="11"/>
      <c r="M425" s="11"/>
    </row>
    <row r="426" spans="3:13" x14ac:dyDescent="0.3">
      <c r="C426" s="10"/>
      <c r="D426" s="11"/>
      <c r="E426" s="11"/>
      <c r="I426" s="10"/>
      <c r="J426" s="10"/>
      <c r="K426" s="11"/>
      <c r="L426" s="11"/>
      <c r="M426" s="11"/>
    </row>
    <row r="427" spans="3:13" x14ac:dyDescent="0.3">
      <c r="C427" s="10"/>
      <c r="D427" s="11"/>
      <c r="E427" s="11"/>
      <c r="I427" s="10"/>
      <c r="J427" s="10"/>
      <c r="K427" s="11"/>
      <c r="L427" s="11"/>
      <c r="M427" s="11"/>
    </row>
    <row r="428" spans="3:13" x14ac:dyDescent="0.3">
      <c r="C428" s="10"/>
      <c r="D428" s="11"/>
      <c r="E428" s="11"/>
      <c r="I428" s="10"/>
      <c r="J428" s="10"/>
      <c r="K428" s="11"/>
      <c r="L428" s="11"/>
      <c r="M428" s="11"/>
    </row>
    <row r="429" spans="3:13" x14ac:dyDescent="0.3">
      <c r="C429" s="10"/>
      <c r="D429" s="11"/>
      <c r="E429" s="11"/>
      <c r="I429" s="10"/>
      <c r="J429" s="10"/>
      <c r="K429" s="11"/>
      <c r="L429" s="11"/>
      <c r="M429" s="11"/>
    </row>
    <row r="430" spans="3:13" x14ac:dyDescent="0.3">
      <c r="C430" s="10"/>
      <c r="D430" s="11"/>
      <c r="E430" s="11"/>
      <c r="I430" s="10"/>
      <c r="J430" s="10"/>
      <c r="K430" s="11"/>
      <c r="L430" s="11"/>
      <c r="M430" s="11"/>
    </row>
    <row r="431" spans="3:13" x14ac:dyDescent="0.3">
      <c r="C431" s="10"/>
      <c r="D431" s="11"/>
      <c r="E431" s="11"/>
      <c r="I431" s="10"/>
      <c r="J431" s="10"/>
      <c r="K431" s="11"/>
      <c r="L431" s="11"/>
      <c r="M431" s="11"/>
    </row>
    <row r="432" spans="3:13" x14ac:dyDescent="0.3">
      <c r="C432" s="10"/>
      <c r="D432" s="11"/>
      <c r="E432" s="11"/>
      <c r="I432" s="10"/>
      <c r="J432" s="10"/>
      <c r="K432" s="11"/>
      <c r="L432" s="11"/>
      <c r="M432" s="11"/>
    </row>
    <row r="433" spans="3:13" x14ac:dyDescent="0.3">
      <c r="C433" s="10"/>
      <c r="D433" s="11"/>
      <c r="E433" s="11"/>
      <c r="I433" s="10"/>
      <c r="J433" s="10"/>
      <c r="K433" s="11"/>
      <c r="L433" s="11"/>
      <c r="M433" s="11"/>
    </row>
    <row r="434" spans="3:13" x14ac:dyDescent="0.3">
      <c r="C434" s="10"/>
      <c r="D434" s="11"/>
      <c r="E434" s="11"/>
      <c r="I434" s="10"/>
      <c r="J434" s="10"/>
      <c r="K434" s="11"/>
      <c r="L434" s="11"/>
      <c r="M434" s="11"/>
    </row>
    <row r="435" spans="3:13" x14ac:dyDescent="0.3">
      <c r="C435" s="10"/>
      <c r="D435" s="11"/>
      <c r="E435" s="11"/>
      <c r="I435" s="10"/>
      <c r="J435" s="10"/>
      <c r="K435" s="11"/>
      <c r="L435" s="11"/>
      <c r="M435" s="11"/>
    </row>
    <row r="436" spans="3:13" x14ac:dyDescent="0.3">
      <c r="C436" s="10"/>
      <c r="D436" s="11"/>
      <c r="E436" s="11"/>
      <c r="I436" s="10"/>
      <c r="J436" s="10"/>
      <c r="K436" s="11"/>
      <c r="L436" s="11"/>
      <c r="M436" s="11"/>
    </row>
    <row r="437" spans="3:13" x14ac:dyDescent="0.3">
      <c r="C437" s="10"/>
      <c r="D437" s="11"/>
      <c r="E437" s="11"/>
      <c r="I437" s="10"/>
      <c r="J437" s="10"/>
      <c r="K437" s="11"/>
      <c r="L437" s="11"/>
      <c r="M437" s="11"/>
    </row>
    <row r="438" spans="3:13" x14ac:dyDescent="0.3">
      <c r="C438" s="10"/>
      <c r="D438" s="11"/>
      <c r="E438" s="11"/>
      <c r="I438" s="10"/>
      <c r="J438" s="10"/>
      <c r="K438" s="11"/>
      <c r="L438" s="11"/>
      <c r="M438" s="11"/>
    </row>
    <row r="439" spans="3:13" x14ac:dyDescent="0.3">
      <c r="C439" s="10"/>
      <c r="D439" s="11"/>
      <c r="E439" s="11"/>
      <c r="I439" s="10"/>
      <c r="J439" s="10"/>
      <c r="K439" s="11"/>
      <c r="L439" s="11"/>
      <c r="M439" s="11"/>
    </row>
    <row r="440" spans="3:13" x14ac:dyDescent="0.3">
      <c r="C440" s="10"/>
      <c r="D440" s="11"/>
      <c r="E440" s="11"/>
      <c r="I440" s="10"/>
      <c r="J440" s="10"/>
      <c r="K440" s="11"/>
      <c r="L440" s="11"/>
      <c r="M440" s="11"/>
    </row>
    <row r="441" spans="3:13" x14ac:dyDescent="0.3">
      <c r="C441" s="10"/>
      <c r="D441" s="11"/>
      <c r="E441" s="11"/>
      <c r="I441" s="10"/>
      <c r="J441" s="10"/>
      <c r="K441" s="11"/>
      <c r="L441" s="11"/>
      <c r="M441" s="11"/>
    </row>
    <row r="442" spans="3:13" x14ac:dyDescent="0.3">
      <c r="C442" s="10"/>
      <c r="D442" s="11"/>
      <c r="E442" s="11"/>
      <c r="I442" s="10"/>
      <c r="J442" s="10"/>
      <c r="K442" s="11"/>
      <c r="L442" s="11"/>
      <c r="M442" s="11"/>
    </row>
    <row r="443" spans="3:13" x14ac:dyDescent="0.3">
      <c r="C443" s="10"/>
      <c r="D443" s="11"/>
      <c r="E443" s="11"/>
      <c r="I443" s="10"/>
      <c r="J443" s="10"/>
      <c r="K443" s="11"/>
      <c r="L443" s="11"/>
      <c r="M443" s="11"/>
    </row>
    <row r="444" spans="3:13" x14ac:dyDescent="0.3">
      <c r="C444" s="10"/>
      <c r="D444" s="11"/>
      <c r="E444" s="11"/>
      <c r="I444" s="10"/>
      <c r="J444" s="10"/>
      <c r="K444" s="11"/>
      <c r="L444" s="11"/>
      <c r="M444" s="11"/>
    </row>
    <row r="445" spans="3:13" x14ac:dyDescent="0.3">
      <c r="C445" s="10"/>
      <c r="D445" s="11"/>
      <c r="E445" s="11"/>
      <c r="I445" s="10"/>
      <c r="J445" s="10"/>
      <c r="K445" s="11"/>
      <c r="L445" s="11"/>
      <c r="M445" s="11"/>
    </row>
    <row r="446" spans="3:13" x14ac:dyDescent="0.3">
      <c r="C446" s="10"/>
      <c r="D446" s="11"/>
      <c r="E446" s="11"/>
      <c r="I446" s="10"/>
      <c r="J446" s="10"/>
      <c r="K446" s="11"/>
      <c r="L446" s="11"/>
      <c r="M446" s="11"/>
    </row>
    <row r="447" spans="3:13" x14ac:dyDescent="0.3">
      <c r="C447" s="10"/>
      <c r="D447" s="11"/>
      <c r="E447" s="11"/>
      <c r="I447" s="10"/>
      <c r="J447" s="10"/>
      <c r="K447" s="11"/>
      <c r="L447" s="11"/>
      <c r="M447" s="11"/>
    </row>
    <row r="448" spans="3:13" x14ac:dyDescent="0.3">
      <c r="C448" s="10"/>
      <c r="D448" s="11"/>
      <c r="E448" s="11"/>
      <c r="I448" s="10"/>
      <c r="J448" s="10"/>
      <c r="K448" s="11"/>
      <c r="L448" s="11"/>
      <c r="M448" s="11"/>
    </row>
    <row r="449" spans="3:13" x14ac:dyDescent="0.3">
      <c r="C449" s="10"/>
      <c r="D449" s="11"/>
      <c r="E449" s="11"/>
      <c r="I449" s="10"/>
      <c r="J449" s="10"/>
      <c r="K449" s="11"/>
      <c r="L449" s="11"/>
      <c r="M449" s="11"/>
    </row>
    <row r="450" spans="3:13" x14ac:dyDescent="0.3">
      <c r="C450" s="10"/>
      <c r="D450" s="11"/>
      <c r="E450" s="11"/>
      <c r="I450" s="10"/>
      <c r="J450" s="10"/>
      <c r="K450" s="11"/>
      <c r="L450" s="11"/>
      <c r="M450" s="11"/>
    </row>
    <row r="451" spans="3:13" x14ac:dyDescent="0.3">
      <c r="C451" s="10"/>
      <c r="D451" s="11"/>
      <c r="E451" s="11"/>
      <c r="I451" s="10"/>
      <c r="J451" s="10"/>
      <c r="K451" s="11"/>
      <c r="L451" s="11"/>
      <c r="M451" s="11"/>
    </row>
    <row r="452" spans="3:13" x14ac:dyDescent="0.3">
      <c r="C452" s="10"/>
      <c r="D452" s="11"/>
      <c r="E452" s="11"/>
      <c r="I452" s="10"/>
      <c r="J452" s="10"/>
      <c r="K452" s="11"/>
      <c r="L452" s="11"/>
      <c r="M452" s="11"/>
    </row>
    <row r="453" spans="3:13" x14ac:dyDescent="0.3">
      <c r="C453" s="10"/>
      <c r="D453" s="11"/>
      <c r="E453" s="11"/>
      <c r="I453" s="10"/>
      <c r="J453" s="10"/>
      <c r="K453" s="11"/>
      <c r="L453" s="11"/>
      <c r="M453" s="11"/>
    </row>
    <row r="454" spans="3:13" x14ac:dyDescent="0.3">
      <c r="C454" s="10"/>
      <c r="D454" s="11"/>
      <c r="E454" s="11"/>
      <c r="I454" s="10"/>
      <c r="J454" s="10"/>
      <c r="K454" s="11"/>
      <c r="L454" s="11"/>
      <c r="M454" s="11"/>
    </row>
    <row r="455" spans="3:13" x14ac:dyDescent="0.3">
      <c r="C455" s="10"/>
      <c r="D455" s="11"/>
      <c r="E455" s="11"/>
      <c r="I455" s="10"/>
      <c r="J455" s="10"/>
      <c r="K455" s="11"/>
      <c r="L455" s="11"/>
      <c r="M455" s="11"/>
    </row>
    <row r="456" spans="3:13" x14ac:dyDescent="0.3">
      <c r="C456" s="10"/>
      <c r="D456" s="11"/>
      <c r="E456" s="11"/>
      <c r="I456" s="10"/>
      <c r="J456" s="10"/>
      <c r="K456" s="11"/>
      <c r="L456" s="11"/>
      <c r="M456" s="11"/>
    </row>
    <row r="457" spans="3:13" x14ac:dyDescent="0.3">
      <c r="C457" s="10"/>
      <c r="D457" s="11"/>
      <c r="E457" s="11"/>
      <c r="I457" s="10"/>
      <c r="J457" s="10"/>
      <c r="K457" s="11"/>
      <c r="L457" s="11"/>
      <c r="M457" s="11"/>
    </row>
    <row r="458" spans="3:13" x14ac:dyDescent="0.3">
      <c r="C458" s="10"/>
      <c r="D458" s="11"/>
      <c r="E458" s="11"/>
      <c r="I458" s="10"/>
      <c r="J458" s="10"/>
      <c r="K458" s="11"/>
      <c r="L458" s="11"/>
      <c r="M458" s="11"/>
    </row>
    <row r="459" spans="3:13" x14ac:dyDescent="0.3">
      <c r="C459" s="10"/>
      <c r="D459" s="11"/>
      <c r="E459" s="11"/>
      <c r="I459" s="10"/>
      <c r="J459" s="10"/>
      <c r="K459" s="11"/>
      <c r="L459" s="11"/>
      <c r="M459" s="11"/>
    </row>
    <row r="460" spans="3:13" x14ac:dyDescent="0.3">
      <c r="C460" s="10"/>
      <c r="D460" s="11"/>
      <c r="E460" s="11"/>
      <c r="I460" s="10"/>
      <c r="J460" s="10"/>
      <c r="K460" s="11"/>
      <c r="L460" s="11"/>
      <c r="M460" s="11"/>
    </row>
    <row r="461" spans="3:13" x14ac:dyDescent="0.3">
      <c r="C461" s="10"/>
      <c r="D461" s="11"/>
      <c r="E461" s="11"/>
      <c r="I461" s="10"/>
      <c r="J461" s="10"/>
      <c r="K461" s="11"/>
      <c r="L461" s="11"/>
      <c r="M461" s="11"/>
    </row>
    <row r="462" spans="3:13" x14ac:dyDescent="0.3">
      <c r="C462" s="10"/>
      <c r="D462" s="11"/>
      <c r="E462" s="11"/>
      <c r="I462" s="10"/>
      <c r="J462" s="10"/>
      <c r="K462" s="11"/>
      <c r="L462" s="11"/>
      <c r="M462" s="11"/>
    </row>
    <row r="463" spans="3:13" x14ac:dyDescent="0.3">
      <c r="C463" s="10"/>
      <c r="D463" s="11"/>
      <c r="E463" s="11"/>
      <c r="I463" s="10"/>
      <c r="J463" s="10"/>
      <c r="K463" s="11"/>
      <c r="L463" s="11"/>
      <c r="M463" s="11"/>
    </row>
    <row r="464" spans="3:13" x14ac:dyDescent="0.3">
      <c r="C464" s="10"/>
      <c r="D464" s="11"/>
      <c r="E464" s="11"/>
      <c r="I464" s="10"/>
      <c r="J464" s="10"/>
      <c r="K464" s="11"/>
      <c r="L464" s="11"/>
      <c r="M464" s="11"/>
    </row>
    <row r="465" spans="3:13" x14ac:dyDescent="0.3">
      <c r="C465" s="10"/>
      <c r="D465" s="11"/>
      <c r="E465" s="11"/>
      <c r="I465" s="10"/>
      <c r="J465" s="10"/>
      <c r="K465" s="11"/>
      <c r="L465" s="11"/>
      <c r="M465" s="11"/>
    </row>
    <row r="466" spans="3:13" x14ac:dyDescent="0.3">
      <c r="C466" s="10"/>
      <c r="D466" s="11"/>
      <c r="E466" s="11"/>
      <c r="I466" s="10"/>
      <c r="J466" s="10"/>
      <c r="K466" s="11"/>
      <c r="L466" s="11"/>
      <c r="M466" s="11"/>
    </row>
    <row r="467" spans="3:13" x14ac:dyDescent="0.3">
      <c r="C467" s="10"/>
      <c r="D467" s="11"/>
      <c r="E467" s="11"/>
      <c r="I467" s="10"/>
      <c r="J467" s="10"/>
      <c r="K467" s="11"/>
      <c r="L467" s="11"/>
      <c r="M467" s="11"/>
    </row>
    <row r="468" spans="3:13" x14ac:dyDescent="0.3">
      <c r="C468" s="10"/>
      <c r="D468" s="11"/>
      <c r="E468" s="11"/>
      <c r="I468" s="10"/>
      <c r="J468" s="10"/>
      <c r="K468" s="11"/>
      <c r="L468" s="11"/>
      <c r="M468" s="11"/>
    </row>
    <row r="469" spans="3:13" x14ac:dyDescent="0.3">
      <c r="C469" s="10"/>
      <c r="D469" s="11"/>
      <c r="E469" s="11"/>
      <c r="I469" s="10"/>
      <c r="J469" s="10"/>
      <c r="K469" s="11"/>
      <c r="L469" s="11"/>
      <c r="M469" s="11"/>
    </row>
    <row r="470" spans="3:13" x14ac:dyDescent="0.3">
      <c r="C470" s="10"/>
      <c r="D470" s="11"/>
      <c r="E470" s="11"/>
      <c r="I470" s="10"/>
      <c r="J470" s="10"/>
      <c r="K470" s="11"/>
      <c r="L470" s="11"/>
      <c r="M470" s="11"/>
    </row>
    <row r="471" spans="3:13" x14ac:dyDescent="0.3">
      <c r="C471" s="10"/>
      <c r="D471" s="11"/>
      <c r="E471" s="11"/>
      <c r="I471" s="10"/>
      <c r="J471" s="10"/>
      <c r="K471" s="11"/>
      <c r="L471" s="11"/>
      <c r="M471" s="11"/>
    </row>
    <row r="472" spans="3:13" x14ac:dyDescent="0.3">
      <c r="C472" s="10"/>
      <c r="D472" s="11"/>
      <c r="E472" s="11"/>
      <c r="I472" s="10"/>
      <c r="J472" s="10"/>
      <c r="K472" s="11"/>
      <c r="L472" s="11"/>
      <c r="M472" s="11"/>
    </row>
    <row r="473" spans="3:13" x14ac:dyDescent="0.3">
      <c r="C473" s="10"/>
      <c r="D473" s="11"/>
      <c r="E473" s="11"/>
      <c r="I473" s="10"/>
      <c r="J473" s="10"/>
      <c r="K473" s="11"/>
      <c r="L473" s="11"/>
      <c r="M473" s="11"/>
    </row>
    <row r="474" spans="3:13" x14ac:dyDescent="0.3">
      <c r="C474" s="10"/>
      <c r="D474" s="11"/>
      <c r="E474" s="11"/>
      <c r="I474" s="10"/>
      <c r="J474" s="10"/>
      <c r="K474" s="11"/>
      <c r="L474" s="11"/>
      <c r="M474" s="11"/>
    </row>
    <row r="475" spans="3:13" x14ac:dyDescent="0.3">
      <c r="C475" s="10"/>
      <c r="D475" s="11"/>
      <c r="E475" s="11"/>
      <c r="I475" s="10"/>
      <c r="J475" s="10"/>
      <c r="K475" s="11"/>
      <c r="L475" s="11"/>
      <c r="M475" s="11"/>
    </row>
    <row r="476" spans="3:13" x14ac:dyDescent="0.3">
      <c r="C476" s="10"/>
      <c r="D476" s="11"/>
      <c r="E476" s="11"/>
      <c r="I476" s="10"/>
      <c r="J476" s="10"/>
      <c r="K476" s="11"/>
      <c r="L476" s="11"/>
      <c r="M476" s="11"/>
    </row>
    <row r="477" spans="3:13" x14ac:dyDescent="0.3">
      <c r="C477" s="10"/>
      <c r="D477" s="11"/>
      <c r="E477" s="11"/>
      <c r="I477" s="10"/>
      <c r="J477" s="10"/>
      <c r="K477" s="11"/>
      <c r="L477" s="11"/>
      <c r="M477" s="11"/>
    </row>
    <row r="478" spans="3:13" x14ac:dyDescent="0.3">
      <c r="C478" s="10"/>
      <c r="D478" s="11"/>
      <c r="E478" s="11"/>
      <c r="I478" s="10"/>
      <c r="J478" s="10"/>
      <c r="K478" s="11"/>
      <c r="L478" s="11"/>
      <c r="M478" s="11"/>
    </row>
    <row r="479" spans="3:13" x14ac:dyDescent="0.3">
      <c r="C479" s="10"/>
      <c r="D479" s="11"/>
      <c r="E479" s="11"/>
      <c r="I479" s="10"/>
      <c r="J479" s="10"/>
      <c r="K479" s="11"/>
      <c r="L479" s="11"/>
      <c r="M479" s="11"/>
    </row>
    <row r="480" spans="3:13" x14ac:dyDescent="0.3">
      <c r="C480" s="10"/>
      <c r="D480" s="11"/>
      <c r="E480" s="11"/>
      <c r="I480" s="10"/>
      <c r="J480" s="10"/>
      <c r="K480" s="11"/>
      <c r="L480" s="11"/>
      <c r="M480" s="11"/>
    </row>
    <row r="481" spans="3:13" x14ac:dyDescent="0.3">
      <c r="C481" s="10"/>
      <c r="D481" s="11"/>
      <c r="E481" s="11"/>
      <c r="I481" s="10"/>
      <c r="J481" s="10"/>
      <c r="K481" s="11"/>
      <c r="L481" s="11"/>
      <c r="M481" s="11"/>
    </row>
    <row r="482" spans="3:13" x14ac:dyDescent="0.3">
      <c r="C482" s="10"/>
      <c r="D482" s="11"/>
      <c r="E482" s="11"/>
      <c r="I482" s="10"/>
      <c r="J482" s="10"/>
      <c r="K482" s="11"/>
      <c r="L482" s="11"/>
      <c r="M482" s="11"/>
    </row>
    <row r="483" spans="3:13" x14ac:dyDescent="0.3">
      <c r="C483" s="10"/>
      <c r="D483" s="11"/>
      <c r="E483" s="11"/>
      <c r="I483" s="10"/>
      <c r="J483" s="10"/>
      <c r="K483" s="11"/>
      <c r="L483" s="11"/>
      <c r="M483" s="11"/>
    </row>
    <row r="484" spans="3:13" x14ac:dyDescent="0.3">
      <c r="C484" s="10"/>
      <c r="D484" s="11"/>
      <c r="E484" s="11"/>
      <c r="I484" s="10"/>
      <c r="J484" s="10"/>
      <c r="K484" s="11"/>
      <c r="L484" s="11"/>
      <c r="M484" s="11"/>
    </row>
    <row r="485" spans="3:13" x14ac:dyDescent="0.3">
      <c r="C485" s="10"/>
      <c r="D485" s="11"/>
      <c r="E485" s="11"/>
      <c r="I485" s="10"/>
      <c r="J485" s="10"/>
      <c r="K485" s="11"/>
      <c r="L485" s="11"/>
      <c r="M485" s="11"/>
    </row>
    <row r="486" spans="3:13" x14ac:dyDescent="0.3">
      <c r="C486" s="10"/>
      <c r="D486" s="11"/>
      <c r="E486" s="11"/>
      <c r="I486" s="10"/>
      <c r="J486" s="10"/>
      <c r="K486" s="11"/>
      <c r="L486" s="11"/>
      <c r="M486" s="11"/>
    </row>
    <row r="487" spans="3:13" x14ac:dyDescent="0.3">
      <c r="C487" s="10"/>
      <c r="D487" s="11"/>
      <c r="E487" s="11"/>
      <c r="I487" s="10"/>
      <c r="J487" s="10"/>
      <c r="K487" s="11"/>
      <c r="L487" s="11"/>
      <c r="M487" s="11"/>
    </row>
    <row r="488" spans="3:13" x14ac:dyDescent="0.3">
      <c r="C488" s="10"/>
      <c r="D488" s="11"/>
      <c r="E488" s="11"/>
      <c r="I488" s="10"/>
      <c r="J488" s="10"/>
      <c r="K488" s="11"/>
      <c r="L488" s="11"/>
      <c r="M488" s="11"/>
    </row>
    <row r="489" spans="3:13" x14ac:dyDescent="0.3">
      <c r="C489" s="10"/>
      <c r="D489" s="11"/>
      <c r="E489" s="11"/>
      <c r="I489" s="10"/>
      <c r="J489" s="10"/>
      <c r="K489" s="11"/>
      <c r="L489" s="11"/>
      <c r="M489" s="11"/>
    </row>
    <row r="490" spans="3:13" x14ac:dyDescent="0.3">
      <c r="C490" s="10"/>
      <c r="D490" s="11"/>
      <c r="E490" s="11"/>
      <c r="I490" s="10"/>
      <c r="J490" s="10"/>
      <c r="K490" s="11"/>
      <c r="L490" s="11"/>
      <c r="M490" s="11"/>
    </row>
    <row r="491" spans="3:13" x14ac:dyDescent="0.3">
      <c r="C491" s="10"/>
      <c r="D491" s="11"/>
      <c r="E491" s="11"/>
      <c r="I491" s="10"/>
      <c r="J491" s="10"/>
      <c r="K491" s="11"/>
      <c r="L491" s="11"/>
      <c r="M491" s="11"/>
    </row>
    <row r="492" spans="3:13" x14ac:dyDescent="0.3">
      <c r="C492" s="10"/>
      <c r="D492" s="11"/>
      <c r="E492" s="11"/>
      <c r="I492" s="10"/>
      <c r="J492" s="10"/>
      <c r="K492" s="11"/>
      <c r="L492" s="11"/>
      <c r="M492" s="11"/>
    </row>
    <row r="493" spans="3:13" x14ac:dyDescent="0.3">
      <c r="C493" s="10"/>
      <c r="D493" s="11"/>
      <c r="E493" s="11"/>
      <c r="I493" s="10"/>
      <c r="J493" s="10"/>
      <c r="K493" s="11"/>
      <c r="L493" s="11"/>
      <c r="M493" s="11"/>
    </row>
    <row r="494" spans="3:13" x14ac:dyDescent="0.3">
      <c r="C494" s="10"/>
      <c r="D494" s="11"/>
      <c r="E494" s="11"/>
      <c r="I494" s="10"/>
      <c r="J494" s="10"/>
      <c r="K494" s="11"/>
      <c r="L494" s="11"/>
      <c r="M494" s="11"/>
    </row>
    <row r="495" spans="3:13" x14ac:dyDescent="0.3">
      <c r="C495" s="10"/>
      <c r="D495" s="11"/>
      <c r="E495" s="11"/>
      <c r="I495" s="10"/>
      <c r="J495" s="10"/>
      <c r="K495" s="11"/>
      <c r="L495" s="11"/>
      <c r="M495" s="11"/>
    </row>
    <row r="496" spans="3:13" x14ac:dyDescent="0.3">
      <c r="C496" s="10"/>
      <c r="D496" s="11"/>
      <c r="E496" s="11"/>
      <c r="I496" s="10"/>
      <c r="J496" s="10"/>
      <c r="K496" s="11"/>
      <c r="L496" s="11"/>
      <c r="M496" s="11"/>
    </row>
    <row r="497" spans="3:13" x14ac:dyDescent="0.3">
      <c r="C497" s="10"/>
      <c r="D497" s="11"/>
      <c r="E497" s="11"/>
      <c r="I497" s="10"/>
      <c r="J497" s="10"/>
      <c r="K497" s="11"/>
      <c r="L497" s="11"/>
      <c r="M497" s="11"/>
    </row>
    <row r="498" spans="3:13" x14ac:dyDescent="0.3">
      <c r="C498" s="10"/>
      <c r="D498" s="11"/>
      <c r="E498" s="11"/>
      <c r="I498" s="10"/>
      <c r="J498" s="10"/>
      <c r="K498" s="11"/>
      <c r="L498" s="11"/>
      <c r="M498" s="11"/>
    </row>
    <row r="499" spans="3:13" x14ac:dyDescent="0.3">
      <c r="C499" s="10"/>
      <c r="D499" s="11"/>
      <c r="E499" s="11"/>
      <c r="I499" s="10"/>
      <c r="J499" s="10"/>
      <c r="K499" s="11"/>
      <c r="L499" s="11"/>
      <c r="M499" s="11"/>
    </row>
    <row r="500" spans="3:13" x14ac:dyDescent="0.3">
      <c r="C500" s="10"/>
      <c r="D500" s="11"/>
      <c r="E500" s="11"/>
      <c r="I500" s="10"/>
      <c r="J500" s="10"/>
      <c r="K500" s="11"/>
      <c r="L500" s="11"/>
      <c r="M500" s="11"/>
    </row>
    <row r="501" spans="3:13" x14ac:dyDescent="0.3">
      <c r="C501" s="10"/>
      <c r="D501" s="11"/>
      <c r="E501" s="11"/>
      <c r="I501" s="10"/>
      <c r="J501" s="10"/>
      <c r="K501" s="11"/>
      <c r="L501" s="11"/>
      <c r="M501" s="11"/>
    </row>
    <row r="502" spans="3:13" x14ac:dyDescent="0.3">
      <c r="C502" s="10"/>
      <c r="D502" s="11"/>
      <c r="E502" s="11"/>
      <c r="I502" s="10"/>
      <c r="J502" s="10"/>
      <c r="K502" s="11"/>
      <c r="L502" s="11"/>
      <c r="M502" s="11"/>
    </row>
    <row r="503" spans="3:13" x14ac:dyDescent="0.3">
      <c r="C503" s="10"/>
      <c r="D503" s="11"/>
      <c r="E503" s="11"/>
      <c r="I503" s="10"/>
      <c r="J503" s="10"/>
      <c r="K503" s="11"/>
      <c r="L503" s="11"/>
      <c r="M503" s="11"/>
    </row>
    <row r="504" spans="3:13" x14ac:dyDescent="0.3">
      <c r="C504" s="10"/>
      <c r="D504" s="11"/>
      <c r="E504" s="11"/>
      <c r="I504" s="10"/>
      <c r="J504" s="10"/>
      <c r="K504" s="11"/>
      <c r="L504" s="11"/>
      <c r="M504" s="11"/>
    </row>
    <row r="505" spans="3:13" x14ac:dyDescent="0.3">
      <c r="C505" s="10"/>
      <c r="D505" s="11"/>
      <c r="E505" s="11"/>
      <c r="I505" s="10"/>
      <c r="J505" s="10"/>
      <c r="K505" s="11"/>
      <c r="L505" s="11"/>
      <c r="M505" s="11"/>
    </row>
    <row r="506" spans="3:13" x14ac:dyDescent="0.3">
      <c r="C506" s="10"/>
      <c r="D506" s="11"/>
      <c r="E506" s="11"/>
      <c r="I506" s="10"/>
      <c r="J506" s="10"/>
      <c r="K506" s="11"/>
      <c r="L506" s="11"/>
      <c r="M506" s="11"/>
    </row>
    <row r="507" spans="3:13" x14ac:dyDescent="0.3">
      <c r="C507" s="10"/>
      <c r="D507" s="11"/>
      <c r="E507" s="11"/>
      <c r="I507" s="10"/>
      <c r="J507" s="10"/>
      <c r="K507" s="11"/>
      <c r="L507" s="11"/>
      <c r="M507" s="11"/>
    </row>
    <row r="508" spans="3:13" x14ac:dyDescent="0.3">
      <c r="C508" s="10"/>
      <c r="D508" s="11"/>
      <c r="E508" s="11"/>
      <c r="I508" s="10"/>
      <c r="J508" s="10"/>
      <c r="K508" s="11"/>
      <c r="L508" s="11"/>
      <c r="M508" s="11"/>
    </row>
    <row r="509" spans="3:13" x14ac:dyDescent="0.3">
      <c r="C509" s="10"/>
      <c r="D509" s="11"/>
      <c r="E509" s="11"/>
      <c r="I509" s="10"/>
      <c r="J509" s="10"/>
      <c r="K509" s="11"/>
      <c r="L509" s="11"/>
      <c r="M509" s="11"/>
    </row>
    <row r="510" spans="3:13" x14ac:dyDescent="0.3">
      <c r="C510" s="10"/>
      <c r="D510" s="11"/>
      <c r="E510" s="11"/>
      <c r="I510" s="10"/>
      <c r="J510" s="10"/>
      <c r="K510" s="11"/>
      <c r="L510" s="11"/>
      <c r="M510" s="11"/>
    </row>
    <row r="511" spans="3:13" x14ac:dyDescent="0.3">
      <c r="C511" s="10"/>
      <c r="D511" s="11"/>
      <c r="E511" s="11"/>
      <c r="I511" s="10"/>
      <c r="J511" s="10"/>
      <c r="K511" s="11"/>
      <c r="L511" s="11"/>
      <c r="M511" s="11"/>
    </row>
    <row r="512" spans="3:13" x14ac:dyDescent="0.3">
      <c r="C512" s="10"/>
      <c r="D512" s="11"/>
      <c r="E512" s="11"/>
      <c r="I512" s="10"/>
      <c r="J512" s="10"/>
      <c r="K512" s="11"/>
      <c r="L512" s="11"/>
      <c r="M512" s="11"/>
    </row>
    <row r="513" spans="3:13" x14ac:dyDescent="0.3">
      <c r="C513" s="10"/>
      <c r="D513" s="11"/>
      <c r="E513" s="11"/>
      <c r="I513" s="10"/>
      <c r="J513" s="10"/>
      <c r="K513" s="11"/>
      <c r="L513" s="11"/>
      <c r="M513" s="11"/>
    </row>
    <row r="514" spans="3:13" x14ac:dyDescent="0.3">
      <c r="C514" s="10"/>
      <c r="D514" s="11"/>
      <c r="E514" s="11"/>
      <c r="I514" s="10"/>
      <c r="J514" s="10"/>
      <c r="K514" s="11"/>
      <c r="L514" s="11"/>
      <c r="M514" s="11"/>
    </row>
    <row r="515" spans="3:13" x14ac:dyDescent="0.3">
      <c r="C515" s="10"/>
      <c r="D515" s="11"/>
      <c r="E515" s="11"/>
      <c r="I515" s="10"/>
      <c r="J515" s="10"/>
      <c r="K515" s="11"/>
      <c r="L515" s="11"/>
      <c r="M515" s="11"/>
    </row>
    <row r="516" spans="3:13" x14ac:dyDescent="0.3">
      <c r="C516" s="10"/>
      <c r="D516" s="11"/>
      <c r="E516" s="11"/>
      <c r="I516" s="10"/>
      <c r="J516" s="10"/>
      <c r="K516" s="11"/>
      <c r="L516" s="11"/>
      <c r="M516" s="11"/>
    </row>
    <row r="517" spans="3:13" x14ac:dyDescent="0.3">
      <c r="C517" s="10"/>
      <c r="D517" s="11"/>
      <c r="E517" s="11"/>
      <c r="I517" s="10"/>
      <c r="J517" s="10"/>
      <c r="K517" s="11"/>
      <c r="L517" s="11"/>
      <c r="M517" s="11"/>
    </row>
    <row r="518" spans="3:13" x14ac:dyDescent="0.3">
      <c r="C518" s="10"/>
      <c r="D518" s="11"/>
      <c r="E518" s="11"/>
      <c r="I518" s="10"/>
      <c r="J518" s="10"/>
      <c r="K518" s="11"/>
      <c r="L518" s="11"/>
      <c r="M518" s="11"/>
    </row>
    <row r="519" spans="3:13" x14ac:dyDescent="0.3">
      <c r="C519" s="10"/>
      <c r="D519" s="11"/>
      <c r="E519" s="11"/>
      <c r="I519" s="10"/>
      <c r="J519" s="10"/>
      <c r="K519" s="11"/>
      <c r="L519" s="11"/>
      <c r="M519" s="11"/>
    </row>
    <row r="520" spans="3:13" x14ac:dyDescent="0.3">
      <c r="C520" s="10"/>
      <c r="D520" s="11"/>
      <c r="E520" s="11"/>
      <c r="I520" s="10"/>
      <c r="J520" s="10"/>
      <c r="K520" s="11"/>
      <c r="L520" s="11"/>
      <c r="M520" s="11"/>
    </row>
    <row r="521" spans="3:13" x14ac:dyDescent="0.3">
      <c r="C521" s="10"/>
      <c r="D521" s="11"/>
      <c r="E521" s="11"/>
      <c r="I521" s="10"/>
      <c r="J521" s="10"/>
      <c r="K521" s="11"/>
      <c r="L521" s="11"/>
      <c r="M521" s="11"/>
    </row>
    <row r="522" spans="3:13" x14ac:dyDescent="0.3">
      <c r="C522" s="10"/>
      <c r="D522" s="11"/>
      <c r="E522" s="11"/>
      <c r="I522" s="10"/>
      <c r="J522" s="10"/>
      <c r="K522" s="11"/>
      <c r="L522" s="11"/>
      <c r="M522" s="11"/>
    </row>
    <row r="523" spans="3:13" x14ac:dyDescent="0.3">
      <c r="C523" s="10"/>
      <c r="D523" s="11"/>
      <c r="E523" s="11"/>
      <c r="I523" s="10"/>
      <c r="J523" s="10"/>
      <c r="K523" s="11"/>
      <c r="L523" s="11"/>
      <c r="M523" s="11"/>
    </row>
    <row r="524" spans="3:13" x14ac:dyDescent="0.3">
      <c r="C524" s="10"/>
      <c r="D524" s="11"/>
      <c r="E524" s="11"/>
      <c r="I524" s="10"/>
      <c r="J524" s="10"/>
      <c r="K524" s="11"/>
      <c r="L524" s="11"/>
      <c r="M524" s="11"/>
    </row>
    <row r="525" spans="3:13" x14ac:dyDescent="0.3">
      <c r="C525" s="10"/>
      <c r="D525" s="11"/>
      <c r="E525" s="11"/>
      <c r="I525" s="10"/>
      <c r="J525" s="10"/>
      <c r="K525" s="11"/>
      <c r="L525" s="11"/>
      <c r="M525" s="11"/>
    </row>
    <row r="526" spans="3:13" x14ac:dyDescent="0.3">
      <c r="C526" s="10"/>
      <c r="D526" s="11"/>
      <c r="E526" s="11"/>
      <c r="I526" s="10"/>
      <c r="J526" s="10"/>
      <c r="K526" s="11"/>
      <c r="L526" s="11"/>
      <c r="M526" s="11"/>
    </row>
    <row r="527" spans="3:13" x14ac:dyDescent="0.3">
      <c r="C527" s="10"/>
      <c r="D527" s="11"/>
      <c r="E527" s="11"/>
      <c r="I527" s="10"/>
      <c r="J527" s="10"/>
      <c r="K527" s="11"/>
      <c r="L527" s="11"/>
      <c r="M527" s="11"/>
    </row>
    <row r="528" spans="3:13" x14ac:dyDescent="0.3">
      <c r="C528" s="10"/>
      <c r="D528" s="11"/>
      <c r="E528" s="11"/>
      <c r="I528" s="10"/>
      <c r="J528" s="10"/>
      <c r="K528" s="11"/>
      <c r="L528" s="11"/>
      <c r="M528" s="11"/>
    </row>
    <row r="529" spans="3:13" x14ac:dyDescent="0.3">
      <c r="C529" s="10"/>
      <c r="D529" s="11"/>
      <c r="E529" s="11"/>
      <c r="I529" s="10"/>
      <c r="J529" s="10"/>
      <c r="K529" s="11"/>
      <c r="L529" s="11"/>
      <c r="M529" s="11"/>
    </row>
    <row r="530" spans="3:13" x14ac:dyDescent="0.3">
      <c r="C530" s="10"/>
      <c r="D530" s="11"/>
      <c r="E530" s="11"/>
      <c r="I530" s="10"/>
      <c r="J530" s="10"/>
      <c r="K530" s="11"/>
      <c r="L530" s="11"/>
      <c r="M530" s="11"/>
    </row>
    <row r="531" spans="3:13" x14ac:dyDescent="0.3">
      <c r="C531" s="10"/>
      <c r="D531" s="11"/>
      <c r="E531" s="11"/>
      <c r="I531" s="10"/>
      <c r="J531" s="10"/>
      <c r="K531" s="11"/>
      <c r="L531" s="11"/>
      <c r="M531" s="11"/>
    </row>
    <row r="532" spans="3:13" x14ac:dyDescent="0.3">
      <c r="C532" s="10"/>
      <c r="D532" s="11"/>
      <c r="E532" s="11"/>
      <c r="I532" s="10"/>
      <c r="J532" s="10"/>
      <c r="K532" s="11"/>
      <c r="L532" s="11"/>
      <c r="M532" s="11"/>
    </row>
    <row r="533" spans="3:13" x14ac:dyDescent="0.3">
      <c r="C533" s="10"/>
      <c r="D533" s="11"/>
      <c r="E533" s="11"/>
      <c r="I533" s="10"/>
      <c r="J533" s="10"/>
      <c r="K533" s="11"/>
      <c r="L533" s="11"/>
      <c r="M533" s="11"/>
    </row>
    <row r="534" spans="3:13" x14ac:dyDescent="0.3">
      <c r="C534" s="10"/>
      <c r="D534" s="11"/>
      <c r="E534" s="11"/>
      <c r="I534" s="10"/>
      <c r="J534" s="10"/>
      <c r="K534" s="11"/>
      <c r="L534" s="11"/>
      <c r="M534" s="11"/>
    </row>
    <row r="535" spans="3:13" x14ac:dyDescent="0.3">
      <c r="C535" s="10"/>
      <c r="D535" s="11"/>
      <c r="E535" s="11"/>
      <c r="I535" s="10"/>
      <c r="J535" s="10"/>
      <c r="K535" s="11"/>
      <c r="L535" s="11"/>
      <c r="M535" s="11"/>
    </row>
    <row r="536" spans="3:13" x14ac:dyDescent="0.3">
      <c r="C536" s="10"/>
      <c r="D536" s="11"/>
      <c r="E536" s="11"/>
      <c r="I536" s="10"/>
      <c r="J536" s="10"/>
      <c r="K536" s="11"/>
      <c r="L536" s="11"/>
      <c r="M536" s="11"/>
    </row>
    <row r="537" spans="3:13" x14ac:dyDescent="0.3">
      <c r="C537" s="10"/>
      <c r="D537" s="11"/>
      <c r="E537" s="11"/>
      <c r="I537" s="10"/>
      <c r="J537" s="10"/>
      <c r="K537" s="11"/>
      <c r="L537" s="11"/>
      <c r="M537" s="11"/>
    </row>
    <row r="538" spans="3:13" x14ac:dyDescent="0.3">
      <c r="C538" s="10"/>
      <c r="D538" s="11"/>
      <c r="E538" s="11"/>
      <c r="I538" s="10"/>
      <c r="J538" s="10"/>
      <c r="K538" s="11"/>
      <c r="L538" s="11"/>
      <c r="M538" s="11"/>
    </row>
    <row r="539" spans="3:13" x14ac:dyDescent="0.3">
      <c r="C539" s="10"/>
      <c r="D539" s="11"/>
      <c r="E539" s="11"/>
      <c r="I539" s="10"/>
      <c r="J539" s="10"/>
      <c r="K539" s="11"/>
      <c r="L539" s="11"/>
      <c r="M539" s="11"/>
    </row>
    <row r="540" spans="3:13" x14ac:dyDescent="0.3">
      <c r="C540" s="10"/>
      <c r="D540" s="11"/>
      <c r="E540" s="11"/>
      <c r="I540" s="10"/>
      <c r="J540" s="10"/>
      <c r="K540" s="11"/>
      <c r="L540" s="11"/>
      <c r="M540" s="11"/>
    </row>
    <row r="541" spans="3:13" x14ac:dyDescent="0.3">
      <c r="C541" s="10"/>
      <c r="D541" s="11"/>
      <c r="E541" s="11"/>
      <c r="I541" s="10"/>
      <c r="J541" s="10"/>
      <c r="K541" s="11"/>
      <c r="L541" s="11"/>
      <c r="M541" s="11"/>
    </row>
    <row r="542" spans="3:13" x14ac:dyDescent="0.3">
      <c r="C542" s="10"/>
      <c r="D542" s="11"/>
      <c r="E542" s="11"/>
      <c r="I542" s="10"/>
      <c r="J542" s="10"/>
      <c r="K542" s="11"/>
      <c r="L542" s="11"/>
      <c r="M542" s="11"/>
    </row>
    <row r="543" spans="3:13" x14ac:dyDescent="0.3">
      <c r="C543" s="10"/>
      <c r="D543" s="11"/>
      <c r="E543" s="11"/>
      <c r="I543" s="10"/>
      <c r="J543" s="10"/>
      <c r="K543" s="11"/>
      <c r="L543" s="11"/>
      <c r="M543" s="11"/>
    </row>
    <row r="544" spans="3:13" x14ac:dyDescent="0.3">
      <c r="C544" s="10"/>
      <c r="D544" s="11"/>
      <c r="E544" s="11"/>
      <c r="I544" s="10"/>
      <c r="J544" s="10"/>
      <c r="K544" s="11"/>
      <c r="L544" s="11"/>
      <c r="M544" s="11"/>
    </row>
    <row r="545" spans="3:13" x14ac:dyDescent="0.3">
      <c r="C545" s="10"/>
      <c r="D545" s="11"/>
      <c r="E545" s="11"/>
      <c r="I545" s="10"/>
      <c r="J545" s="10"/>
      <c r="K545" s="11"/>
      <c r="L545" s="11"/>
      <c r="M545" s="11"/>
    </row>
    <row r="546" spans="3:13" x14ac:dyDescent="0.3">
      <c r="C546" s="10"/>
      <c r="D546" s="11"/>
      <c r="E546" s="11"/>
      <c r="I546" s="10"/>
      <c r="J546" s="10"/>
      <c r="K546" s="11"/>
      <c r="L546" s="11"/>
      <c r="M546" s="11"/>
    </row>
    <row r="547" spans="3:13" x14ac:dyDescent="0.3">
      <c r="C547" s="10"/>
      <c r="D547" s="11"/>
      <c r="E547" s="11"/>
      <c r="I547" s="10"/>
      <c r="J547" s="10"/>
      <c r="K547" s="11"/>
      <c r="L547" s="11"/>
      <c r="M547" s="11"/>
    </row>
    <row r="548" spans="3:13" x14ac:dyDescent="0.3">
      <c r="C548" s="10"/>
      <c r="D548" s="11"/>
      <c r="E548" s="11"/>
      <c r="I548" s="10"/>
      <c r="J548" s="10"/>
      <c r="K548" s="11"/>
      <c r="L548" s="11"/>
      <c r="M548" s="11"/>
    </row>
    <row r="549" spans="3:13" x14ac:dyDescent="0.3">
      <c r="C549" s="10"/>
      <c r="D549" s="11"/>
      <c r="E549" s="11"/>
      <c r="I549" s="10"/>
      <c r="J549" s="10"/>
      <c r="K549" s="11"/>
      <c r="L549" s="11"/>
      <c r="M549" s="11"/>
    </row>
    <row r="550" spans="3:13" x14ac:dyDescent="0.3">
      <c r="C550" s="10"/>
      <c r="D550" s="11"/>
      <c r="E550" s="11"/>
      <c r="I550" s="10"/>
      <c r="J550" s="10"/>
      <c r="K550" s="11"/>
      <c r="L550" s="11"/>
      <c r="M550" s="11"/>
    </row>
    <row r="551" spans="3:13" x14ac:dyDescent="0.3">
      <c r="C551" s="10"/>
      <c r="D551" s="11"/>
      <c r="E551" s="11"/>
      <c r="I551" s="10"/>
      <c r="J551" s="10"/>
      <c r="K551" s="11"/>
      <c r="L551" s="11"/>
      <c r="M551" s="11"/>
    </row>
    <row r="552" spans="3:13" x14ac:dyDescent="0.3">
      <c r="C552" s="10"/>
      <c r="D552" s="11"/>
      <c r="E552" s="11"/>
      <c r="I552" s="10"/>
      <c r="J552" s="10"/>
      <c r="K552" s="11"/>
      <c r="L552" s="11"/>
      <c r="M552" s="11"/>
    </row>
    <row r="553" spans="3:13" x14ac:dyDescent="0.3">
      <c r="C553" s="10"/>
      <c r="D553" s="11"/>
      <c r="E553" s="11"/>
      <c r="I553" s="10"/>
      <c r="J553" s="10"/>
      <c r="K553" s="11"/>
      <c r="L553" s="11"/>
      <c r="M553" s="11"/>
    </row>
    <row r="554" spans="3:13" x14ac:dyDescent="0.3">
      <c r="C554" s="10"/>
      <c r="D554" s="11"/>
      <c r="E554" s="11"/>
      <c r="I554" s="10"/>
      <c r="J554" s="10"/>
      <c r="K554" s="11"/>
      <c r="L554" s="11"/>
      <c r="M554" s="11"/>
    </row>
    <row r="555" spans="3:13" x14ac:dyDescent="0.3">
      <c r="C555" s="10"/>
      <c r="D555" s="11"/>
      <c r="E555" s="11"/>
      <c r="I555" s="10"/>
      <c r="J555" s="10"/>
      <c r="K555" s="11"/>
      <c r="L555" s="11"/>
      <c r="M555" s="11"/>
    </row>
    <row r="556" spans="3:13" x14ac:dyDescent="0.3">
      <c r="C556" s="10"/>
      <c r="D556" s="11"/>
      <c r="E556" s="11"/>
      <c r="I556" s="10"/>
      <c r="J556" s="10"/>
      <c r="K556" s="11"/>
      <c r="L556" s="11"/>
      <c r="M556" s="11"/>
    </row>
    <row r="557" spans="3:13" x14ac:dyDescent="0.3">
      <c r="C557" s="10"/>
      <c r="D557" s="11"/>
      <c r="E557" s="11"/>
      <c r="I557" s="10"/>
      <c r="J557" s="10"/>
      <c r="K557" s="11"/>
      <c r="L557" s="11"/>
      <c r="M557" s="11"/>
    </row>
    <row r="558" spans="3:13" x14ac:dyDescent="0.3">
      <c r="C558" s="10"/>
      <c r="D558" s="11"/>
      <c r="E558" s="11"/>
      <c r="I558" s="10"/>
      <c r="J558" s="10"/>
      <c r="K558" s="11"/>
      <c r="L558" s="11"/>
      <c r="M558" s="11"/>
    </row>
    <row r="559" spans="3:13" x14ac:dyDescent="0.3">
      <c r="C559" s="10"/>
      <c r="D559" s="11"/>
      <c r="E559" s="11"/>
      <c r="I559" s="10"/>
      <c r="J559" s="10"/>
      <c r="K559" s="11"/>
      <c r="L559" s="11"/>
      <c r="M559" s="11"/>
    </row>
    <row r="560" spans="3:13" x14ac:dyDescent="0.3">
      <c r="C560" s="10"/>
      <c r="D560" s="11"/>
      <c r="E560" s="11"/>
      <c r="I560" s="10"/>
      <c r="J560" s="10"/>
      <c r="K560" s="11"/>
      <c r="L560" s="11"/>
      <c r="M560" s="11"/>
    </row>
    <row r="561" spans="3:13" x14ac:dyDescent="0.3">
      <c r="C561" s="10"/>
      <c r="D561" s="11"/>
      <c r="E561" s="11"/>
      <c r="I561" s="10"/>
      <c r="J561" s="10"/>
      <c r="K561" s="11"/>
      <c r="L561" s="11"/>
      <c r="M561" s="11"/>
    </row>
    <row r="562" spans="3:13" x14ac:dyDescent="0.3">
      <c r="C562" s="10"/>
      <c r="D562" s="11"/>
      <c r="E562" s="11"/>
      <c r="I562" s="10"/>
      <c r="J562" s="10"/>
      <c r="K562" s="11"/>
      <c r="L562" s="11"/>
      <c r="M562" s="11"/>
    </row>
    <row r="563" spans="3:13" x14ac:dyDescent="0.3">
      <c r="C563" s="10"/>
      <c r="D563" s="11"/>
      <c r="E563" s="11"/>
      <c r="I563" s="10"/>
      <c r="J563" s="10"/>
      <c r="K563" s="11"/>
      <c r="L563" s="11"/>
      <c r="M563" s="11"/>
    </row>
    <row r="564" spans="3:13" x14ac:dyDescent="0.3">
      <c r="C564" s="10"/>
      <c r="D564" s="11"/>
      <c r="E564" s="11"/>
      <c r="I564" s="10"/>
      <c r="J564" s="10"/>
      <c r="K564" s="11"/>
      <c r="L564" s="11"/>
      <c r="M564" s="11"/>
    </row>
    <row r="565" spans="3:13" x14ac:dyDescent="0.3">
      <c r="C565" s="10"/>
      <c r="D565" s="11"/>
      <c r="E565" s="11"/>
      <c r="I565" s="10"/>
      <c r="J565" s="10"/>
      <c r="K565" s="11"/>
      <c r="L565" s="11"/>
      <c r="M565" s="11"/>
    </row>
    <row r="566" spans="3:13" x14ac:dyDescent="0.3">
      <c r="C566" s="10"/>
      <c r="D566" s="11"/>
      <c r="E566" s="11"/>
      <c r="I566" s="10"/>
      <c r="J566" s="10"/>
      <c r="K566" s="11"/>
      <c r="L566" s="11"/>
      <c r="M566" s="11"/>
    </row>
    <row r="567" spans="3:13" x14ac:dyDescent="0.3">
      <c r="C567" s="10"/>
      <c r="D567" s="11"/>
      <c r="E567" s="11"/>
      <c r="I567" s="10"/>
      <c r="J567" s="10"/>
      <c r="K567" s="11"/>
      <c r="L567" s="11"/>
      <c r="M567" s="11"/>
    </row>
    <row r="568" spans="3:13" x14ac:dyDescent="0.3">
      <c r="C568" s="10"/>
      <c r="D568" s="11"/>
      <c r="E568" s="11"/>
      <c r="I568" s="10"/>
      <c r="J568" s="10"/>
      <c r="K568" s="11"/>
      <c r="L568" s="11"/>
      <c r="M568" s="11"/>
    </row>
    <row r="569" spans="3:13" x14ac:dyDescent="0.3">
      <c r="C569" s="10"/>
      <c r="D569" s="11"/>
      <c r="E569" s="11"/>
      <c r="I569" s="10"/>
      <c r="J569" s="10"/>
      <c r="K569" s="11"/>
      <c r="L569" s="11"/>
      <c r="M569" s="11"/>
    </row>
    <row r="570" spans="3:13" x14ac:dyDescent="0.3">
      <c r="C570" s="10"/>
      <c r="D570" s="11"/>
      <c r="E570" s="11"/>
      <c r="I570" s="10"/>
      <c r="J570" s="10"/>
      <c r="K570" s="11"/>
      <c r="L570" s="11"/>
      <c r="M570" s="11"/>
    </row>
    <row r="571" spans="3:13" x14ac:dyDescent="0.3">
      <c r="C571" s="10"/>
      <c r="D571" s="11"/>
      <c r="E571" s="11"/>
      <c r="I571" s="10"/>
      <c r="J571" s="10"/>
      <c r="K571" s="11"/>
      <c r="L571" s="11"/>
      <c r="M571" s="11"/>
    </row>
    <row r="572" spans="3:13" x14ac:dyDescent="0.3">
      <c r="C572" s="10"/>
      <c r="D572" s="11"/>
      <c r="E572" s="11"/>
      <c r="I572" s="10"/>
      <c r="J572" s="10"/>
      <c r="K572" s="11"/>
      <c r="L572" s="11"/>
      <c r="M572" s="11"/>
    </row>
    <row r="573" spans="3:13" x14ac:dyDescent="0.3">
      <c r="C573" s="10"/>
      <c r="D573" s="11"/>
      <c r="E573" s="11"/>
      <c r="I573" s="10"/>
      <c r="J573" s="10"/>
      <c r="K573" s="11"/>
      <c r="L573" s="11"/>
      <c r="M573" s="11"/>
    </row>
    <row r="574" spans="3:13" x14ac:dyDescent="0.3">
      <c r="C574" s="10"/>
      <c r="D574" s="11"/>
      <c r="E574" s="11"/>
      <c r="I574" s="10"/>
      <c r="J574" s="10"/>
      <c r="K574" s="11"/>
      <c r="L574" s="11"/>
      <c r="M574" s="11"/>
    </row>
    <row r="575" spans="3:13" x14ac:dyDescent="0.3">
      <c r="C575" s="10"/>
      <c r="D575" s="11"/>
      <c r="E575" s="11"/>
      <c r="I575" s="10"/>
      <c r="J575" s="10"/>
      <c r="K575" s="11"/>
      <c r="L575" s="11"/>
      <c r="M575" s="11"/>
    </row>
    <row r="576" spans="3:13" x14ac:dyDescent="0.3">
      <c r="C576" s="10"/>
      <c r="D576" s="11"/>
      <c r="E576" s="11"/>
      <c r="I576" s="10"/>
      <c r="J576" s="10"/>
      <c r="K576" s="11"/>
      <c r="L576" s="11"/>
      <c r="M576" s="11"/>
    </row>
    <row r="577" spans="3:13" x14ac:dyDescent="0.3">
      <c r="C577" s="10"/>
      <c r="D577" s="11"/>
      <c r="E577" s="11"/>
      <c r="I577" s="10"/>
      <c r="J577" s="10"/>
      <c r="K577" s="11"/>
      <c r="L577" s="11"/>
      <c r="M577" s="11"/>
    </row>
    <row r="578" spans="3:13" x14ac:dyDescent="0.3">
      <c r="C578" s="10"/>
      <c r="D578" s="11"/>
      <c r="E578" s="11"/>
      <c r="I578" s="10"/>
      <c r="J578" s="10"/>
      <c r="K578" s="11"/>
      <c r="L578" s="11"/>
      <c r="M578" s="11"/>
    </row>
    <row r="579" spans="3:13" x14ac:dyDescent="0.3">
      <c r="C579" s="10"/>
      <c r="D579" s="11"/>
      <c r="E579" s="11"/>
      <c r="I579" s="10"/>
      <c r="J579" s="10"/>
      <c r="K579" s="11"/>
      <c r="L579" s="11"/>
      <c r="M579" s="11"/>
    </row>
    <row r="580" spans="3:13" x14ac:dyDescent="0.3">
      <c r="C580" s="10"/>
      <c r="D580" s="11"/>
      <c r="E580" s="11"/>
      <c r="I580" s="10"/>
      <c r="J580" s="10"/>
      <c r="K580" s="11"/>
      <c r="L580" s="11"/>
      <c r="M580" s="11"/>
    </row>
    <row r="581" spans="3:13" x14ac:dyDescent="0.3">
      <c r="C581" s="10"/>
      <c r="D581" s="11"/>
      <c r="E581" s="11"/>
      <c r="I581" s="10"/>
      <c r="J581" s="10"/>
      <c r="K581" s="11"/>
      <c r="L581" s="11"/>
      <c r="M581" s="11"/>
    </row>
    <row r="582" spans="3:13" x14ac:dyDescent="0.3">
      <c r="C582" s="10"/>
      <c r="D582" s="11"/>
      <c r="E582" s="11"/>
      <c r="I582" s="10"/>
      <c r="J582" s="10"/>
      <c r="K582" s="11"/>
      <c r="L582" s="11"/>
      <c r="M582" s="11"/>
    </row>
    <row r="583" spans="3:13" x14ac:dyDescent="0.3">
      <c r="C583" s="10"/>
      <c r="D583" s="11"/>
      <c r="E583" s="11"/>
      <c r="I583" s="10"/>
      <c r="J583" s="10"/>
      <c r="K583" s="11"/>
      <c r="L583" s="11"/>
      <c r="M583" s="11"/>
    </row>
    <row r="584" spans="3:13" x14ac:dyDescent="0.3">
      <c r="C584" s="10"/>
      <c r="D584" s="11"/>
      <c r="E584" s="11"/>
      <c r="I584" s="10"/>
      <c r="J584" s="10"/>
      <c r="K584" s="11"/>
      <c r="L584" s="11"/>
      <c r="M584" s="11"/>
    </row>
    <row r="585" spans="3:13" x14ac:dyDescent="0.3">
      <c r="C585" s="10"/>
      <c r="D585" s="11"/>
      <c r="E585" s="11"/>
      <c r="I585" s="10"/>
      <c r="J585" s="10"/>
      <c r="K585" s="11"/>
      <c r="L585" s="11"/>
      <c r="M585" s="11"/>
    </row>
    <row r="586" spans="3:13" x14ac:dyDescent="0.3">
      <c r="C586" s="10"/>
      <c r="D586" s="11"/>
      <c r="E586" s="11"/>
      <c r="I586" s="10"/>
      <c r="J586" s="10"/>
      <c r="K586" s="11"/>
      <c r="L586" s="11"/>
      <c r="M586" s="11"/>
    </row>
    <row r="587" spans="3:13" x14ac:dyDescent="0.3">
      <c r="C587" s="10"/>
      <c r="D587" s="11"/>
      <c r="E587" s="11"/>
      <c r="I587" s="10"/>
      <c r="J587" s="10"/>
      <c r="K587" s="11"/>
      <c r="L587" s="11"/>
      <c r="M587" s="11"/>
    </row>
    <row r="588" spans="3:13" x14ac:dyDescent="0.3">
      <c r="C588" s="10"/>
      <c r="D588" s="11"/>
      <c r="E588" s="11"/>
      <c r="I588" s="10"/>
      <c r="J588" s="10"/>
      <c r="K588" s="11"/>
      <c r="L588" s="11"/>
      <c r="M588" s="11"/>
    </row>
    <row r="589" spans="3:13" x14ac:dyDescent="0.3">
      <c r="C589" s="10"/>
      <c r="D589" s="11"/>
      <c r="E589" s="11"/>
      <c r="I589" s="10"/>
      <c r="J589" s="10"/>
      <c r="K589" s="11"/>
      <c r="L589" s="11"/>
      <c r="M589" s="11"/>
    </row>
    <row r="590" spans="3:13" x14ac:dyDescent="0.3">
      <c r="C590" s="10"/>
      <c r="D590" s="11"/>
      <c r="E590" s="11"/>
      <c r="I590" s="10"/>
      <c r="J590" s="10"/>
      <c r="K590" s="11"/>
      <c r="L590" s="11"/>
      <c r="M590" s="11"/>
    </row>
    <row r="591" spans="3:13" x14ac:dyDescent="0.3">
      <c r="C591" s="10"/>
      <c r="D591" s="11"/>
      <c r="E591" s="11"/>
      <c r="I591" s="10"/>
      <c r="J591" s="10"/>
      <c r="K591" s="11"/>
      <c r="L591" s="11"/>
      <c r="M591" s="11"/>
    </row>
    <row r="592" spans="3:13" x14ac:dyDescent="0.3">
      <c r="C592" s="10"/>
      <c r="D592" s="11"/>
      <c r="E592" s="11"/>
      <c r="I592" s="10"/>
      <c r="J592" s="10"/>
      <c r="K592" s="11"/>
      <c r="L592" s="11"/>
      <c r="M592" s="11"/>
    </row>
    <row r="593" spans="3:13" x14ac:dyDescent="0.3">
      <c r="C593" s="10"/>
      <c r="D593" s="11"/>
      <c r="E593" s="11"/>
      <c r="I593" s="10"/>
      <c r="J593" s="10"/>
      <c r="K593" s="11"/>
      <c r="L593" s="11"/>
      <c r="M593" s="11"/>
    </row>
    <row r="594" spans="3:13" x14ac:dyDescent="0.3">
      <c r="C594" s="10"/>
      <c r="D594" s="11"/>
      <c r="E594" s="11"/>
      <c r="I594" s="10"/>
      <c r="J594" s="10"/>
      <c r="K594" s="11"/>
      <c r="L594" s="11"/>
      <c r="M594" s="11"/>
    </row>
    <row r="595" spans="3:13" x14ac:dyDescent="0.3">
      <c r="C595" s="10"/>
      <c r="D595" s="11"/>
      <c r="E595" s="11"/>
      <c r="I595" s="10"/>
      <c r="J595" s="10"/>
      <c r="K595" s="11"/>
      <c r="L595" s="11"/>
      <c r="M595" s="11"/>
    </row>
    <row r="596" spans="3:13" x14ac:dyDescent="0.3">
      <c r="C596" s="10"/>
      <c r="D596" s="11"/>
      <c r="E596" s="11"/>
      <c r="I596" s="10"/>
      <c r="J596" s="10"/>
      <c r="K596" s="11"/>
      <c r="L596" s="11"/>
      <c r="M596" s="11"/>
    </row>
    <row r="597" spans="3:13" x14ac:dyDescent="0.3">
      <c r="C597" s="10"/>
      <c r="D597" s="11"/>
      <c r="E597" s="11"/>
      <c r="I597" s="10"/>
      <c r="J597" s="10"/>
      <c r="K597" s="11"/>
      <c r="L597" s="11"/>
      <c r="M597" s="11"/>
    </row>
    <row r="598" spans="3:13" x14ac:dyDescent="0.3">
      <c r="C598" s="10"/>
      <c r="D598" s="11"/>
      <c r="E598" s="11"/>
      <c r="I598" s="10"/>
      <c r="J598" s="10"/>
      <c r="K598" s="11"/>
      <c r="L598" s="11"/>
      <c r="M598" s="11"/>
    </row>
    <row r="599" spans="3:13" x14ac:dyDescent="0.3">
      <c r="C599" s="10"/>
      <c r="D599" s="11"/>
      <c r="E599" s="11"/>
      <c r="I599" s="10"/>
      <c r="J599" s="10"/>
      <c r="K599" s="11"/>
      <c r="L599" s="11"/>
      <c r="M599" s="11"/>
    </row>
    <row r="600" spans="3:13" x14ac:dyDescent="0.3">
      <c r="C600" s="10"/>
      <c r="D600" s="11"/>
      <c r="E600" s="11"/>
      <c r="I600" s="10"/>
      <c r="J600" s="10"/>
      <c r="K600" s="11"/>
      <c r="L600" s="11"/>
      <c r="M600" s="11"/>
    </row>
    <row r="601" spans="3:13" x14ac:dyDescent="0.3">
      <c r="C601" s="10"/>
      <c r="D601" s="11"/>
      <c r="E601" s="11"/>
      <c r="I601" s="10"/>
      <c r="J601" s="10"/>
      <c r="K601" s="11"/>
      <c r="L601" s="11"/>
      <c r="M601" s="11"/>
    </row>
    <row r="602" spans="3:13" x14ac:dyDescent="0.3">
      <c r="C602" s="10"/>
      <c r="D602" s="11"/>
      <c r="E602" s="11"/>
      <c r="I602" s="10"/>
      <c r="J602" s="10"/>
      <c r="K602" s="11"/>
      <c r="L602" s="11"/>
      <c r="M602" s="11"/>
    </row>
    <row r="603" spans="3:13" x14ac:dyDescent="0.3">
      <c r="C603" s="10"/>
      <c r="D603" s="11"/>
      <c r="E603" s="11"/>
      <c r="I603" s="10"/>
      <c r="J603" s="10"/>
      <c r="K603" s="11"/>
      <c r="L603" s="11"/>
      <c r="M603" s="11"/>
    </row>
    <row r="604" spans="3:13" x14ac:dyDescent="0.3">
      <c r="C604" s="10"/>
      <c r="D604" s="11"/>
      <c r="E604" s="11"/>
      <c r="I604" s="10"/>
      <c r="J604" s="10"/>
      <c r="K604" s="11"/>
      <c r="L604" s="11"/>
      <c r="M604" s="11"/>
    </row>
    <row r="605" spans="3:13" x14ac:dyDescent="0.3">
      <c r="C605" s="10"/>
      <c r="D605" s="11"/>
      <c r="E605" s="11"/>
      <c r="I605" s="10"/>
      <c r="J605" s="10"/>
      <c r="K605" s="11"/>
      <c r="L605" s="11"/>
      <c r="M605" s="11"/>
    </row>
    <row r="606" spans="3:13" x14ac:dyDescent="0.3">
      <c r="C606" s="10"/>
      <c r="D606" s="11"/>
      <c r="E606" s="11"/>
      <c r="I606" s="10"/>
      <c r="J606" s="10"/>
      <c r="K606" s="11"/>
      <c r="L606" s="11"/>
      <c r="M606" s="11"/>
    </row>
    <row r="607" spans="3:13" x14ac:dyDescent="0.3">
      <c r="C607" s="10"/>
      <c r="D607" s="11"/>
      <c r="E607" s="11"/>
      <c r="I607" s="10"/>
      <c r="J607" s="10"/>
      <c r="K607" s="11"/>
      <c r="L607" s="11"/>
      <c r="M607" s="11"/>
    </row>
    <row r="608" spans="3:13" x14ac:dyDescent="0.3">
      <c r="C608" s="10"/>
      <c r="D608" s="11"/>
      <c r="E608" s="11"/>
      <c r="I608" s="10"/>
      <c r="J608" s="10"/>
      <c r="K608" s="11"/>
      <c r="L608" s="11"/>
      <c r="M608" s="11"/>
    </row>
    <row r="609" spans="3:13" x14ac:dyDescent="0.3">
      <c r="C609" s="10"/>
      <c r="D609" s="11"/>
      <c r="E609" s="11"/>
      <c r="I609" s="10"/>
      <c r="J609" s="10"/>
      <c r="K609" s="11"/>
      <c r="L609" s="11"/>
      <c r="M609" s="11"/>
    </row>
    <row r="610" spans="3:13" x14ac:dyDescent="0.3">
      <c r="C610" s="10"/>
      <c r="D610" s="11"/>
      <c r="E610" s="11"/>
      <c r="I610" s="10"/>
      <c r="J610" s="10"/>
      <c r="K610" s="11"/>
      <c r="L610" s="11"/>
      <c r="M610" s="11"/>
    </row>
    <row r="611" spans="3:13" x14ac:dyDescent="0.3">
      <c r="C611" s="10"/>
      <c r="D611" s="11"/>
      <c r="E611" s="11"/>
      <c r="I611" s="10"/>
      <c r="J611" s="10"/>
      <c r="K611" s="11"/>
      <c r="L611" s="11"/>
      <c r="M611" s="11"/>
    </row>
    <row r="612" spans="3:13" x14ac:dyDescent="0.3">
      <c r="C612" s="10"/>
      <c r="D612" s="11"/>
      <c r="E612" s="11"/>
      <c r="I612" s="10"/>
      <c r="J612" s="10"/>
      <c r="K612" s="11"/>
      <c r="L612" s="11"/>
      <c r="M612" s="11"/>
    </row>
    <row r="613" spans="3:13" x14ac:dyDescent="0.3">
      <c r="C613" s="10"/>
      <c r="D613" s="11"/>
      <c r="E613" s="11"/>
      <c r="I613" s="10"/>
      <c r="J613" s="10"/>
      <c r="K613" s="11"/>
      <c r="L613" s="11"/>
      <c r="M613" s="11"/>
    </row>
    <row r="614" spans="3:13" x14ac:dyDescent="0.3">
      <c r="C614" s="10"/>
      <c r="D614" s="11"/>
      <c r="E614" s="11"/>
      <c r="I614" s="10"/>
      <c r="J614" s="10"/>
      <c r="K614" s="11"/>
      <c r="L614" s="11"/>
      <c r="M614" s="11"/>
    </row>
    <row r="615" spans="3:13" x14ac:dyDescent="0.3">
      <c r="C615" s="10"/>
      <c r="D615" s="11"/>
      <c r="E615" s="11"/>
      <c r="I615" s="10"/>
      <c r="J615" s="10"/>
      <c r="K615" s="11"/>
      <c r="L615" s="11"/>
      <c r="M615" s="11"/>
    </row>
    <row r="616" spans="3:13" x14ac:dyDescent="0.3">
      <c r="C616" s="10"/>
      <c r="D616" s="11"/>
      <c r="E616" s="11"/>
      <c r="I616" s="10"/>
      <c r="J616" s="10"/>
      <c r="K616" s="11"/>
      <c r="L616" s="11"/>
      <c r="M616" s="11"/>
    </row>
    <row r="617" spans="3:13" x14ac:dyDescent="0.3">
      <c r="C617" s="10"/>
      <c r="D617" s="11"/>
      <c r="E617" s="11"/>
      <c r="I617" s="10"/>
      <c r="J617" s="10"/>
      <c r="K617" s="11"/>
      <c r="L617" s="11"/>
      <c r="M617" s="11"/>
    </row>
    <row r="618" spans="3:13" x14ac:dyDescent="0.3">
      <c r="C618" s="10"/>
      <c r="D618" s="11"/>
      <c r="E618" s="11"/>
      <c r="I618" s="10"/>
      <c r="J618" s="10"/>
      <c r="K618" s="11"/>
      <c r="L618" s="11"/>
      <c r="M618" s="11"/>
    </row>
    <row r="619" spans="3:13" x14ac:dyDescent="0.3">
      <c r="C619" s="10"/>
      <c r="D619" s="11"/>
      <c r="E619" s="11"/>
      <c r="I619" s="10"/>
      <c r="J619" s="10"/>
      <c r="K619" s="11"/>
      <c r="L619" s="11"/>
      <c r="M619" s="11"/>
    </row>
    <row r="620" spans="3:13" x14ac:dyDescent="0.3">
      <c r="C620" s="10"/>
      <c r="D620" s="11"/>
      <c r="E620" s="11"/>
      <c r="I620" s="10"/>
      <c r="J620" s="10"/>
      <c r="K620" s="11"/>
      <c r="L620" s="11"/>
      <c r="M620" s="11"/>
    </row>
    <row r="621" spans="3:13" x14ac:dyDescent="0.3">
      <c r="C621" s="10"/>
      <c r="D621" s="11"/>
      <c r="E621" s="11"/>
      <c r="I621" s="10"/>
      <c r="J621" s="10"/>
      <c r="K621" s="11"/>
      <c r="L621" s="11"/>
      <c r="M621" s="11"/>
    </row>
    <row r="622" spans="3:13" x14ac:dyDescent="0.3">
      <c r="C622" s="10"/>
      <c r="D622" s="11"/>
      <c r="E622" s="11"/>
      <c r="I622" s="10"/>
      <c r="J622" s="10"/>
      <c r="K622" s="11"/>
      <c r="L622" s="11"/>
      <c r="M622" s="11"/>
    </row>
    <row r="623" spans="3:13" x14ac:dyDescent="0.3">
      <c r="C623" s="10"/>
      <c r="D623" s="11"/>
      <c r="E623" s="11"/>
      <c r="I623" s="10"/>
      <c r="J623" s="10"/>
      <c r="K623" s="11"/>
      <c r="L623" s="11"/>
      <c r="M623" s="11"/>
    </row>
    <row r="624" spans="3:13" x14ac:dyDescent="0.3">
      <c r="C624" s="10"/>
      <c r="D624" s="11"/>
      <c r="E624" s="11"/>
      <c r="I624" s="10"/>
      <c r="J624" s="10"/>
      <c r="K624" s="11"/>
      <c r="L624" s="11"/>
      <c r="M624" s="11"/>
    </row>
    <row r="625" spans="3:13" x14ac:dyDescent="0.3">
      <c r="C625" s="10"/>
      <c r="D625" s="11"/>
      <c r="E625" s="11"/>
      <c r="I625" s="10"/>
      <c r="J625" s="10"/>
      <c r="K625" s="11"/>
      <c r="L625" s="11"/>
      <c r="M625" s="11"/>
    </row>
    <row r="626" spans="3:13" x14ac:dyDescent="0.3">
      <c r="C626" s="10"/>
      <c r="D626" s="11"/>
      <c r="E626" s="11"/>
      <c r="I626" s="10"/>
      <c r="J626" s="10"/>
      <c r="K626" s="11"/>
      <c r="L626" s="11"/>
      <c r="M626" s="11"/>
    </row>
    <row r="627" spans="3:13" x14ac:dyDescent="0.3">
      <c r="C627" s="10"/>
      <c r="D627" s="11"/>
      <c r="E627" s="11"/>
      <c r="I627" s="10"/>
      <c r="J627" s="10"/>
      <c r="K627" s="11"/>
      <c r="L627" s="11"/>
      <c r="M627" s="11"/>
    </row>
    <row r="628" spans="3:13" x14ac:dyDescent="0.3">
      <c r="C628" s="10"/>
      <c r="D628" s="11"/>
      <c r="E628" s="11"/>
      <c r="I628" s="10"/>
      <c r="J628" s="10"/>
      <c r="K628" s="11"/>
      <c r="L628" s="11"/>
      <c r="M628" s="11"/>
    </row>
    <row r="629" spans="3:13" x14ac:dyDescent="0.3">
      <c r="C629" s="10"/>
      <c r="D629" s="11"/>
      <c r="E629" s="11"/>
      <c r="I629" s="10"/>
      <c r="J629" s="10"/>
      <c r="K629" s="11"/>
      <c r="L629" s="11"/>
      <c r="M629" s="11"/>
    </row>
    <row r="630" spans="3:13" x14ac:dyDescent="0.3">
      <c r="C630" s="10"/>
      <c r="D630" s="11"/>
      <c r="E630" s="11"/>
      <c r="I630" s="10"/>
      <c r="J630" s="10"/>
      <c r="K630" s="11"/>
      <c r="L630" s="11"/>
      <c r="M630" s="11"/>
    </row>
    <row r="631" spans="3:13" x14ac:dyDescent="0.3">
      <c r="C631" s="10"/>
      <c r="D631" s="11"/>
      <c r="E631" s="11"/>
      <c r="I631" s="10"/>
      <c r="J631" s="10"/>
      <c r="K631" s="11"/>
      <c r="L631" s="11"/>
      <c r="M631" s="11"/>
    </row>
    <row r="632" spans="3:13" x14ac:dyDescent="0.3">
      <c r="C632" s="10"/>
      <c r="D632" s="11"/>
      <c r="E632" s="11"/>
      <c r="I632" s="10"/>
      <c r="J632" s="10"/>
      <c r="K632" s="11"/>
      <c r="L632" s="11"/>
      <c r="M632" s="11"/>
    </row>
    <row r="633" spans="3:13" x14ac:dyDescent="0.3">
      <c r="C633" s="10"/>
      <c r="D633" s="11"/>
      <c r="E633" s="11"/>
      <c r="I633" s="10"/>
      <c r="J633" s="10"/>
      <c r="K633" s="11"/>
      <c r="L633" s="11"/>
      <c r="M633" s="11"/>
    </row>
    <row r="634" spans="3:13" x14ac:dyDescent="0.3">
      <c r="C634" s="10"/>
      <c r="D634" s="11"/>
      <c r="E634" s="11"/>
      <c r="I634" s="10"/>
      <c r="J634" s="10"/>
      <c r="K634" s="11"/>
      <c r="L634" s="11"/>
      <c r="M634" s="11"/>
    </row>
    <row r="635" spans="3:13" x14ac:dyDescent="0.3">
      <c r="C635" s="10"/>
      <c r="D635" s="11"/>
      <c r="E635" s="11"/>
      <c r="I635" s="10"/>
      <c r="J635" s="10"/>
      <c r="K635" s="11"/>
      <c r="L635" s="11"/>
      <c r="M635" s="11"/>
    </row>
    <row r="636" spans="3:13" x14ac:dyDescent="0.3">
      <c r="C636" s="10"/>
      <c r="D636" s="11"/>
      <c r="E636" s="11"/>
      <c r="I636" s="10"/>
      <c r="J636" s="10"/>
      <c r="K636" s="11"/>
      <c r="L636" s="11"/>
      <c r="M636" s="11"/>
    </row>
    <row r="637" spans="3:13" x14ac:dyDescent="0.3">
      <c r="C637" s="10"/>
      <c r="D637" s="11"/>
      <c r="E637" s="11"/>
      <c r="I637" s="10"/>
      <c r="J637" s="10"/>
      <c r="K637" s="11"/>
      <c r="L637" s="11"/>
      <c r="M637" s="11"/>
    </row>
    <row r="638" spans="3:13" x14ac:dyDescent="0.3">
      <c r="C638" s="10"/>
      <c r="D638" s="11"/>
      <c r="E638" s="11"/>
      <c r="I638" s="10"/>
      <c r="J638" s="10"/>
      <c r="K638" s="11"/>
      <c r="L638" s="11"/>
      <c r="M638" s="11"/>
    </row>
    <row r="639" spans="3:13" x14ac:dyDescent="0.3">
      <c r="C639" s="10"/>
      <c r="D639" s="11"/>
      <c r="E639" s="11"/>
      <c r="I639" s="10"/>
      <c r="J639" s="10"/>
      <c r="K639" s="11"/>
      <c r="L639" s="11"/>
      <c r="M639" s="11"/>
    </row>
    <row r="640" spans="3:13" x14ac:dyDescent="0.3">
      <c r="C640" s="10"/>
      <c r="D640" s="11"/>
      <c r="E640" s="11"/>
      <c r="I640" s="10"/>
      <c r="J640" s="10"/>
      <c r="K640" s="11"/>
      <c r="L640" s="11"/>
      <c r="M640" s="11"/>
    </row>
    <row r="641" spans="3:13" x14ac:dyDescent="0.3">
      <c r="C641" s="10"/>
      <c r="D641" s="11"/>
      <c r="E641" s="11"/>
      <c r="I641" s="10"/>
      <c r="J641" s="10"/>
      <c r="K641" s="11"/>
      <c r="L641" s="11"/>
      <c r="M641" s="11"/>
    </row>
    <row r="642" spans="3:13" x14ac:dyDescent="0.3">
      <c r="C642" s="10"/>
      <c r="D642" s="11"/>
      <c r="E642" s="11"/>
      <c r="I642" s="10"/>
      <c r="J642" s="10"/>
      <c r="K642" s="11"/>
      <c r="L642" s="11"/>
      <c r="M642" s="11"/>
    </row>
    <row r="643" spans="3:13" x14ac:dyDescent="0.3">
      <c r="C643" s="10"/>
      <c r="D643" s="11"/>
      <c r="E643" s="11"/>
      <c r="I643" s="10"/>
      <c r="J643" s="10"/>
      <c r="K643" s="11"/>
      <c r="L643" s="11"/>
      <c r="M643" s="11"/>
    </row>
    <row r="644" spans="3:13" x14ac:dyDescent="0.3">
      <c r="C644" s="10"/>
      <c r="D644" s="11"/>
      <c r="E644" s="11"/>
      <c r="I644" s="10"/>
      <c r="J644" s="10"/>
      <c r="K644" s="11"/>
      <c r="L644" s="11"/>
      <c r="M644" s="11"/>
    </row>
    <row r="645" spans="3:13" x14ac:dyDescent="0.3">
      <c r="C645" s="10"/>
      <c r="D645" s="11"/>
      <c r="E645" s="11"/>
      <c r="I645" s="10"/>
      <c r="J645" s="10"/>
      <c r="K645" s="11"/>
      <c r="L645" s="11"/>
      <c r="M645" s="11"/>
    </row>
    <row r="646" spans="3:13" x14ac:dyDescent="0.3">
      <c r="C646" s="10"/>
      <c r="D646" s="11"/>
      <c r="E646" s="11"/>
      <c r="I646" s="10"/>
      <c r="J646" s="10"/>
      <c r="K646" s="11"/>
      <c r="L646" s="11"/>
      <c r="M646" s="11"/>
    </row>
    <row r="647" spans="3:13" x14ac:dyDescent="0.3">
      <c r="C647" s="10"/>
      <c r="D647" s="11"/>
      <c r="E647" s="11"/>
      <c r="I647" s="10"/>
      <c r="J647" s="10"/>
      <c r="K647" s="11"/>
      <c r="L647" s="11"/>
      <c r="M647" s="11"/>
    </row>
    <row r="648" spans="3:13" x14ac:dyDescent="0.3">
      <c r="C648" s="10"/>
      <c r="D648" s="11"/>
      <c r="E648" s="11"/>
      <c r="I648" s="10"/>
      <c r="J648" s="10"/>
      <c r="K648" s="11"/>
      <c r="L648" s="11"/>
      <c r="M648" s="11"/>
    </row>
    <row r="649" spans="3:13" x14ac:dyDescent="0.3">
      <c r="C649" s="10"/>
      <c r="D649" s="11"/>
      <c r="E649" s="11"/>
      <c r="I649" s="10"/>
      <c r="J649" s="10"/>
      <c r="K649" s="11"/>
      <c r="L649" s="11"/>
      <c r="M649" s="11"/>
    </row>
    <row r="650" spans="3:13" x14ac:dyDescent="0.3">
      <c r="C650" s="10"/>
      <c r="D650" s="11"/>
      <c r="E650" s="11"/>
      <c r="I650" s="10"/>
      <c r="J650" s="10"/>
      <c r="K650" s="11"/>
      <c r="L650" s="11"/>
      <c r="M650" s="11"/>
    </row>
    <row r="651" spans="3:13" x14ac:dyDescent="0.3">
      <c r="C651" s="10"/>
      <c r="D651" s="11"/>
      <c r="E651" s="11"/>
      <c r="I651" s="10"/>
      <c r="J651" s="10"/>
      <c r="K651" s="11"/>
      <c r="L651" s="11"/>
      <c r="M651" s="11"/>
    </row>
    <row r="652" spans="3:13" x14ac:dyDescent="0.3">
      <c r="C652" s="10"/>
      <c r="D652" s="11"/>
      <c r="E652" s="11"/>
      <c r="I652" s="10"/>
      <c r="J652" s="10"/>
      <c r="K652" s="11"/>
      <c r="L652" s="11"/>
      <c r="M652" s="11"/>
    </row>
    <row r="653" spans="3:13" x14ac:dyDescent="0.3">
      <c r="C653" s="10"/>
      <c r="D653" s="11"/>
      <c r="E653" s="11"/>
      <c r="I653" s="10"/>
      <c r="J653" s="10"/>
      <c r="K653" s="11"/>
      <c r="L653" s="11"/>
      <c r="M653" s="11"/>
    </row>
    <row r="654" spans="3:13" x14ac:dyDescent="0.3">
      <c r="C654" s="10"/>
      <c r="D654" s="11"/>
      <c r="E654" s="11"/>
      <c r="I654" s="10"/>
      <c r="J654" s="10"/>
      <c r="K654" s="11"/>
      <c r="L654" s="11"/>
      <c r="M654" s="11"/>
    </row>
    <row r="655" spans="3:13" x14ac:dyDescent="0.3">
      <c r="C655" s="10"/>
      <c r="D655" s="11"/>
      <c r="E655" s="11"/>
      <c r="I655" s="10"/>
      <c r="J655" s="10"/>
      <c r="K655" s="11"/>
      <c r="L655" s="11"/>
      <c r="M655" s="11"/>
    </row>
    <row r="656" spans="3:13" x14ac:dyDescent="0.3">
      <c r="C656" s="10"/>
      <c r="D656" s="11"/>
      <c r="E656" s="11"/>
      <c r="I656" s="10"/>
      <c r="J656" s="10"/>
      <c r="K656" s="11"/>
      <c r="L656" s="11"/>
      <c r="M656" s="11"/>
    </row>
    <row r="657" spans="3:13" x14ac:dyDescent="0.3">
      <c r="C657" s="10"/>
      <c r="D657" s="11"/>
      <c r="E657" s="11"/>
      <c r="I657" s="10"/>
      <c r="J657" s="10"/>
      <c r="K657" s="11"/>
      <c r="L657" s="11"/>
      <c r="M657" s="11"/>
    </row>
    <row r="658" spans="3:13" x14ac:dyDescent="0.3">
      <c r="C658" s="10"/>
      <c r="D658" s="11"/>
      <c r="E658" s="11"/>
      <c r="I658" s="10"/>
      <c r="J658" s="10"/>
      <c r="K658" s="11"/>
      <c r="L658" s="11"/>
      <c r="M658" s="11"/>
    </row>
    <row r="659" spans="3:13" x14ac:dyDescent="0.3">
      <c r="C659" s="10"/>
      <c r="D659" s="11"/>
      <c r="E659" s="11"/>
      <c r="I659" s="10"/>
      <c r="J659" s="10"/>
      <c r="K659" s="11"/>
      <c r="L659" s="11"/>
      <c r="M659" s="11"/>
    </row>
    <row r="660" spans="3:13" x14ac:dyDescent="0.3">
      <c r="C660" s="10"/>
      <c r="D660" s="11"/>
      <c r="E660" s="11"/>
      <c r="I660" s="10"/>
      <c r="J660" s="10"/>
      <c r="K660" s="11"/>
      <c r="L660" s="11"/>
      <c r="M660" s="11"/>
    </row>
    <row r="661" spans="3:13" x14ac:dyDescent="0.3">
      <c r="C661" s="10"/>
      <c r="D661" s="11"/>
      <c r="E661" s="11"/>
      <c r="I661" s="10"/>
      <c r="J661" s="10"/>
      <c r="K661" s="11"/>
      <c r="L661" s="11"/>
      <c r="M661" s="11"/>
    </row>
    <row r="662" spans="3:13" x14ac:dyDescent="0.3">
      <c r="C662" s="10"/>
      <c r="D662" s="11"/>
      <c r="E662" s="11"/>
      <c r="I662" s="10"/>
      <c r="J662" s="10"/>
      <c r="K662" s="11"/>
      <c r="L662" s="11"/>
      <c r="M662" s="11"/>
    </row>
    <row r="663" spans="3:13" x14ac:dyDescent="0.3">
      <c r="C663" s="10"/>
      <c r="D663" s="11"/>
      <c r="E663" s="11"/>
      <c r="I663" s="10"/>
      <c r="J663" s="10"/>
      <c r="K663" s="11"/>
      <c r="L663" s="11"/>
      <c r="M663" s="11"/>
    </row>
    <row r="664" spans="3:13" x14ac:dyDescent="0.3">
      <c r="C664" s="10"/>
      <c r="D664" s="11"/>
      <c r="E664" s="11"/>
      <c r="I664" s="10"/>
      <c r="J664" s="10"/>
      <c r="K664" s="11"/>
      <c r="L664" s="11"/>
      <c r="M664" s="11"/>
    </row>
    <row r="665" spans="3:13" x14ac:dyDescent="0.3">
      <c r="C665" s="10"/>
      <c r="D665" s="11"/>
      <c r="E665" s="11"/>
      <c r="I665" s="10"/>
      <c r="J665" s="10"/>
      <c r="K665" s="11"/>
      <c r="L665" s="11"/>
      <c r="M665" s="11"/>
    </row>
    <row r="666" spans="3:13" x14ac:dyDescent="0.3">
      <c r="C666" s="10"/>
      <c r="D666" s="11"/>
      <c r="E666" s="11"/>
      <c r="I666" s="10"/>
      <c r="J666" s="10"/>
      <c r="K666" s="11"/>
      <c r="L666" s="11"/>
      <c r="M666" s="11"/>
    </row>
    <row r="667" spans="3:13" x14ac:dyDescent="0.3">
      <c r="C667" s="10"/>
      <c r="D667" s="11"/>
      <c r="E667" s="11"/>
      <c r="I667" s="10"/>
      <c r="J667" s="10"/>
      <c r="K667" s="11"/>
      <c r="L667" s="11"/>
      <c r="M667" s="11"/>
    </row>
    <row r="668" spans="3:13" x14ac:dyDescent="0.3">
      <c r="C668" s="10"/>
      <c r="D668" s="11"/>
      <c r="E668" s="11"/>
      <c r="I668" s="10"/>
      <c r="J668" s="10"/>
      <c r="K668" s="11"/>
      <c r="L668" s="11"/>
      <c r="M668" s="11"/>
    </row>
    <row r="669" spans="3:13" x14ac:dyDescent="0.3">
      <c r="C669" s="10"/>
      <c r="D669" s="11"/>
      <c r="E669" s="11"/>
      <c r="I669" s="10"/>
      <c r="J669" s="10"/>
      <c r="K669" s="11"/>
      <c r="L669" s="11"/>
      <c r="M669" s="11"/>
    </row>
    <row r="670" spans="3:13" x14ac:dyDescent="0.3">
      <c r="C670" s="10"/>
      <c r="D670" s="11"/>
      <c r="E670" s="11"/>
      <c r="I670" s="10"/>
      <c r="J670" s="10"/>
      <c r="K670" s="11"/>
      <c r="L670" s="11"/>
      <c r="M670" s="11"/>
    </row>
    <row r="671" spans="3:13" x14ac:dyDescent="0.3">
      <c r="C671" s="10"/>
      <c r="D671" s="11"/>
      <c r="E671" s="11"/>
      <c r="I671" s="10"/>
      <c r="J671" s="10"/>
      <c r="K671" s="11"/>
      <c r="L671" s="11"/>
      <c r="M671" s="11"/>
    </row>
    <row r="672" spans="3:13" x14ac:dyDescent="0.3">
      <c r="C672" s="10"/>
      <c r="D672" s="11"/>
      <c r="E672" s="11"/>
      <c r="I672" s="10"/>
      <c r="J672" s="10"/>
      <c r="K672" s="11"/>
      <c r="L672" s="11"/>
      <c r="M672" s="11"/>
    </row>
    <row r="673" spans="3:13" x14ac:dyDescent="0.3">
      <c r="C673" s="10"/>
      <c r="D673" s="11"/>
      <c r="E673" s="11"/>
      <c r="I673" s="10"/>
      <c r="J673" s="10"/>
      <c r="K673" s="11"/>
      <c r="L673" s="11"/>
      <c r="M673" s="11"/>
    </row>
    <row r="674" spans="3:13" x14ac:dyDescent="0.3">
      <c r="C674" s="10"/>
      <c r="D674" s="11"/>
      <c r="E674" s="11"/>
      <c r="I674" s="10"/>
      <c r="J674" s="10"/>
      <c r="K674" s="11"/>
      <c r="L674" s="11"/>
      <c r="M674" s="11"/>
    </row>
    <row r="675" spans="3:13" x14ac:dyDescent="0.3">
      <c r="C675" s="10"/>
      <c r="D675" s="11"/>
      <c r="E675" s="11"/>
      <c r="I675" s="10"/>
      <c r="J675" s="10"/>
      <c r="K675" s="11"/>
      <c r="L675" s="11"/>
      <c r="M675" s="11"/>
    </row>
    <row r="676" spans="3:13" x14ac:dyDescent="0.3">
      <c r="C676" s="10"/>
      <c r="D676" s="11"/>
      <c r="E676" s="11"/>
      <c r="I676" s="10"/>
      <c r="J676" s="10"/>
      <c r="K676" s="11"/>
      <c r="L676" s="11"/>
      <c r="M676" s="11"/>
    </row>
    <row r="677" spans="3:13" x14ac:dyDescent="0.3">
      <c r="C677" s="10"/>
      <c r="D677" s="11"/>
      <c r="E677" s="11"/>
      <c r="I677" s="10"/>
      <c r="J677" s="10"/>
      <c r="K677" s="11"/>
      <c r="L677" s="11"/>
      <c r="M677" s="11"/>
    </row>
    <row r="678" spans="3:13" x14ac:dyDescent="0.3">
      <c r="C678" s="10"/>
      <c r="D678" s="11"/>
      <c r="E678" s="11"/>
      <c r="I678" s="10"/>
      <c r="J678" s="10"/>
      <c r="K678" s="11"/>
      <c r="L678" s="11"/>
      <c r="M678" s="11"/>
    </row>
    <row r="679" spans="3:13" x14ac:dyDescent="0.3">
      <c r="C679" s="10"/>
      <c r="D679" s="11"/>
      <c r="E679" s="11"/>
      <c r="I679" s="10"/>
      <c r="J679" s="10"/>
      <c r="K679" s="11"/>
      <c r="L679" s="11"/>
      <c r="M679" s="11"/>
    </row>
    <row r="680" spans="3:13" x14ac:dyDescent="0.3">
      <c r="C680" s="10"/>
      <c r="D680" s="11"/>
      <c r="E680" s="11"/>
      <c r="I680" s="10"/>
      <c r="J680" s="10"/>
      <c r="K680" s="11"/>
      <c r="L680" s="11"/>
      <c r="M680" s="11"/>
    </row>
    <row r="681" spans="3:13" x14ac:dyDescent="0.3">
      <c r="C681" s="10"/>
      <c r="D681" s="11"/>
      <c r="E681" s="11"/>
      <c r="I681" s="10"/>
      <c r="J681" s="10"/>
      <c r="K681" s="11"/>
      <c r="L681" s="11"/>
      <c r="M681" s="11"/>
    </row>
    <row r="682" spans="3:13" x14ac:dyDescent="0.3">
      <c r="C682" s="10"/>
      <c r="D682" s="11"/>
      <c r="E682" s="11"/>
      <c r="I682" s="10"/>
      <c r="J682" s="10"/>
      <c r="K682" s="11"/>
      <c r="L682" s="11"/>
      <c r="M682" s="11"/>
    </row>
    <row r="683" spans="3:13" x14ac:dyDescent="0.3">
      <c r="C683" s="10"/>
      <c r="D683" s="11"/>
      <c r="E683" s="11"/>
      <c r="I683" s="10"/>
      <c r="J683" s="10"/>
      <c r="K683" s="11"/>
      <c r="L683" s="11"/>
      <c r="M683" s="11"/>
    </row>
    <row r="684" spans="3:13" x14ac:dyDescent="0.3">
      <c r="C684" s="10"/>
      <c r="D684" s="11"/>
      <c r="E684" s="11"/>
      <c r="I684" s="10"/>
      <c r="J684" s="10"/>
      <c r="K684" s="11"/>
      <c r="L684" s="11"/>
      <c r="M684" s="11"/>
    </row>
    <row r="685" spans="3:13" x14ac:dyDescent="0.3">
      <c r="C685" s="10"/>
      <c r="D685" s="11"/>
      <c r="E685" s="11"/>
      <c r="I685" s="10"/>
      <c r="J685" s="10"/>
      <c r="K685" s="11"/>
      <c r="L685" s="11"/>
      <c r="M685" s="11"/>
    </row>
    <row r="686" spans="3:13" x14ac:dyDescent="0.3">
      <c r="C686" s="10"/>
      <c r="D686" s="11"/>
      <c r="E686" s="11"/>
      <c r="I686" s="10"/>
      <c r="J686" s="10"/>
      <c r="K686" s="11"/>
      <c r="L686" s="11"/>
      <c r="M686" s="11"/>
    </row>
    <row r="687" spans="3:13" x14ac:dyDescent="0.3">
      <c r="C687" s="10"/>
      <c r="D687" s="11"/>
      <c r="E687" s="11"/>
      <c r="I687" s="10"/>
      <c r="J687" s="10"/>
      <c r="K687" s="11"/>
      <c r="L687" s="11"/>
      <c r="M687" s="11"/>
    </row>
    <row r="688" spans="3:13" x14ac:dyDescent="0.3">
      <c r="C688" s="10"/>
      <c r="D688" s="11"/>
      <c r="E688" s="11"/>
      <c r="I688" s="10"/>
      <c r="J688" s="10"/>
      <c r="K688" s="11"/>
      <c r="L688" s="11"/>
      <c r="M688" s="11"/>
    </row>
    <row r="689" spans="3:13" x14ac:dyDescent="0.3">
      <c r="C689" s="10"/>
      <c r="D689" s="11"/>
      <c r="E689" s="11"/>
      <c r="I689" s="10"/>
      <c r="J689" s="10"/>
      <c r="K689" s="11"/>
      <c r="L689" s="11"/>
      <c r="M689" s="11"/>
    </row>
    <row r="690" spans="3:13" x14ac:dyDescent="0.3">
      <c r="C690" s="10"/>
      <c r="D690" s="11"/>
      <c r="E690" s="11"/>
      <c r="I690" s="10"/>
      <c r="J690" s="10"/>
      <c r="K690" s="11"/>
      <c r="L690" s="11"/>
      <c r="M690" s="11"/>
    </row>
    <row r="691" spans="3:13" x14ac:dyDescent="0.3">
      <c r="C691" s="10"/>
      <c r="D691" s="11"/>
      <c r="E691" s="11"/>
      <c r="I691" s="10"/>
      <c r="J691" s="10"/>
      <c r="K691" s="11"/>
      <c r="L691" s="11"/>
      <c r="M691" s="11"/>
    </row>
    <row r="692" spans="3:13" x14ac:dyDescent="0.3">
      <c r="C692" s="10"/>
      <c r="D692" s="11"/>
      <c r="E692" s="11"/>
      <c r="I692" s="10"/>
      <c r="J692" s="10"/>
      <c r="K692" s="11"/>
      <c r="L692" s="11"/>
      <c r="M692" s="11"/>
    </row>
    <row r="693" spans="3:13" x14ac:dyDescent="0.3">
      <c r="C693" s="10"/>
      <c r="D693" s="11"/>
      <c r="E693" s="11"/>
      <c r="I693" s="10"/>
      <c r="J693" s="10"/>
      <c r="K693" s="11"/>
      <c r="L693" s="11"/>
      <c r="M693" s="11"/>
    </row>
    <row r="694" spans="3:13" x14ac:dyDescent="0.3">
      <c r="C694" s="10"/>
      <c r="D694" s="11"/>
      <c r="E694" s="11"/>
      <c r="I694" s="10"/>
      <c r="J694" s="10"/>
      <c r="K694" s="11"/>
      <c r="L694" s="11"/>
      <c r="M694" s="11"/>
    </row>
    <row r="695" spans="3:13" x14ac:dyDescent="0.3">
      <c r="C695" s="10"/>
      <c r="D695" s="11"/>
      <c r="E695" s="11"/>
      <c r="I695" s="10"/>
      <c r="J695" s="10"/>
      <c r="K695" s="11"/>
      <c r="L695" s="11"/>
      <c r="M695" s="11"/>
    </row>
    <row r="696" spans="3:13" x14ac:dyDescent="0.3">
      <c r="C696" s="10"/>
      <c r="D696" s="11"/>
      <c r="E696" s="11"/>
      <c r="I696" s="10"/>
      <c r="J696" s="10"/>
      <c r="K696" s="11"/>
      <c r="L696" s="11"/>
      <c r="M696" s="11"/>
    </row>
    <row r="697" spans="3:13" x14ac:dyDescent="0.3">
      <c r="C697" s="10"/>
      <c r="D697" s="11"/>
      <c r="E697" s="11"/>
      <c r="I697" s="10"/>
      <c r="J697" s="10"/>
      <c r="K697" s="11"/>
      <c r="L697" s="11"/>
      <c r="M697" s="11"/>
    </row>
    <row r="698" spans="3:13" x14ac:dyDescent="0.3">
      <c r="C698" s="10"/>
      <c r="D698" s="11"/>
      <c r="E698" s="11"/>
      <c r="I698" s="10"/>
      <c r="J698" s="10"/>
      <c r="K698" s="11"/>
      <c r="L698" s="11"/>
      <c r="M698" s="11"/>
    </row>
    <row r="699" spans="3:13" x14ac:dyDescent="0.3">
      <c r="C699" s="10"/>
      <c r="D699" s="11"/>
      <c r="E699" s="11"/>
      <c r="I699" s="10"/>
      <c r="J699" s="10"/>
      <c r="K699" s="11"/>
      <c r="L699" s="11"/>
      <c r="M699" s="11"/>
    </row>
    <row r="700" spans="3:13" x14ac:dyDescent="0.3">
      <c r="C700" s="10"/>
      <c r="D700" s="11"/>
      <c r="E700" s="11"/>
      <c r="I700" s="10"/>
      <c r="J700" s="10"/>
      <c r="K700" s="11"/>
      <c r="L700" s="11"/>
      <c r="M700" s="11"/>
    </row>
    <row r="701" spans="3:13" x14ac:dyDescent="0.3">
      <c r="C701" s="10"/>
      <c r="D701" s="11"/>
      <c r="E701" s="11"/>
      <c r="I701" s="10"/>
      <c r="J701" s="10"/>
      <c r="K701" s="11"/>
      <c r="L701" s="11"/>
      <c r="M701" s="11"/>
    </row>
    <row r="702" spans="3:13" x14ac:dyDescent="0.3">
      <c r="C702" s="10"/>
      <c r="D702" s="11"/>
      <c r="E702" s="11"/>
      <c r="I702" s="10"/>
      <c r="J702" s="10"/>
      <c r="K702" s="11"/>
      <c r="L702" s="11"/>
      <c r="M702" s="11"/>
    </row>
    <row r="703" spans="3:13" x14ac:dyDescent="0.3">
      <c r="C703" s="10"/>
      <c r="D703" s="11"/>
      <c r="E703" s="11"/>
      <c r="I703" s="10"/>
      <c r="J703" s="10"/>
      <c r="K703" s="11"/>
      <c r="L703" s="11"/>
      <c r="M703" s="11"/>
    </row>
    <row r="704" spans="3:13" x14ac:dyDescent="0.3">
      <c r="C704" s="10"/>
      <c r="D704" s="11"/>
      <c r="E704" s="11"/>
      <c r="I704" s="10"/>
      <c r="J704" s="10"/>
      <c r="K704" s="11"/>
      <c r="L704" s="11"/>
      <c r="M704" s="11"/>
    </row>
    <row r="705" spans="3:13" x14ac:dyDescent="0.3">
      <c r="C705" s="10"/>
      <c r="D705" s="11"/>
      <c r="E705" s="11"/>
      <c r="I705" s="10"/>
      <c r="J705" s="10"/>
      <c r="K705" s="11"/>
      <c r="L705" s="11"/>
      <c r="M705" s="11"/>
    </row>
    <row r="706" spans="3:13" x14ac:dyDescent="0.3">
      <c r="C706" s="10"/>
      <c r="D706" s="11"/>
      <c r="E706" s="11"/>
      <c r="I706" s="10"/>
      <c r="J706" s="10"/>
      <c r="K706" s="11"/>
      <c r="L706" s="11"/>
      <c r="M706" s="11"/>
    </row>
    <row r="707" spans="3:13" x14ac:dyDescent="0.3">
      <c r="C707" s="10"/>
      <c r="D707" s="11"/>
      <c r="E707" s="11"/>
      <c r="I707" s="10"/>
      <c r="J707" s="10"/>
      <c r="K707" s="11"/>
      <c r="L707" s="11"/>
      <c r="M707" s="11"/>
    </row>
    <row r="708" spans="3:13" x14ac:dyDescent="0.3">
      <c r="C708" s="10"/>
      <c r="D708" s="11"/>
      <c r="E708" s="11"/>
      <c r="I708" s="10"/>
      <c r="J708" s="10"/>
      <c r="K708" s="11"/>
      <c r="L708" s="11"/>
      <c r="M708" s="11"/>
    </row>
    <row r="709" spans="3:13" x14ac:dyDescent="0.3">
      <c r="C709" s="10"/>
      <c r="D709" s="11"/>
      <c r="E709" s="11"/>
      <c r="I709" s="10"/>
      <c r="J709" s="10"/>
      <c r="K709" s="11"/>
      <c r="L709" s="11"/>
      <c r="M709" s="11"/>
    </row>
    <row r="710" spans="3:13" x14ac:dyDescent="0.3">
      <c r="C710" s="10"/>
      <c r="D710" s="11"/>
      <c r="E710" s="11"/>
      <c r="I710" s="10"/>
      <c r="J710" s="10"/>
      <c r="K710" s="11"/>
      <c r="L710" s="11"/>
      <c r="M710" s="11"/>
    </row>
    <row r="711" spans="3:13" x14ac:dyDescent="0.3">
      <c r="C711" s="10"/>
      <c r="D711" s="11"/>
      <c r="E711" s="11"/>
      <c r="I711" s="10"/>
      <c r="J711" s="10"/>
      <c r="K711" s="11"/>
      <c r="L711" s="11"/>
      <c r="M711" s="11"/>
    </row>
    <row r="712" spans="3:13" x14ac:dyDescent="0.3">
      <c r="C712" s="10"/>
      <c r="D712" s="11"/>
      <c r="E712" s="11"/>
      <c r="I712" s="10"/>
      <c r="J712" s="10"/>
      <c r="K712" s="11"/>
      <c r="L712" s="11"/>
      <c r="M712" s="11"/>
    </row>
    <row r="713" spans="3:13" x14ac:dyDescent="0.3">
      <c r="C713" s="10"/>
      <c r="D713" s="11"/>
      <c r="E713" s="11"/>
      <c r="I713" s="10"/>
      <c r="J713" s="10"/>
      <c r="K713" s="11"/>
      <c r="L713" s="11"/>
      <c r="M713" s="11"/>
    </row>
    <row r="714" spans="3:13" x14ac:dyDescent="0.3">
      <c r="C714" s="10"/>
      <c r="D714" s="11"/>
      <c r="E714" s="11"/>
      <c r="I714" s="10"/>
      <c r="J714" s="10"/>
      <c r="K714" s="11"/>
      <c r="L714" s="11"/>
      <c r="M714" s="11"/>
    </row>
    <row r="715" spans="3:13" x14ac:dyDescent="0.3">
      <c r="C715" s="10"/>
      <c r="D715" s="11"/>
      <c r="E715" s="11"/>
      <c r="I715" s="10"/>
      <c r="J715" s="10"/>
      <c r="K715" s="11"/>
      <c r="L715" s="11"/>
      <c r="M715" s="11"/>
    </row>
    <row r="716" spans="3:13" x14ac:dyDescent="0.3">
      <c r="C716" s="10"/>
      <c r="D716" s="11"/>
      <c r="E716" s="11"/>
      <c r="I716" s="10"/>
      <c r="J716" s="10"/>
      <c r="K716" s="11"/>
      <c r="L716" s="11"/>
      <c r="M716" s="11"/>
    </row>
    <row r="717" spans="3:13" x14ac:dyDescent="0.3">
      <c r="C717" s="10"/>
      <c r="D717" s="11"/>
      <c r="E717" s="11"/>
      <c r="I717" s="10"/>
      <c r="J717" s="10"/>
      <c r="K717" s="11"/>
      <c r="L717" s="11"/>
      <c r="M717" s="11"/>
    </row>
    <row r="718" spans="3:13" x14ac:dyDescent="0.3">
      <c r="C718" s="10"/>
      <c r="D718" s="11"/>
      <c r="E718" s="11"/>
      <c r="I718" s="10"/>
      <c r="J718" s="10"/>
      <c r="K718" s="11"/>
      <c r="L718" s="11"/>
      <c r="M718" s="11"/>
    </row>
    <row r="719" spans="3:13" x14ac:dyDescent="0.3">
      <c r="C719" s="10"/>
      <c r="D719" s="11"/>
      <c r="E719" s="11"/>
      <c r="I719" s="10"/>
      <c r="J719" s="10"/>
      <c r="K719" s="11"/>
      <c r="L719" s="11"/>
      <c r="M719" s="11"/>
    </row>
    <row r="720" spans="3:13" x14ac:dyDescent="0.3">
      <c r="C720" s="10"/>
      <c r="D720" s="11"/>
      <c r="E720" s="11"/>
      <c r="I720" s="10"/>
      <c r="J720" s="10"/>
      <c r="K720" s="11"/>
      <c r="L720" s="11"/>
      <c r="M720" s="11"/>
    </row>
    <row r="721" spans="3:13" x14ac:dyDescent="0.3">
      <c r="C721" s="10"/>
      <c r="D721" s="11"/>
      <c r="E721" s="11"/>
      <c r="I721" s="10"/>
      <c r="J721" s="10"/>
      <c r="K721" s="11"/>
      <c r="L721" s="11"/>
      <c r="M721" s="11"/>
    </row>
    <row r="722" spans="3:13" x14ac:dyDescent="0.3">
      <c r="C722" s="10"/>
      <c r="D722" s="11"/>
      <c r="E722" s="11"/>
      <c r="I722" s="10"/>
      <c r="J722" s="10"/>
      <c r="K722" s="11"/>
      <c r="L722" s="11"/>
      <c r="M722" s="11"/>
    </row>
    <row r="723" spans="3:13" x14ac:dyDescent="0.3">
      <c r="C723" s="10"/>
      <c r="D723" s="11"/>
      <c r="E723" s="11"/>
      <c r="I723" s="10"/>
      <c r="J723" s="10"/>
      <c r="K723" s="11"/>
      <c r="L723" s="11"/>
      <c r="M723" s="11"/>
    </row>
    <row r="724" spans="3:13" x14ac:dyDescent="0.3">
      <c r="C724" s="10"/>
      <c r="D724" s="11"/>
      <c r="E724" s="11"/>
      <c r="I724" s="10"/>
      <c r="J724" s="10"/>
      <c r="K724" s="11"/>
      <c r="L724" s="11"/>
      <c r="M724" s="11"/>
    </row>
    <row r="725" spans="3:13" x14ac:dyDescent="0.3">
      <c r="C725" s="10"/>
      <c r="D725" s="11"/>
      <c r="E725" s="11"/>
      <c r="I725" s="10"/>
      <c r="J725" s="10"/>
      <c r="K725" s="11"/>
      <c r="L725" s="11"/>
      <c r="M725" s="11"/>
    </row>
    <row r="726" spans="3:13" x14ac:dyDescent="0.3">
      <c r="C726" s="10"/>
      <c r="D726" s="11"/>
      <c r="E726" s="11"/>
      <c r="I726" s="10"/>
      <c r="J726" s="10"/>
      <c r="K726" s="11"/>
      <c r="L726" s="11"/>
      <c r="M726" s="11"/>
    </row>
    <row r="727" spans="3:13" x14ac:dyDescent="0.3">
      <c r="C727" s="10"/>
      <c r="D727" s="11"/>
      <c r="E727" s="11"/>
      <c r="I727" s="10"/>
      <c r="J727" s="10"/>
      <c r="K727" s="11"/>
      <c r="L727" s="11"/>
      <c r="M727" s="11"/>
    </row>
    <row r="728" spans="3:13" x14ac:dyDescent="0.3">
      <c r="C728" s="10"/>
      <c r="D728" s="11"/>
      <c r="E728" s="11"/>
      <c r="I728" s="10"/>
      <c r="J728" s="10"/>
      <c r="K728" s="11"/>
      <c r="L728" s="11"/>
      <c r="M728" s="11"/>
    </row>
    <row r="729" spans="3:13" x14ac:dyDescent="0.3">
      <c r="C729" s="10"/>
      <c r="D729" s="11"/>
      <c r="E729" s="11"/>
      <c r="I729" s="10"/>
      <c r="J729" s="10"/>
      <c r="K729" s="11"/>
      <c r="L729" s="11"/>
      <c r="M729" s="11"/>
    </row>
    <row r="730" spans="3:13" x14ac:dyDescent="0.3">
      <c r="C730" s="10"/>
      <c r="D730" s="11"/>
      <c r="E730" s="11"/>
      <c r="I730" s="10"/>
      <c r="J730" s="10"/>
      <c r="K730" s="11"/>
      <c r="L730" s="11"/>
      <c r="M730" s="11"/>
    </row>
    <row r="731" spans="3:13" x14ac:dyDescent="0.3">
      <c r="C731" s="10"/>
      <c r="D731" s="11"/>
      <c r="E731" s="11"/>
      <c r="I731" s="10"/>
      <c r="J731" s="10"/>
      <c r="K731" s="11"/>
      <c r="L731" s="11"/>
      <c r="M731" s="11"/>
    </row>
    <row r="732" spans="3:13" x14ac:dyDescent="0.3">
      <c r="C732" s="10"/>
      <c r="D732" s="11"/>
      <c r="E732" s="11"/>
      <c r="I732" s="10"/>
      <c r="J732" s="10"/>
      <c r="K732" s="11"/>
      <c r="L732" s="11"/>
      <c r="M732" s="11"/>
    </row>
    <row r="733" spans="3:13" x14ac:dyDescent="0.3">
      <c r="C733" s="10"/>
      <c r="D733" s="11"/>
      <c r="E733" s="11"/>
      <c r="I733" s="10"/>
      <c r="J733" s="10"/>
      <c r="K733" s="11"/>
      <c r="L733" s="11"/>
      <c r="M733" s="11"/>
    </row>
    <row r="734" spans="3:13" x14ac:dyDescent="0.3">
      <c r="C734" s="10"/>
      <c r="D734" s="11"/>
      <c r="E734" s="11"/>
      <c r="I734" s="10"/>
      <c r="J734" s="10"/>
      <c r="K734" s="11"/>
      <c r="L734" s="11"/>
      <c r="M734" s="11"/>
    </row>
    <row r="735" spans="3:13" x14ac:dyDescent="0.3">
      <c r="C735" s="10"/>
      <c r="D735" s="11"/>
      <c r="E735" s="11"/>
      <c r="I735" s="10"/>
      <c r="J735" s="10"/>
      <c r="K735" s="11"/>
      <c r="L735" s="11"/>
      <c r="M735" s="11"/>
    </row>
    <row r="736" spans="3:13" x14ac:dyDescent="0.3">
      <c r="C736" s="10"/>
      <c r="D736" s="11"/>
      <c r="E736" s="11"/>
      <c r="I736" s="10"/>
      <c r="J736" s="10"/>
      <c r="K736" s="11"/>
      <c r="L736" s="11"/>
      <c r="M736" s="11"/>
    </row>
    <row r="737" spans="3:13" x14ac:dyDescent="0.3">
      <c r="C737" s="10"/>
      <c r="D737" s="11"/>
      <c r="E737" s="11"/>
      <c r="I737" s="10"/>
      <c r="J737" s="10"/>
      <c r="K737" s="11"/>
      <c r="L737" s="11"/>
      <c r="M737" s="11"/>
    </row>
    <row r="738" spans="3:13" x14ac:dyDescent="0.3">
      <c r="C738" s="10"/>
      <c r="D738" s="11"/>
      <c r="E738" s="11"/>
      <c r="I738" s="10"/>
      <c r="J738" s="10"/>
      <c r="K738" s="11"/>
      <c r="L738" s="11"/>
      <c r="M738" s="11"/>
    </row>
    <row r="739" spans="3:13" x14ac:dyDescent="0.3">
      <c r="C739" s="10"/>
      <c r="D739" s="11"/>
      <c r="E739" s="11"/>
      <c r="I739" s="10"/>
      <c r="J739" s="10"/>
      <c r="K739" s="11"/>
      <c r="L739" s="11"/>
      <c r="M739" s="11"/>
    </row>
    <row r="740" spans="3:13" x14ac:dyDescent="0.3">
      <c r="C740" s="10"/>
      <c r="D740" s="11"/>
      <c r="E740" s="11"/>
      <c r="I740" s="10"/>
      <c r="J740" s="10"/>
      <c r="K740" s="11"/>
      <c r="L740" s="11"/>
      <c r="M740" s="11"/>
    </row>
    <row r="741" spans="3:13" x14ac:dyDescent="0.3">
      <c r="C741" s="10"/>
      <c r="D741" s="11"/>
      <c r="E741" s="11"/>
      <c r="I741" s="10"/>
      <c r="J741" s="10"/>
      <c r="K741" s="11"/>
      <c r="L741" s="11"/>
      <c r="M741" s="11"/>
    </row>
    <row r="742" spans="3:13" x14ac:dyDescent="0.3">
      <c r="C742" s="10"/>
      <c r="D742" s="11"/>
      <c r="E742" s="11"/>
      <c r="I742" s="10"/>
      <c r="J742" s="10"/>
      <c r="K742" s="11"/>
      <c r="L742" s="11"/>
      <c r="M742" s="11"/>
    </row>
    <row r="743" spans="3:13" x14ac:dyDescent="0.3">
      <c r="C743" s="10"/>
      <c r="D743" s="11"/>
      <c r="E743" s="11"/>
      <c r="I743" s="10"/>
      <c r="J743" s="10"/>
      <c r="K743" s="11"/>
      <c r="L743" s="11"/>
      <c r="M743" s="11"/>
    </row>
    <row r="744" spans="3:13" x14ac:dyDescent="0.3">
      <c r="C744" s="10"/>
      <c r="D744" s="11"/>
      <c r="E744" s="11"/>
      <c r="I744" s="10"/>
      <c r="J744" s="10"/>
      <c r="K744" s="11"/>
      <c r="L744" s="11"/>
      <c r="M744" s="11"/>
    </row>
    <row r="745" spans="3:13" x14ac:dyDescent="0.3">
      <c r="C745" s="10"/>
      <c r="D745" s="11"/>
      <c r="E745" s="11"/>
      <c r="I745" s="10"/>
      <c r="J745" s="10"/>
      <c r="K745" s="11"/>
      <c r="L745" s="11"/>
      <c r="M745" s="11"/>
    </row>
    <row r="746" spans="3:13" x14ac:dyDescent="0.3">
      <c r="C746" s="10"/>
      <c r="D746" s="11"/>
      <c r="E746" s="11"/>
      <c r="I746" s="10"/>
      <c r="J746" s="10"/>
      <c r="K746" s="11"/>
      <c r="L746" s="11"/>
      <c r="M746" s="11"/>
    </row>
    <row r="747" spans="3:13" x14ac:dyDescent="0.3">
      <c r="C747" s="10"/>
      <c r="D747" s="11"/>
      <c r="E747" s="11"/>
      <c r="I747" s="10"/>
      <c r="J747" s="10"/>
      <c r="K747" s="11"/>
      <c r="L747" s="11"/>
      <c r="M747" s="11"/>
    </row>
    <row r="748" spans="3:13" x14ac:dyDescent="0.3">
      <c r="C748" s="10"/>
      <c r="D748" s="11"/>
      <c r="E748" s="11"/>
      <c r="I748" s="10"/>
      <c r="J748" s="10"/>
      <c r="K748" s="11"/>
      <c r="L748" s="11"/>
      <c r="M748" s="11"/>
    </row>
    <row r="749" spans="3:13" x14ac:dyDescent="0.3">
      <c r="C749" s="10"/>
      <c r="D749" s="11"/>
      <c r="E749" s="11"/>
      <c r="I749" s="10"/>
      <c r="J749" s="10"/>
      <c r="K749" s="11"/>
      <c r="L749" s="11"/>
      <c r="M749" s="11"/>
    </row>
    <row r="750" spans="3:13" x14ac:dyDescent="0.3">
      <c r="C750" s="10"/>
      <c r="D750" s="11"/>
      <c r="E750" s="11"/>
      <c r="I750" s="10"/>
      <c r="J750" s="10"/>
      <c r="K750" s="11"/>
      <c r="L750" s="11"/>
      <c r="M750" s="11"/>
    </row>
    <row r="751" spans="3:13" x14ac:dyDescent="0.3">
      <c r="C751" s="10"/>
      <c r="D751" s="11"/>
      <c r="E751" s="11"/>
      <c r="I751" s="10"/>
      <c r="J751" s="10"/>
      <c r="K751" s="11"/>
      <c r="L751" s="11"/>
      <c r="M751" s="11"/>
    </row>
    <row r="752" spans="3:13" x14ac:dyDescent="0.3">
      <c r="C752" s="10"/>
      <c r="D752" s="11"/>
      <c r="E752" s="11"/>
      <c r="I752" s="10"/>
      <c r="J752" s="10"/>
      <c r="K752" s="11"/>
      <c r="L752" s="11"/>
      <c r="M752" s="11"/>
    </row>
    <row r="753" spans="3:13" x14ac:dyDescent="0.3">
      <c r="C753" s="10"/>
      <c r="D753" s="11"/>
      <c r="E753" s="11"/>
      <c r="I753" s="10"/>
      <c r="J753" s="10"/>
      <c r="K753" s="11"/>
      <c r="L753" s="11"/>
      <c r="M753" s="11"/>
    </row>
    <row r="754" spans="3:13" x14ac:dyDescent="0.3">
      <c r="C754" s="10"/>
      <c r="D754" s="11"/>
      <c r="E754" s="11"/>
      <c r="I754" s="10"/>
      <c r="J754" s="10"/>
      <c r="K754" s="11"/>
      <c r="L754" s="11"/>
      <c r="M754" s="11"/>
    </row>
    <row r="755" spans="3:13" x14ac:dyDescent="0.3">
      <c r="C755" s="10"/>
      <c r="D755" s="11"/>
      <c r="E755" s="11"/>
      <c r="I755" s="10"/>
      <c r="J755" s="10"/>
      <c r="K755" s="11"/>
      <c r="L755" s="11"/>
      <c r="M755" s="11"/>
    </row>
    <row r="756" spans="3:13" x14ac:dyDescent="0.3">
      <c r="C756" s="10"/>
      <c r="D756" s="11"/>
      <c r="E756" s="11"/>
      <c r="I756" s="10"/>
      <c r="J756" s="10"/>
      <c r="K756" s="11"/>
      <c r="L756" s="11"/>
      <c r="M756" s="11"/>
    </row>
    <row r="757" spans="3:13" x14ac:dyDescent="0.3">
      <c r="C757" s="10"/>
      <c r="D757" s="11"/>
      <c r="E757" s="11"/>
      <c r="I757" s="10"/>
      <c r="J757" s="10"/>
      <c r="K757" s="11"/>
      <c r="L757" s="11"/>
      <c r="M757" s="11"/>
    </row>
    <row r="758" spans="3:13" x14ac:dyDescent="0.3">
      <c r="C758" s="10"/>
      <c r="D758" s="11"/>
      <c r="E758" s="11"/>
      <c r="I758" s="10"/>
      <c r="J758" s="10"/>
      <c r="K758" s="11"/>
      <c r="L758" s="11"/>
      <c r="M758" s="11"/>
    </row>
    <row r="759" spans="3:13" x14ac:dyDescent="0.3">
      <c r="C759" s="10"/>
      <c r="D759" s="11"/>
      <c r="E759" s="11"/>
      <c r="I759" s="10"/>
      <c r="J759" s="10"/>
      <c r="K759" s="11"/>
      <c r="L759" s="11"/>
      <c r="M759" s="11"/>
    </row>
    <row r="760" spans="3:13" x14ac:dyDescent="0.3">
      <c r="C760" s="10"/>
      <c r="D760" s="11"/>
      <c r="E760" s="11"/>
      <c r="I760" s="10"/>
      <c r="J760" s="10"/>
      <c r="K760" s="11"/>
      <c r="L760" s="11"/>
      <c r="M760" s="11"/>
    </row>
    <row r="761" spans="3:13" x14ac:dyDescent="0.3">
      <c r="C761" s="10"/>
      <c r="D761" s="11"/>
      <c r="E761" s="11"/>
      <c r="I761" s="10"/>
      <c r="J761" s="10"/>
      <c r="K761" s="11"/>
      <c r="L761" s="11"/>
      <c r="M761" s="11"/>
    </row>
    <row r="762" spans="3:13" x14ac:dyDescent="0.3">
      <c r="C762" s="10"/>
      <c r="D762" s="11"/>
      <c r="E762" s="11"/>
      <c r="I762" s="10"/>
      <c r="J762" s="10"/>
      <c r="K762" s="11"/>
      <c r="L762" s="11"/>
      <c r="M762" s="11"/>
    </row>
    <row r="763" spans="3:13" x14ac:dyDescent="0.3">
      <c r="C763" s="10"/>
      <c r="D763" s="11"/>
      <c r="E763" s="11"/>
      <c r="I763" s="10"/>
      <c r="J763" s="10"/>
      <c r="K763" s="11"/>
      <c r="L763" s="11"/>
      <c r="M763" s="11"/>
    </row>
    <row r="764" spans="3:13" x14ac:dyDescent="0.3">
      <c r="C764" s="10"/>
      <c r="D764" s="11"/>
      <c r="E764" s="11"/>
      <c r="I764" s="10"/>
      <c r="J764" s="10"/>
      <c r="K764" s="11"/>
      <c r="L764" s="11"/>
      <c r="M764" s="11"/>
    </row>
    <row r="765" spans="3:13" x14ac:dyDescent="0.3">
      <c r="C765" s="10"/>
      <c r="D765" s="11"/>
      <c r="E765" s="11"/>
      <c r="I765" s="10"/>
      <c r="J765" s="10"/>
      <c r="K765" s="11"/>
      <c r="L765" s="11"/>
      <c r="M765" s="11"/>
    </row>
    <row r="766" spans="3:13" x14ac:dyDescent="0.3">
      <c r="C766" s="10"/>
      <c r="D766" s="11"/>
      <c r="E766" s="11"/>
      <c r="I766" s="10"/>
      <c r="J766" s="10"/>
      <c r="K766" s="11"/>
      <c r="L766" s="11"/>
      <c r="M766" s="11"/>
    </row>
    <row r="767" spans="3:13" x14ac:dyDescent="0.3">
      <c r="C767" s="10"/>
      <c r="D767" s="11"/>
      <c r="E767" s="11"/>
      <c r="I767" s="10"/>
      <c r="J767" s="10"/>
      <c r="K767" s="11"/>
      <c r="L767" s="11"/>
      <c r="M767" s="11"/>
    </row>
    <row r="768" spans="3:13" x14ac:dyDescent="0.3">
      <c r="C768" s="10"/>
      <c r="D768" s="11"/>
      <c r="E768" s="11"/>
      <c r="I768" s="10"/>
      <c r="J768" s="10"/>
      <c r="K768" s="11"/>
      <c r="L768" s="11"/>
      <c r="M768" s="11"/>
    </row>
    <row r="769" spans="3:13" x14ac:dyDescent="0.3">
      <c r="C769" s="10"/>
      <c r="D769" s="11"/>
      <c r="E769" s="11"/>
      <c r="I769" s="10"/>
      <c r="J769" s="10"/>
      <c r="K769" s="11"/>
      <c r="L769" s="11"/>
      <c r="M769" s="11"/>
    </row>
    <row r="770" spans="3:13" x14ac:dyDescent="0.3">
      <c r="C770" s="10"/>
      <c r="D770" s="11"/>
      <c r="E770" s="11"/>
      <c r="I770" s="10"/>
      <c r="J770" s="10"/>
      <c r="K770" s="11"/>
      <c r="L770" s="11"/>
      <c r="M770" s="11"/>
    </row>
    <row r="771" spans="3:13" x14ac:dyDescent="0.3">
      <c r="C771" s="10"/>
      <c r="D771" s="11"/>
      <c r="E771" s="11"/>
      <c r="I771" s="10"/>
      <c r="J771" s="10"/>
      <c r="K771" s="11"/>
      <c r="L771" s="11"/>
      <c r="M771" s="11"/>
    </row>
    <row r="772" spans="3:13" x14ac:dyDescent="0.3">
      <c r="C772" s="10"/>
      <c r="D772" s="11"/>
      <c r="E772" s="11"/>
      <c r="I772" s="10"/>
      <c r="J772" s="10"/>
      <c r="K772" s="11"/>
      <c r="L772" s="11"/>
      <c r="M772" s="11"/>
    </row>
    <row r="773" spans="3:13" x14ac:dyDescent="0.3">
      <c r="C773" s="10"/>
      <c r="D773" s="11"/>
      <c r="E773" s="11"/>
      <c r="I773" s="10"/>
      <c r="J773" s="10"/>
      <c r="K773" s="11"/>
      <c r="L773" s="11"/>
      <c r="M773" s="11"/>
    </row>
    <row r="774" spans="3:13" x14ac:dyDescent="0.3">
      <c r="C774" s="10"/>
      <c r="D774" s="11"/>
      <c r="E774" s="11"/>
      <c r="I774" s="10"/>
      <c r="J774" s="10"/>
      <c r="K774" s="11"/>
      <c r="L774" s="11"/>
      <c r="M774" s="11"/>
    </row>
    <row r="775" spans="3:13" x14ac:dyDescent="0.3">
      <c r="C775" s="10"/>
      <c r="D775" s="11"/>
      <c r="E775" s="11"/>
      <c r="I775" s="10"/>
      <c r="J775" s="10"/>
      <c r="K775" s="11"/>
      <c r="L775" s="11"/>
      <c r="M775" s="11"/>
    </row>
    <row r="776" spans="3:13" x14ac:dyDescent="0.3">
      <c r="C776" s="10"/>
      <c r="D776" s="11"/>
      <c r="E776" s="11"/>
      <c r="I776" s="10"/>
      <c r="J776" s="10"/>
      <c r="K776" s="11"/>
      <c r="L776" s="11"/>
      <c r="M776" s="11"/>
    </row>
    <row r="777" spans="3:13" x14ac:dyDescent="0.3">
      <c r="C777" s="10"/>
      <c r="D777" s="11"/>
      <c r="E777" s="11"/>
      <c r="I777" s="10"/>
      <c r="J777" s="10"/>
      <c r="K777" s="11"/>
      <c r="L777" s="11"/>
      <c r="M777" s="11"/>
    </row>
    <row r="778" spans="3:13" x14ac:dyDescent="0.3">
      <c r="C778" s="10"/>
      <c r="D778" s="11"/>
      <c r="E778" s="11"/>
      <c r="I778" s="10"/>
      <c r="J778" s="10"/>
      <c r="K778" s="11"/>
      <c r="L778" s="11"/>
      <c r="M778" s="11"/>
    </row>
    <row r="779" spans="3:13" x14ac:dyDescent="0.3">
      <c r="C779" s="10"/>
      <c r="D779" s="11"/>
      <c r="E779" s="11"/>
      <c r="I779" s="10"/>
      <c r="J779" s="10"/>
      <c r="K779" s="11"/>
      <c r="L779" s="11"/>
      <c r="M779" s="11"/>
    </row>
    <row r="780" spans="3:13" x14ac:dyDescent="0.3">
      <c r="C780" s="10"/>
      <c r="D780" s="11"/>
      <c r="E780" s="11"/>
      <c r="I780" s="10"/>
      <c r="J780" s="10"/>
      <c r="K780" s="11"/>
      <c r="L780" s="11"/>
      <c r="M780" s="11"/>
    </row>
    <row r="781" spans="3:13" x14ac:dyDescent="0.3">
      <c r="C781" s="10"/>
      <c r="D781" s="11"/>
      <c r="E781" s="11"/>
      <c r="I781" s="10"/>
      <c r="J781" s="10"/>
      <c r="K781" s="11"/>
      <c r="L781" s="11"/>
      <c r="M781" s="11"/>
    </row>
    <row r="782" spans="3:13" x14ac:dyDescent="0.3">
      <c r="C782" s="10"/>
      <c r="D782" s="11"/>
      <c r="E782" s="11"/>
      <c r="I782" s="10"/>
      <c r="J782" s="10"/>
      <c r="K782" s="11"/>
      <c r="L782" s="11"/>
      <c r="M782" s="11"/>
    </row>
    <row r="783" spans="3:13" x14ac:dyDescent="0.3">
      <c r="C783" s="10"/>
      <c r="D783" s="11"/>
      <c r="E783" s="11"/>
      <c r="I783" s="10"/>
      <c r="J783" s="10"/>
      <c r="K783" s="11"/>
      <c r="L783" s="11"/>
      <c r="M783" s="11"/>
    </row>
    <row r="784" spans="3:13" x14ac:dyDescent="0.3">
      <c r="C784" s="10"/>
      <c r="D784" s="11"/>
      <c r="E784" s="11"/>
      <c r="I784" s="10"/>
      <c r="J784" s="10"/>
      <c r="K784" s="11"/>
      <c r="L784" s="11"/>
      <c r="M784" s="11"/>
    </row>
    <row r="785" spans="3:13" x14ac:dyDescent="0.3">
      <c r="C785" s="10"/>
      <c r="D785" s="11"/>
      <c r="E785" s="11"/>
      <c r="I785" s="10"/>
      <c r="J785" s="10"/>
      <c r="K785" s="11"/>
      <c r="L785" s="11"/>
      <c r="M785" s="11"/>
    </row>
    <row r="786" spans="3:13" x14ac:dyDescent="0.3">
      <c r="C786" s="10"/>
      <c r="D786" s="11"/>
      <c r="E786" s="11"/>
      <c r="I786" s="10"/>
      <c r="J786" s="10"/>
      <c r="K786" s="11"/>
      <c r="L786" s="11"/>
      <c r="M786" s="11"/>
    </row>
    <row r="787" spans="3:13" x14ac:dyDescent="0.3">
      <c r="C787" s="10"/>
      <c r="D787" s="11"/>
      <c r="E787" s="11"/>
      <c r="I787" s="10"/>
      <c r="J787" s="10"/>
      <c r="K787" s="11"/>
      <c r="L787" s="11"/>
      <c r="M787" s="11"/>
    </row>
    <row r="788" spans="3:13" x14ac:dyDescent="0.3">
      <c r="C788" s="10"/>
      <c r="D788" s="11"/>
      <c r="E788" s="11"/>
      <c r="I788" s="10"/>
      <c r="J788" s="10"/>
      <c r="K788" s="11"/>
      <c r="L788" s="11"/>
      <c r="M788" s="11"/>
    </row>
    <row r="789" spans="3:13" x14ac:dyDescent="0.3">
      <c r="C789" s="10"/>
      <c r="D789" s="11"/>
      <c r="E789" s="11"/>
      <c r="I789" s="10"/>
      <c r="J789" s="10"/>
      <c r="K789" s="11"/>
      <c r="L789" s="11"/>
      <c r="M789" s="11"/>
    </row>
    <row r="790" spans="3:13" x14ac:dyDescent="0.3">
      <c r="C790" s="10"/>
      <c r="D790" s="11"/>
      <c r="E790" s="11"/>
      <c r="I790" s="10"/>
      <c r="J790" s="10"/>
      <c r="K790" s="11"/>
      <c r="L790" s="11"/>
      <c r="M790" s="11"/>
    </row>
    <row r="791" spans="3:13" x14ac:dyDescent="0.3">
      <c r="C791" s="10"/>
      <c r="D791" s="11"/>
      <c r="E791" s="11"/>
      <c r="I791" s="10"/>
      <c r="J791" s="10"/>
      <c r="K791" s="11"/>
      <c r="L791" s="11"/>
      <c r="M791" s="11"/>
    </row>
    <row r="792" spans="3:13" x14ac:dyDescent="0.3">
      <c r="C792" s="10"/>
      <c r="D792" s="11"/>
      <c r="E792" s="11"/>
      <c r="I792" s="10"/>
      <c r="J792" s="10"/>
      <c r="K792" s="11"/>
      <c r="L792" s="11"/>
      <c r="M792" s="11"/>
    </row>
    <row r="793" spans="3:13" x14ac:dyDescent="0.3">
      <c r="C793" s="10"/>
      <c r="D793" s="11"/>
      <c r="E793" s="11"/>
      <c r="I793" s="10"/>
      <c r="J793" s="10"/>
      <c r="K793" s="11"/>
      <c r="L793" s="11"/>
      <c r="M793" s="11"/>
    </row>
    <row r="794" spans="3:13" x14ac:dyDescent="0.3">
      <c r="C794" s="10"/>
      <c r="D794" s="11"/>
      <c r="E794" s="11"/>
      <c r="I794" s="10"/>
      <c r="J794" s="10"/>
      <c r="K794" s="11"/>
      <c r="L794" s="11"/>
      <c r="M794" s="11"/>
    </row>
    <row r="795" spans="3:13" x14ac:dyDescent="0.3">
      <c r="C795" s="10"/>
      <c r="D795" s="11"/>
      <c r="E795" s="11"/>
      <c r="I795" s="10"/>
      <c r="J795" s="10"/>
      <c r="K795" s="11"/>
      <c r="L795" s="11"/>
      <c r="M795" s="11"/>
    </row>
    <row r="796" spans="3:13" x14ac:dyDescent="0.3">
      <c r="C796" s="10"/>
      <c r="D796" s="11"/>
      <c r="E796" s="11"/>
      <c r="I796" s="10"/>
      <c r="J796" s="10"/>
      <c r="K796" s="11"/>
      <c r="L796" s="11"/>
      <c r="M796" s="11"/>
    </row>
    <row r="797" spans="3:13" x14ac:dyDescent="0.3">
      <c r="C797" s="10"/>
      <c r="D797" s="11"/>
      <c r="E797" s="11"/>
      <c r="I797" s="10"/>
      <c r="J797" s="10"/>
      <c r="K797" s="11"/>
      <c r="L797" s="11"/>
      <c r="M797" s="11"/>
    </row>
    <row r="798" spans="3:13" x14ac:dyDescent="0.3">
      <c r="C798" s="10"/>
      <c r="D798" s="11"/>
      <c r="E798" s="11"/>
      <c r="I798" s="10"/>
      <c r="J798" s="10"/>
      <c r="K798" s="11"/>
      <c r="L798" s="11"/>
      <c r="M798" s="11"/>
    </row>
    <row r="799" spans="3:13" x14ac:dyDescent="0.3">
      <c r="C799" s="10"/>
      <c r="D799" s="11"/>
      <c r="E799" s="11"/>
      <c r="I799" s="10"/>
      <c r="J799" s="10"/>
      <c r="K799" s="11"/>
      <c r="L799" s="11"/>
      <c r="M799" s="11"/>
    </row>
    <row r="800" spans="3:13" x14ac:dyDescent="0.3">
      <c r="C800" s="10"/>
      <c r="D800" s="11"/>
      <c r="E800" s="11"/>
      <c r="I800" s="10"/>
      <c r="J800" s="10"/>
      <c r="K800" s="11"/>
      <c r="L800" s="11"/>
      <c r="M800" s="11"/>
    </row>
    <row r="801" spans="3:13" x14ac:dyDescent="0.3">
      <c r="C801" s="10"/>
      <c r="D801" s="11"/>
      <c r="E801" s="11"/>
      <c r="I801" s="10"/>
      <c r="J801" s="10"/>
      <c r="K801" s="11"/>
      <c r="L801" s="11"/>
      <c r="M801" s="11"/>
    </row>
    <row r="802" spans="3:13" x14ac:dyDescent="0.3">
      <c r="C802" s="10"/>
      <c r="D802" s="11"/>
      <c r="E802" s="11"/>
      <c r="I802" s="10"/>
      <c r="J802" s="10"/>
      <c r="K802" s="11"/>
      <c r="L802" s="11"/>
      <c r="M802" s="11"/>
    </row>
    <row r="803" spans="3:13" x14ac:dyDescent="0.3">
      <c r="C803" s="10"/>
      <c r="D803" s="11"/>
      <c r="E803" s="11"/>
      <c r="I803" s="10"/>
      <c r="J803" s="10"/>
      <c r="K803" s="11"/>
      <c r="L803" s="11"/>
      <c r="M803" s="11"/>
    </row>
    <row r="804" spans="3:13" x14ac:dyDescent="0.3">
      <c r="C804" s="10"/>
      <c r="D804" s="11"/>
      <c r="E804" s="11"/>
      <c r="I804" s="10"/>
      <c r="J804" s="10"/>
      <c r="K804" s="11"/>
      <c r="L804" s="11"/>
      <c r="M804" s="11"/>
    </row>
    <row r="805" spans="3:13" x14ac:dyDescent="0.3">
      <c r="C805" s="10"/>
      <c r="D805" s="11"/>
      <c r="E805" s="11"/>
      <c r="I805" s="10"/>
      <c r="J805" s="10"/>
      <c r="K805" s="11"/>
      <c r="L805" s="11"/>
      <c r="M805" s="11"/>
    </row>
    <row r="806" spans="3:13" x14ac:dyDescent="0.3">
      <c r="C806" s="10"/>
      <c r="D806" s="11"/>
      <c r="E806" s="11"/>
      <c r="I806" s="10"/>
      <c r="J806" s="10"/>
      <c r="K806" s="11"/>
      <c r="L806" s="11"/>
      <c r="M806" s="11"/>
    </row>
    <row r="807" spans="3:13" x14ac:dyDescent="0.3">
      <c r="C807" s="10"/>
      <c r="D807" s="11"/>
      <c r="E807" s="11"/>
      <c r="I807" s="10"/>
      <c r="J807" s="10"/>
      <c r="K807" s="11"/>
      <c r="L807" s="11"/>
      <c r="M807" s="11"/>
    </row>
    <row r="808" spans="3:13" x14ac:dyDescent="0.3">
      <c r="C808" s="10"/>
      <c r="D808" s="11"/>
      <c r="E808" s="11"/>
      <c r="I808" s="10"/>
      <c r="J808" s="10"/>
      <c r="K808" s="11"/>
      <c r="L808" s="11"/>
      <c r="M808" s="11"/>
    </row>
    <row r="809" spans="3:13" x14ac:dyDescent="0.3">
      <c r="C809" s="10"/>
      <c r="D809" s="11"/>
      <c r="E809" s="11"/>
      <c r="I809" s="10"/>
      <c r="J809" s="10"/>
      <c r="K809" s="11"/>
      <c r="L809" s="11"/>
      <c r="M809" s="11"/>
    </row>
    <row r="810" spans="3:13" x14ac:dyDescent="0.3">
      <c r="C810" s="10"/>
      <c r="D810" s="11"/>
      <c r="E810" s="11"/>
      <c r="I810" s="10"/>
      <c r="J810" s="10"/>
      <c r="K810" s="11"/>
      <c r="L810" s="11"/>
      <c r="M810" s="11"/>
    </row>
    <row r="811" spans="3:13" x14ac:dyDescent="0.3">
      <c r="C811" s="10"/>
      <c r="D811" s="11"/>
      <c r="E811" s="11"/>
      <c r="I811" s="10"/>
      <c r="J811" s="10"/>
      <c r="K811" s="11"/>
      <c r="L811" s="11"/>
      <c r="M811" s="11"/>
    </row>
    <row r="812" spans="3:13" x14ac:dyDescent="0.3">
      <c r="C812" s="10"/>
      <c r="D812" s="11"/>
      <c r="E812" s="11"/>
      <c r="I812" s="10"/>
      <c r="J812" s="10"/>
      <c r="K812" s="11"/>
      <c r="L812" s="11"/>
      <c r="M812" s="11"/>
    </row>
    <row r="813" spans="3:13" x14ac:dyDescent="0.3">
      <c r="C813" s="10"/>
      <c r="D813" s="11"/>
      <c r="E813" s="11"/>
      <c r="I813" s="10"/>
      <c r="J813" s="10"/>
      <c r="K813" s="11"/>
      <c r="L813" s="11"/>
      <c r="M813" s="11"/>
    </row>
    <row r="814" spans="3:13" x14ac:dyDescent="0.3">
      <c r="C814" s="10"/>
      <c r="D814" s="11"/>
      <c r="E814" s="11"/>
      <c r="I814" s="10"/>
      <c r="J814" s="10"/>
      <c r="K814" s="11"/>
      <c r="L814" s="11"/>
      <c r="M814" s="11"/>
    </row>
    <row r="815" spans="3:13" x14ac:dyDescent="0.3">
      <c r="C815" s="10"/>
      <c r="D815" s="11"/>
      <c r="E815" s="11"/>
      <c r="I815" s="10"/>
      <c r="J815" s="10"/>
      <c r="K815" s="11"/>
      <c r="L815" s="11"/>
      <c r="M815" s="11"/>
    </row>
    <row r="816" spans="3:13" x14ac:dyDescent="0.3">
      <c r="C816" s="10"/>
      <c r="D816" s="11"/>
      <c r="E816" s="11"/>
      <c r="I816" s="10"/>
      <c r="J816" s="10"/>
      <c r="K816" s="11"/>
      <c r="L816" s="11"/>
      <c r="M816" s="11"/>
    </row>
    <row r="817" spans="3:13" x14ac:dyDescent="0.3">
      <c r="C817" s="10"/>
      <c r="D817" s="11"/>
      <c r="E817" s="11"/>
      <c r="I817" s="10"/>
      <c r="J817" s="10"/>
      <c r="K817" s="11"/>
      <c r="L817" s="11"/>
      <c r="M817" s="11"/>
    </row>
    <row r="818" spans="3:13" x14ac:dyDescent="0.3">
      <c r="C818" s="10"/>
      <c r="D818" s="11"/>
      <c r="E818" s="11"/>
      <c r="I818" s="10"/>
      <c r="J818" s="10"/>
      <c r="K818" s="11"/>
      <c r="L818" s="11"/>
      <c r="M818" s="11"/>
    </row>
    <row r="819" spans="3:13" x14ac:dyDescent="0.3">
      <c r="C819" s="10"/>
      <c r="D819" s="11"/>
      <c r="E819" s="11"/>
      <c r="I819" s="10"/>
      <c r="J819" s="10"/>
      <c r="K819" s="11"/>
      <c r="L819" s="11"/>
      <c r="M819" s="11"/>
    </row>
    <row r="820" spans="3:13" x14ac:dyDescent="0.3">
      <c r="C820" s="10"/>
      <c r="D820" s="11"/>
      <c r="E820" s="11"/>
      <c r="I820" s="10"/>
      <c r="J820" s="10"/>
      <c r="K820" s="11"/>
      <c r="L820" s="11"/>
      <c r="M820" s="11"/>
    </row>
    <row r="821" spans="3:13" x14ac:dyDescent="0.3">
      <c r="C821" s="10"/>
      <c r="D821" s="11"/>
      <c r="E821" s="11"/>
      <c r="I821" s="10"/>
      <c r="J821" s="10"/>
      <c r="K821" s="11"/>
      <c r="L821" s="11"/>
      <c r="M821" s="11"/>
    </row>
    <row r="822" spans="3:13" x14ac:dyDescent="0.3">
      <c r="C822" s="10"/>
      <c r="D822" s="11"/>
      <c r="E822" s="11"/>
      <c r="I822" s="10"/>
      <c r="J822" s="10"/>
      <c r="K822" s="11"/>
      <c r="L822" s="11"/>
      <c r="M822" s="11"/>
    </row>
    <row r="823" spans="3:13" x14ac:dyDescent="0.3">
      <c r="C823" s="10"/>
      <c r="D823" s="11"/>
      <c r="E823" s="11"/>
      <c r="I823" s="10"/>
      <c r="J823" s="10"/>
      <c r="K823" s="11"/>
      <c r="L823" s="11"/>
      <c r="M823" s="11"/>
    </row>
    <row r="824" spans="3:13" x14ac:dyDescent="0.3">
      <c r="C824" s="10"/>
      <c r="D824" s="11"/>
      <c r="E824" s="11"/>
      <c r="I824" s="10"/>
      <c r="J824" s="10"/>
      <c r="K824" s="11"/>
      <c r="L824" s="11"/>
      <c r="M824" s="11"/>
    </row>
    <row r="825" spans="3:13" x14ac:dyDescent="0.3">
      <c r="C825" s="10"/>
      <c r="D825" s="11"/>
      <c r="E825" s="11"/>
      <c r="I825" s="10"/>
      <c r="J825" s="10"/>
      <c r="K825" s="11"/>
      <c r="L825" s="11"/>
      <c r="M825" s="11"/>
    </row>
    <row r="826" spans="3:13" x14ac:dyDescent="0.3">
      <c r="C826" s="10"/>
      <c r="D826" s="11"/>
      <c r="E826" s="11"/>
      <c r="I826" s="10"/>
      <c r="J826" s="10"/>
      <c r="K826" s="11"/>
      <c r="L826" s="11"/>
      <c r="M826" s="11"/>
    </row>
    <row r="827" spans="3:13" x14ac:dyDescent="0.3">
      <c r="C827" s="10"/>
      <c r="D827" s="11"/>
      <c r="E827" s="11"/>
      <c r="I827" s="10"/>
      <c r="J827" s="10"/>
      <c r="K827" s="11"/>
      <c r="L827" s="11"/>
      <c r="M827" s="11"/>
    </row>
    <row r="828" spans="3:13" x14ac:dyDescent="0.3">
      <c r="C828" s="10"/>
      <c r="D828" s="11"/>
      <c r="E828" s="11"/>
      <c r="I828" s="10"/>
      <c r="J828" s="10"/>
      <c r="K828" s="11"/>
      <c r="L828" s="11"/>
      <c r="M828" s="11"/>
    </row>
    <row r="829" spans="3:13" x14ac:dyDescent="0.3">
      <c r="C829" s="10"/>
      <c r="D829" s="11"/>
      <c r="E829" s="11"/>
      <c r="I829" s="10"/>
      <c r="J829" s="10"/>
      <c r="K829" s="11"/>
      <c r="L829" s="11"/>
      <c r="M829" s="11"/>
    </row>
    <row r="830" spans="3:13" x14ac:dyDescent="0.3">
      <c r="C830" s="10"/>
      <c r="D830" s="11"/>
      <c r="E830" s="11"/>
      <c r="I830" s="10"/>
      <c r="J830" s="10"/>
      <c r="K830" s="11"/>
      <c r="L830" s="11"/>
      <c r="M830" s="11"/>
    </row>
    <row r="831" spans="3:13" x14ac:dyDescent="0.3">
      <c r="C831" s="10"/>
      <c r="D831" s="11"/>
      <c r="E831" s="11"/>
      <c r="I831" s="10"/>
      <c r="J831" s="10"/>
      <c r="K831" s="11"/>
      <c r="L831" s="11"/>
      <c r="M831" s="11"/>
    </row>
    <row r="832" spans="3:13" x14ac:dyDescent="0.3">
      <c r="C832" s="10"/>
      <c r="D832" s="11"/>
      <c r="E832" s="11"/>
      <c r="I832" s="10"/>
      <c r="J832" s="10"/>
      <c r="K832" s="11"/>
      <c r="L832" s="11"/>
      <c r="M832" s="11"/>
    </row>
    <row r="833" spans="3:13" x14ac:dyDescent="0.3">
      <c r="C833" s="10"/>
      <c r="D833" s="11"/>
      <c r="E833" s="11"/>
      <c r="I833" s="10"/>
      <c r="J833" s="10"/>
      <c r="K833" s="11"/>
      <c r="L833" s="11"/>
      <c r="M833" s="11"/>
    </row>
    <row r="834" spans="3:13" x14ac:dyDescent="0.3">
      <c r="C834" s="10"/>
      <c r="D834" s="11"/>
      <c r="E834" s="11"/>
      <c r="I834" s="10"/>
      <c r="J834" s="10"/>
      <c r="K834" s="11"/>
      <c r="L834" s="11"/>
      <c r="M834" s="11"/>
    </row>
    <row r="835" spans="3:13" x14ac:dyDescent="0.3">
      <c r="C835" s="10"/>
      <c r="D835" s="11"/>
      <c r="E835" s="11"/>
      <c r="I835" s="10"/>
      <c r="J835" s="10"/>
      <c r="K835" s="11"/>
      <c r="L835" s="11"/>
      <c r="M835" s="11"/>
    </row>
    <row r="836" spans="3:13" x14ac:dyDescent="0.3">
      <c r="C836" s="10"/>
      <c r="D836" s="11"/>
      <c r="E836" s="11"/>
      <c r="I836" s="10"/>
      <c r="J836" s="10"/>
      <c r="K836" s="11"/>
      <c r="L836" s="11"/>
      <c r="M836" s="11"/>
    </row>
    <row r="837" spans="3:13" x14ac:dyDescent="0.3">
      <c r="C837" s="10"/>
      <c r="D837" s="11"/>
      <c r="E837" s="11"/>
      <c r="I837" s="10"/>
      <c r="J837" s="10"/>
      <c r="K837" s="11"/>
      <c r="L837" s="11"/>
      <c r="M837" s="11"/>
    </row>
    <row r="838" spans="3:13" x14ac:dyDescent="0.3">
      <c r="C838" s="10"/>
      <c r="D838" s="11"/>
      <c r="E838" s="11"/>
      <c r="I838" s="10"/>
      <c r="J838" s="10"/>
      <c r="K838" s="11"/>
      <c r="L838" s="11"/>
      <c r="M838" s="11"/>
    </row>
    <row r="839" spans="3:13" x14ac:dyDescent="0.3">
      <c r="C839" s="10"/>
      <c r="D839" s="11"/>
      <c r="E839" s="11"/>
      <c r="I839" s="10"/>
      <c r="J839" s="10"/>
      <c r="K839" s="11"/>
      <c r="L839" s="11"/>
      <c r="M839" s="11"/>
    </row>
    <row r="840" spans="3:13" x14ac:dyDescent="0.3">
      <c r="C840" s="10"/>
      <c r="D840" s="11"/>
      <c r="E840" s="11"/>
      <c r="I840" s="10"/>
      <c r="J840" s="10"/>
      <c r="K840" s="11"/>
      <c r="L840" s="11"/>
      <c r="M840" s="11"/>
    </row>
    <row r="841" spans="3:13" x14ac:dyDescent="0.3">
      <c r="C841" s="10"/>
      <c r="D841" s="11"/>
      <c r="E841" s="11"/>
      <c r="I841" s="10"/>
      <c r="J841" s="10"/>
      <c r="K841" s="11"/>
      <c r="L841" s="11"/>
      <c r="M841" s="11"/>
    </row>
    <row r="842" spans="3:13" x14ac:dyDescent="0.3">
      <c r="C842" s="10"/>
      <c r="D842" s="11"/>
      <c r="E842" s="11"/>
      <c r="I842" s="10"/>
      <c r="J842" s="10"/>
      <c r="K842" s="11"/>
      <c r="L842" s="11"/>
      <c r="M842" s="11"/>
    </row>
    <row r="843" spans="3:13" x14ac:dyDescent="0.3">
      <c r="C843" s="10"/>
      <c r="D843" s="11"/>
      <c r="E843" s="11"/>
      <c r="I843" s="10"/>
      <c r="J843" s="10"/>
      <c r="K843" s="11"/>
      <c r="L843" s="11"/>
      <c r="M843" s="11"/>
    </row>
    <row r="844" spans="3:13" x14ac:dyDescent="0.3">
      <c r="C844" s="10"/>
      <c r="D844" s="11"/>
      <c r="E844" s="11"/>
      <c r="I844" s="10"/>
      <c r="J844" s="10"/>
      <c r="K844" s="11"/>
      <c r="L844" s="11"/>
      <c r="M844" s="11"/>
    </row>
    <row r="845" spans="3:13" x14ac:dyDescent="0.3">
      <c r="C845" s="10"/>
      <c r="D845" s="11"/>
      <c r="E845" s="11"/>
      <c r="I845" s="10"/>
      <c r="J845" s="10"/>
      <c r="K845" s="11"/>
      <c r="L845" s="11"/>
      <c r="M845" s="11"/>
    </row>
    <row r="846" spans="3:13" x14ac:dyDescent="0.3">
      <c r="C846" s="10"/>
      <c r="D846" s="11"/>
      <c r="E846" s="11"/>
      <c r="I846" s="10"/>
      <c r="J846" s="10"/>
      <c r="K846" s="11"/>
      <c r="L846" s="11"/>
      <c r="M846" s="11"/>
    </row>
    <row r="847" spans="3:13" x14ac:dyDescent="0.3">
      <c r="C847" s="10"/>
      <c r="D847" s="11"/>
      <c r="E847" s="11"/>
      <c r="I847" s="10"/>
      <c r="J847" s="10"/>
      <c r="K847" s="11"/>
      <c r="L847" s="11"/>
      <c r="M847" s="11"/>
    </row>
    <row r="848" spans="3:13" x14ac:dyDescent="0.3">
      <c r="C848" s="10"/>
      <c r="D848" s="11"/>
      <c r="E848" s="11"/>
      <c r="I848" s="10"/>
      <c r="J848" s="10"/>
      <c r="K848" s="11"/>
      <c r="L848" s="11"/>
      <c r="M848" s="11"/>
    </row>
    <row r="849" spans="3:13" x14ac:dyDescent="0.3">
      <c r="C849" s="10"/>
      <c r="D849" s="11"/>
      <c r="E849" s="11"/>
      <c r="I849" s="10"/>
      <c r="J849" s="10"/>
      <c r="K849" s="11"/>
      <c r="L849" s="11"/>
      <c r="M849" s="11"/>
    </row>
    <row r="850" spans="3:13" x14ac:dyDescent="0.3">
      <c r="C850" s="10"/>
      <c r="D850" s="11"/>
      <c r="E850" s="11"/>
      <c r="I850" s="10"/>
      <c r="J850" s="10"/>
      <c r="K850" s="11"/>
      <c r="L850" s="11"/>
      <c r="M850" s="11"/>
    </row>
    <row r="851" spans="3:13" x14ac:dyDescent="0.3">
      <c r="C851" s="10"/>
      <c r="D851" s="11"/>
      <c r="E851" s="11"/>
      <c r="I851" s="10"/>
      <c r="J851" s="10"/>
      <c r="K851" s="11"/>
      <c r="L851" s="11"/>
      <c r="M851" s="11"/>
    </row>
    <row r="852" spans="3:13" x14ac:dyDescent="0.3">
      <c r="C852" s="10"/>
      <c r="D852" s="11"/>
      <c r="E852" s="11"/>
      <c r="I852" s="10"/>
      <c r="J852" s="10"/>
      <c r="K852" s="11"/>
      <c r="L852" s="11"/>
      <c r="M852" s="11"/>
    </row>
    <row r="853" spans="3:13" x14ac:dyDescent="0.3">
      <c r="C853" s="10"/>
      <c r="D853" s="11"/>
      <c r="E853" s="11"/>
      <c r="I853" s="10"/>
      <c r="J853" s="10"/>
      <c r="K853" s="11"/>
      <c r="L853" s="11"/>
      <c r="M853" s="11"/>
    </row>
    <row r="854" spans="3:13" x14ac:dyDescent="0.3">
      <c r="C854" s="10"/>
      <c r="D854" s="11"/>
      <c r="E854" s="11"/>
      <c r="I854" s="10"/>
      <c r="J854" s="10"/>
      <c r="K854" s="11"/>
      <c r="L854" s="11"/>
      <c r="M854" s="11"/>
    </row>
    <row r="855" spans="3:13" x14ac:dyDescent="0.3">
      <c r="C855" s="10"/>
      <c r="D855" s="11"/>
      <c r="E855" s="11"/>
      <c r="I855" s="10"/>
      <c r="J855" s="10"/>
      <c r="K855" s="11"/>
      <c r="L855" s="11"/>
      <c r="M855" s="11"/>
    </row>
    <row r="856" spans="3:13" x14ac:dyDescent="0.3">
      <c r="C856" s="10"/>
      <c r="D856" s="11"/>
      <c r="E856" s="11"/>
      <c r="I856" s="10"/>
      <c r="J856" s="10"/>
      <c r="K856" s="11"/>
      <c r="L856" s="11"/>
      <c r="M856" s="11"/>
    </row>
    <row r="857" spans="3:13" x14ac:dyDescent="0.3">
      <c r="C857" s="10"/>
      <c r="D857" s="11"/>
      <c r="E857" s="11"/>
      <c r="I857" s="10"/>
      <c r="J857" s="10"/>
      <c r="K857" s="11"/>
      <c r="L857" s="11"/>
      <c r="M857" s="11"/>
    </row>
    <row r="858" spans="3:13" x14ac:dyDescent="0.3">
      <c r="C858" s="10"/>
      <c r="D858" s="11"/>
      <c r="E858" s="11"/>
      <c r="I858" s="10"/>
      <c r="J858" s="10"/>
      <c r="K858" s="11"/>
      <c r="L858" s="11"/>
      <c r="M858" s="11"/>
    </row>
    <row r="859" spans="3:13" x14ac:dyDescent="0.3">
      <c r="C859" s="10"/>
      <c r="D859" s="11"/>
      <c r="E859" s="11"/>
      <c r="I859" s="10"/>
      <c r="J859" s="10"/>
      <c r="K859" s="11"/>
      <c r="L859" s="11"/>
      <c r="M859" s="11"/>
    </row>
    <row r="860" spans="3:13" x14ac:dyDescent="0.3">
      <c r="C860" s="10"/>
      <c r="D860" s="11"/>
      <c r="E860" s="11"/>
      <c r="I860" s="10"/>
      <c r="J860" s="10"/>
      <c r="K860" s="11"/>
      <c r="L860" s="11"/>
      <c r="M860" s="11"/>
    </row>
    <row r="861" spans="3:13" x14ac:dyDescent="0.3">
      <c r="C861" s="10"/>
      <c r="D861" s="11"/>
      <c r="E861" s="11"/>
      <c r="I861" s="10"/>
      <c r="J861" s="10"/>
      <c r="K861" s="11"/>
      <c r="L861" s="11"/>
      <c r="M861" s="11"/>
    </row>
    <row r="862" spans="3:13" x14ac:dyDescent="0.3">
      <c r="C862" s="10"/>
      <c r="D862" s="11"/>
      <c r="E862" s="11"/>
      <c r="I862" s="10"/>
      <c r="J862" s="10"/>
      <c r="K862" s="11"/>
      <c r="L862" s="11"/>
      <c r="M862" s="11"/>
    </row>
    <row r="863" spans="3:13" x14ac:dyDescent="0.3">
      <c r="C863" s="10"/>
      <c r="D863" s="11"/>
      <c r="E863" s="11"/>
      <c r="I863" s="10"/>
      <c r="J863" s="10"/>
      <c r="K863" s="11"/>
      <c r="L863" s="11"/>
      <c r="M863" s="11"/>
    </row>
    <row r="864" spans="3:13" x14ac:dyDescent="0.3">
      <c r="C864" s="10"/>
      <c r="D864" s="11"/>
      <c r="E864" s="11"/>
      <c r="I864" s="10"/>
      <c r="J864" s="10"/>
      <c r="K864" s="11"/>
      <c r="L864" s="11"/>
      <c r="M864" s="11"/>
    </row>
    <row r="865" spans="3:13" x14ac:dyDescent="0.3">
      <c r="C865" s="10"/>
      <c r="D865" s="11"/>
      <c r="E865" s="11"/>
      <c r="I865" s="10"/>
      <c r="J865" s="10"/>
      <c r="K865" s="11"/>
      <c r="L865" s="11"/>
      <c r="M865" s="11"/>
    </row>
    <row r="866" spans="3:13" x14ac:dyDescent="0.3">
      <c r="C866" s="10"/>
      <c r="D866" s="11"/>
      <c r="E866" s="11"/>
      <c r="I866" s="10"/>
      <c r="J866" s="10"/>
      <c r="K866" s="11"/>
      <c r="L866" s="11"/>
      <c r="M866" s="11"/>
    </row>
    <row r="867" spans="3:13" x14ac:dyDescent="0.3">
      <c r="C867" s="10"/>
      <c r="D867" s="11"/>
      <c r="E867" s="11"/>
      <c r="I867" s="10"/>
      <c r="J867" s="10"/>
      <c r="K867" s="11"/>
      <c r="L867" s="11"/>
      <c r="M867" s="11"/>
    </row>
    <row r="868" spans="3:13" x14ac:dyDescent="0.3">
      <c r="C868" s="10"/>
      <c r="D868" s="11"/>
      <c r="E868" s="11"/>
      <c r="I868" s="10"/>
      <c r="J868" s="10"/>
      <c r="K868" s="11"/>
      <c r="L868" s="11"/>
      <c r="M868" s="11"/>
    </row>
    <row r="869" spans="3:13" x14ac:dyDescent="0.3">
      <c r="C869" s="10"/>
      <c r="D869" s="11"/>
      <c r="E869" s="11"/>
      <c r="I869" s="10"/>
      <c r="J869" s="10"/>
      <c r="K869" s="11"/>
      <c r="L869" s="11"/>
      <c r="M869" s="11"/>
    </row>
    <row r="870" spans="3:13" x14ac:dyDescent="0.3">
      <c r="C870" s="10"/>
      <c r="D870" s="11"/>
      <c r="E870" s="11"/>
      <c r="I870" s="10"/>
      <c r="J870" s="10"/>
      <c r="K870" s="11"/>
      <c r="L870" s="11"/>
      <c r="M870" s="11"/>
    </row>
    <row r="871" spans="3:13" x14ac:dyDescent="0.3">
      <c r="C871" s="10"/>
      <c r="D871" s="11"/>
      <c r="E871" s="11"/>
      <c r="I871" s="10"/>
      <c r="J871" s="10"/>
      <c r="K871" s="11"/>
      <c r="L871" s="11"/>
      <c r="M871" s="11"/>
    </row>
    <row r="872" spans="3:13" x14ac:dyDescent="0.3">
      <c r="C872" s="10"/>
      <c r="D872" s="11"/>
      <c r="E872" s="11"/>
      <c r="I872" s="10"/>
      <c r="J872" s="10"/>
      <c r="K872" s="11"/>
      <c r="L872" s="11"/>
      <c r="M872" s="11"/>
    </row>
    <row r="873" spans="3:13" x14ac:dyDescent="0.3">
      <c r="C873" s="10"/>
      <c r="D873" s="11"/>
      <c r="E873" s="11"/>
      <c r="I873" s="10"/>
      <c r="J873" s="10"/>
      <c r="K873" s="11"/>
      <c r="L873" s="11"/>
      <c r="M873" s="11"/>
    </row>
    <row r="874" spans="3:13" x14ac:dyDescent="0.3">
      <c r="C874" s="10"/>
      <c r="D874" s="11"/>
      <c r="E874" s="11"/>
      <c r="I874" s="10"/>
      <c r="J874" s="10"/>
      <c r="K874" s="11"/>
      <c r="L874" s="11"/>
      <c r="M874" s="11"/>
    </row>
    <row r="875" spans="3:13" x14ac:dyDescent="0.3">
      <c r="C875" s="10"/>
      <c r="D875" s="11"/>
      <c r="E875" s="11"/>
      <c r="I875" s="10"/>
      <c r="J875" s="10"/>
      <c r="K875" s="11"/>
      <c r="L875" s="11"/>
      <c r="M875" s="11"/>
    </row>
    <row r="876" spans="3:13" x14ac:dyDescent="0.3">
      <c r="C876" s="10"/>
      <c r="D876" s="11"/>
      <c r="E876" s="11"/>
      <c r="I876" s="10"/>
      <c r="J876" s="10"/>
      <c r="K876" s="11"/>
      <c r="L876" s="11"/>
      <c r="M876" s="11"/>
    </row>
    <row r="877" spans="3:13" x14ac:dyDescent="0.3">
      <c r="C877" s="10"/>
      <c r="D877" s="11"/>
      <c r="E877" s="11"/>
      <c r="I877" s="10"/>
      <c r="J877" s="10"/>
      <c r="K877" s="11"/>
      <c r="L877" s="11"/>
      <c r="M877" s="11"/>
    </row>
    <row r="878" spans="3:13" x14ac:dyDescent="0.3">
      <c r="C878" s="10"/>
      <c r="D878" s="11"/>
      <c r="E878" s="11"/>
      <c r="I878" s="10"/>
      <c r="J878" s="10"/>
      <c r="K878" s="11"/>
      <c r="L878" s="11"/>
      <c r="M878" s="11"/>
    </row>
    <row r="879" spans="3:13" x14ac:dyDescent="0.3">
      <c r="C879" s="10"/>
      <c r="D879" s="11"/>
      <c r="E879" s="11"/>
      <c r="I879" s="10"/>
      <c r="J879" s="10"/>
      <c r="K879" s="11"/>
      <c r="L879" s="11"/>
      <c r="M879" s="11"/>
    </row>
    <row r="880" spans="3:13" x14ac:dyDescent="0.3">
      <c r="C880" s="10"/>
      <c r="D880" s="11"/>
      <c r="E880" s="11"/>
      <c r="I880" s="10"/>
      <c r="J880" s="10"/>
      <c r="K880" s="11"/>
      <c r="L880" s="11"/>
      <c r="M880" s="11"/>
    </row>
    <row r="881" spans="3:13" x14ac:dyDescent="0.3">
      <c r="C881" s="10"/>
      <c r="D881" s="11"/>
      <c r="E881" s="11"/>
      <c r="I881" s="10"/>
      <c r="J881" s="10"/>
      <c r="K881" s="11"/>
      <c r="L881" s="11"/>
      <c r="M881" s="11"/>
    </row>
    <row r="882" spans="3:13" x14ac:dyDescent="0.3">
      <c r="C882" s="10"/>
      <c r="D882" s="11"/>
      <c r="E882" s="11"/>
      <c r="I882" s="10"/>
      <c r="J882" s="10"/>
      <c r="K882" s="11"/>
      <c r="L882" s="11"/>
      <c r="M882" s="11"/>
    </row>
    <row r="883" spans="3:13" x14ac:dyDescent="0.3">
      <c r="C883" s="10"/>
      <c r="D883" s="11"/>
      <c r="E883" s="11"/>
      <c r="I883" s="10"/>
      <c r="J883" s="10"/>
      <c r="K883" s="11"/>
      <c r="L883" s="11"/>
      <c r="M883" s="11"/>
    </row>
    <row r="884" spans="3:13" x14ac:dyDescent="0.3">
      <c r="C884" s="10"/>
      <c r="D884" s="11"/>
      <c r="E884" s="11"/>
      <c r="I884" s="10"/>
      <c r="J884" s="10"/>
      <c r="K884" s="11"/>
      <c r="L884" s="11"/>
      <c r="M884" s="11"/>
    </row>
    <row r="885" spans="3:13" x14ac:dyDescent="0.3">
      <c r="C885" s="10"/>
      <c r="D885" s="11"/>
      <c r="E885" s="11"/>
      <c r="I885" s="10"/>
      <c r="J885" s="10"/>
      <c r="K885" s="11"/>
      <c r="L885" s="11"/>
      <c r="M885" s="11"/>
    </row>
    <row r="886" spans="3:13" x14ac:dyDescent="0.3">
      <c r="C886" s="10"/>
      <c r="D886" s="11"/>
      <c r="E886" s="11"/>
      <c r="I886" s="10"/>
      <c r="J886" s="10"/>
      <c r="K886" s="11"/>
      <c r="L886" s="11"/>
      <c r="M886" s="11"/>
    </row>
    <row r="887" spans="3:13" x14ac:dyDescent="0.3">
      <c r="C887" s="10"/>
      <c r="D887" s="11"/>
      <c r="E887" s="11"/>
      <c r="I887" s="10"/>
      <c r="J887" s="10"/>
      <c r="K887" s="11"/>
      <c r="L887" s="11"/>
      <c r="M887" s="11"/>
    </row>
    <row r="888" spans="3:13" x14ac:dyDescent="0.3">
      <c r="C888" s="10"/>
      <c r="D888" s="11"/>
      <c r="E888" s="11"/>
      <c r="I888" s="10"/>
      <c r="J888" s="10"/>
      <c r="K888" s="11"/>
      <c r="L888" s="11"/>
      <c r="M888" s="11"/>
    </row>
    <row r="889" spans="3:13" x14ac:dyDescent="0.3">
      <c r="C889" s="10"/>
      <c r="D889" s="11"/>
      <c r="E889" s="11"/>
      <c r="I889" s="10"/>
      <c r="J889" s="10"/>
      <c r="K889" s="11"/>
      <c r="L889" s="11"/>
      <c r="M889" s="11"/>
    </row>
    <row r="890" spans="3:13" x14ac:dyDescent="0.3">
      <c r="C890" s="10"/>
      <c r="D890" s="11"/>
      <c r="E890" s="11"/>
      <c r="I890" s="10"/>
      <c r="J890" s="10"/>
      <c r="K890" s="11"/>
      <c r="L890" s="11"/>
      <c r="M890" s="11"/>
    </row>
    <row r="891" spans="3:13" x14ac:dyDescent="0.3">
      <c r="C891" s="10"/>
      <c r="D891" s="11"/>
      <c r="E891" s="11"/>
      <c r="I891" s="10"/>
      <c r="J891" s="10"/>
      <c r="K891" s="11"/>
      <c r="L891" s="11"/>
      <c r="M891" s="11"/>
    </row>
    <row r="892" spans="3:13" x14ac:dyDescent="0.3">
      <c r="C892" s="10"/>
      <c r="D892" s="11"/>
      <c r="E892" s="11"/>
      <c r="I892" s="10"/>
      <c r="J892" s="10"/>
      <c r="K892" s="11"/>
      <c r="L892" s="11"/>
      <c r="M892" s="11"/>
    </row>
    <row r="893" spans="3:13" x14ac:dyDescent="0.3">
      <c r="C893" s="10"/>
      <c r="D893" s="11"/>
      <c r="E893" s="11"/>
      <c r="I893" s="10"/>
      <c r="J893" s="10"/>
      <c r="K893" s="11"/>
      <c r="L893" s="11"/>
      <c r="M893" s="11"/>
    </row>
    <row r="894" spans="3:13" x14ac:dyDescent="0.3">
      <c r="C894" s="10"/>
      <c r="D894" s="11"/>
      <c r="E894" s="11"/>
      <c r="I894" s="10"/>
      <c r="J894" s="10"/>
      <c r="K894" s="11"/>
      <c r="L894" s="11"/>
      <c r="M894" s="11"/>
    </row>
    <row r="895" spans="3:13" x14ac:dyDescent="0.3">
      <c r="C895" s="10"/>
      <c r="D895" s="11"/>
      <c r="E895" s="11"/>
      <c r="I895" s="10"/>
      <c r="J895" s="10"/>
      <c r="K895" s="11"/>
      <c r="L895" s="11"/>
      <c r="M895" s="11"/>
    </row>
    <row r="896" spans="3:13" x14ac:dyDescent="0.3">
      <c r="C896" s="10"/>
      <c r="D896" s="11"/>
      <c r="E896" s="11"/>
      <c r="I896" s="10"/>
      <c r="J896" s="10"/>
      <c r="K896" s="11"/>
      <c r="L896" s="11"/>
      <c r="M896" s="11"/>
    </row>
    <row r="897" spans="3:13" x14ac:dyDescent="0.3">
      <c r="C897" s="10"/>
      <c r="D897" s="11"/>
      <c r="E897" s="11"/>
      <c r="I897" s="10"/>
      <c r="J897" s="10"/>
      <c r="K897" s="11"/>
      <c r="L897" s="11"/>
      <c r="M897" s="11"/>
    </row>
    <row r="898" spans="3:13" x14ac:dyDescent="0.3">
      <c r="C898" s="10"/>
      <c r="D898" s="11"/>
      <c r="E898" s="11"/>
      <c r="I898" s="10"/>
      <c r="J898" s="10"/>
      <c r="K898" s="11"/>
      <c r="L898" s="11"/>
      <c r="M898" s="11"/>
    </row>
    <row r="899" spans="3:13" x14ac:dyDescent="0.3">
      <c r="C899" s="10"/>
      <c r="D899" s="11"/>
      <c r="E899" s="11"/>
      <c r="I899" s="10"/>
      <c r="J899" s="10"/>
      <c r="K899" s="11"/>
      <c r="L899" s="11"/>
      <c r="M899" s="11"/>
    </row>
    <row r="900" spans="3:13" x14ac:dyDescent="0.3">
      <c r="C900" s="10"/>
      <c r="D900" s="11"/>
      <c r="E900" s="11"/>
      <c r="I900" s="10"/>
      <c r="J900" s="10"/>
      <c r="K900" s="11"/>
      <c r="L900" s="11"/>
      <c r="M900" s="11"/>
    </row>
    <row r="901" spans="3:13" x14ac:dyDescent="0.3">
      <c r="C901" s="10"/>
      <c r="D901" s="11"/>
      <c r="E901" s="11"/>
      <c r="I901" s="10"/>
      <c r="J901" s="10"/>
      <c r="K901" s="11"/>
      <c r="L901" s="11"/>
      <c r="M901" s="11"/>
    </row>
    <row r="902" spans="3:13" x14ac:dyDescent="0.3">
      <c r="C902" s="10"/>
      <c r="D902" s="11"/>
      <c r="E902" s="11"/>
      <c r="I902" s="10"/>
      <c r="J902" s="10"/>
      <c r="K902" s="11"/>
      <c r="L902" s="11"/>
      <c r="M902" s="11"/>
    </row>
    <row r="903" spans="3:13" x14ac:dyDescent="0.3">
      <c r="C903" s="10"/>
      <c r="D903" s="11"/>
      <c r="E903" s="11"/>
      <c r="I903" s="10"/>
      <c r="J903" s="10"/>
      <c r="K903" s="11"/>
      <c r="L903" s="11"/>
      <c r="M903" s="11"/>
    </row>
    <row r="904" spans="3:13" x14ac:dyDescent="0.3">
      <c r="C904" s="10"/>
      <c r="D904" s="11"/>
      <c r="E904" s="11"/>
      <c r="I904" s="10"/>
      <c r="J904" s="10"/>
      <c r="K904" s="11"/>
      <c r="L904" s="11"/>
      <c r="M904" s="11"/>
    </row>
    <row r="905" spans="3:13" x14ac:dyDescent="0.3">
      <c r="C905" s="10"/>
      <c r="D905" s="11"/>
      <c r="E905" s="11"/>
      <c r="I905" s="10"/>
      <c r="J905" s="10"/>
      <c r="K905" s="11"/>
      <c r="L905" s="11"/>
      <c r="M905" s="11"/>
    </row>
    <row r="906" spans="3:13" x14ac:dyDescent="0.3">
      <c r="C906" s="10"/>
      <c r="D906" s="11"/>
      <c r="E906" s="11"/>
      <c r="I906" s="10"/>
      <c r="J906" s="10"/>
      <c r="K906" s="11"/>
      <c r="L906" s="11"/>
      <c r="M906" s="11"/>
    </row>
    <row r="907" spans="3:13" x14ac:dyDescent="0.3">
      <c r="C907" s="10"/>
      <c r="D907" s="11"/>
      <c r="E907" s="11"/>
      <c r="I907" s="10"/>
      <c r="J907" s="10"/>
      <c r="K907" s="11"/>
      <c r="L907" s="11"/>
      <c r="M907" s="11"/>
    </row>
    <row r="908" spans="3:13" x14ac:dyDescent="0.3">
      <c r="C908" s="10"/>
      <c r="D908" s="11"/>
      <c r="E908" s="11"/>
      <c r="I908" s="10"/>
      <c r="J908" s="10"/>
      <c r="K908" s="11"/>
      <c r="L908" s="11"/>
      <c r="M908" s="11"/>
    </row>
    <row r="909" spans="3:13" x14ac:dyDescent="0.3">
      <c r="C909" s="10"/>
      <c r="D909" s="11"/>
      <c r="E909" s="11"/>
      <c r="I909" s="10"/>
      <c r="J909" s="10"/>
      <c r="K909" s="11"/>
      <c r="L909" s="11"/>
      <c r="M909" s="11"/>
    </row>
    <row r="910" spans="3:13" x14ac:dyDescent="0.3">
      <c r="C910" s="10"/>
      <c r="D910" s="11"/>
      <c r="E910" s="11"/>
      <c r="I910" s="10"/>
      <c r="J910" s="10"/>
      <c r="K910" s="11"/>
      <c r="L910" s="11"/>
      <c r="M910" s="11"/>
    </row>
    <row r="911" spans="3:13" x14ac:dyDescent="0.3">
      <c r="C911" s="10"/>
      <c r="D911" s="11"/>
      <c r="E911" s="11"/>
      <c r="I911" s="10"/>
      <c r="J911" s="10"/>
      <c r="K911" s="11"/>
      <c r="L911" s="11"/>
      <c r="M911" s="11"/>
    </row>
    <row r="912" spans="3:13" x14ac:dyDescent="0.3">
      <c r="C912" s="10"/>
      <c r="D912" s="11"/>
      <c r="E912" s="11"/>
      <c r="I912" s="10"/>
      <c r="J912" s="10"/>
      <c r="K912" s="11"/>
      <c r="L912" s="11"/>
      <c r="M912" s="11"/>
    </row>
    <row r="913" spans="3:13" x14ac:dyDescent="0.3">
      <c r="C913" s="10"/>
      <c r="D913" s="11"/>
      <c r="E913" s="11"/>
      <c r="I913" s="10"/>
      <c r="J913" s="10"/>
      <c r="K913" s="11"/>
      <c r="L913" s="11"/>
      <c r="M913" s="11"/>
    </row>
    <row r="914" spans="3:13" x14ac:dyDescent="0.3">
      <c r="C914" s="10"/>
      <c r="D914" s="11"/>
      <c r="E914" s="11"/>
      <c r="I914" s="10"/>
      <c r="J914" s="10"/>
      <c r="K914" s="11"/>
      <c r="L914" s="11"/>
      <c r="M914" s="11"/>
    </row>
    <row r="915" spans="3:13" x14ac:dyDescent="0.3">
      <c r="C915" s="10"/>
      <c r="D915" s="11"/>
      <c r="E915" s="11"/>
      <c r="I915" s="10"/>
      <c r="J915" s="10"/>
      <c r="K915" s="11"/>
      <c r="L915" s="11"/>
      <c r="M915" s="11"/>
    </row>
    <row r="916" spans="3:13" x14ac:dyDescent="0.3">
      <c r="C916" s="10"/>
      <c r="D916" s="11"/>
      <c r="E916" s="11"/>
      <c r="I916" s="10"/>
      <c r="J916" s="10"/>
      <c r="K916" s="11"/>
      <c r="L916" s="11"/>
      <c r="M916" s="11"/>
    </row>
    <row r="917" spans="3:13" x14ac:dyDescent="0.3">
      <c r="C917" s="10"/>
      <c r="D917" s="11"/>
      <c r="E917" s="11"/>
      <c r="I917" s="10"/>
      <c r="J917" s="10"/>
      <c r="K917" s="11"/>
      <c r="L917" s="11"/>
      <c r="M917" s="11"/>
    </row>
    <row r="918" spans="3:13" x14ac:dyDescent="0.3">
      <c r="C918" s="10"/>
      <c r="D918" s="11"/>
      <c r="E918" s="11"/>
      <c r="I918" s="10"/>
      <c r="J918" s="10"/>
      <c r="K918" s="11"/>
      <c r="L918" s="11"/>
      <c r="M918" s="11"/>
    </row>
    <row r="919" spans="3:13" x14ac:dyDescent="0.3">
      <c r="C919" s="10"/>
      <c r="D919" s="11"/>
      <c r="E919" s="11"/>
      <c r="I919" s="10"/>
      <c r="J919" s="10"/>
      <c r="K919" s="11"/>
      <c r="L919" s="11"/>
      <c r="M919" s="11"/>
    </row>
    <row r="920" spans="3:13" x14ac:dyDescent="0.3">
      <c r="C920" s="10"/>
      <c r="D920" s="11"/>
      <c r="E920" s="11"/>
      <c r="I920" s="10"/>
      <c r="J920" s="10"/>
      <c r="K920" s="11"/>
      <c r="L920" s="11"/>
      <c r="M920" s="11"/>
    </row>
    <row r="921" spans="3:13" x14ac:dyDescent="0.3">
      <c r="C921" s="10"/>
      <c r="D921" s="11"/>
      <c r="E921" s="11"/>
      <c r="I921" s="10"/>
      <c r="J921" s="10"/>
      <c r="K921" s="11"/>
      <c r="L921" s="11"/>
      <c r="M921" s="11"/>
    </row>
    <row r="922" spans="3:13" x14ac:dyDescent="0.3">
      <c r="C922" s="10"/>
      <c r="D922" s="11"/>
      <c r="E922" s="11"/>
      <c r="I922" s="10"/>
      <c r="J922" s="10"/>
      <c r="K922" s="11"/>
      <c r="L922" s="11"/>
      <c r="M922" s="11"/>
    </row>
    <row r="923" spans="3:13" x14ac:dyDescent="0.3">
      <c r="C923" s="10"/>
      <c r="D923" s="11"/>
      <c r="E923" s="11"/>
      <c r="I923" s="10"/>
      <c r="J923" s="10"/>
      <c r="K923" s="11"/>
      <c r="L923" s="11"/>
      <c r="M923" s="11"/>
    </row>
    <row r="924" spans="3:13" x14ac:dyDescent="0.3">
      <c r="C924" s="10"/>
      <c r="D924" s="11"/>
      <c r="E924" s="11"/>
      <c r="I924" s="10"/>
      <c r="J924" s="10"/>
      <c r="K924" s="11"/>
      <c r="L924" s="11"/>
      <c r="M924" s="11"/>
    </row>
    <row r="925" spans="3:13" x14ac:dyDescent="0.3">
      <c r="C925" s="10"/>
      <c r="D925" s="11"/>
      <c r="E925" s="11"/>
      <c r="I925" s="10"/>
      <c r="J925" s="10"/>
      <c r="K925" s="11"/>
      <c r="L925" s="11"/>
      <c r="M925" s="11"/>
    </row>
    <row r="926" spans="3:13" x14ac:dyDescent="0.3">
      <c r="C926" s="10"/>
      <c r="D926" s="11"/>
      <c r="E926" s="11"/>
      <c r="I926" s="10"/>
      <c r="J926" s="10"/>
      <c r="K926" s="11"/>
      <c r="L926" s="11"/>
      <c r="M926" s="11"/>
    </row>
    <row r="927" spans="3:13" x14ac:dyDescent="0.3">
      <c r="C927" s="10"/>
      <c r="D927" s="11"/>
      <c r="E927" s="11"/>
      <c r="I927" s="10"/>
      <c r="J927" s="10"/>
      <c r="K927" s="11"/>
      <c r="L927" s="11"/>
      <c r="M927" s="11"/>
    </row>
    <row r="928" spans="3:13" x14ac:dyDescent="0.3">
      <c r="C928" s="10"/>
      <c r="D928" s="11"/>
      <c r="E928" s="11"/>
      <c r="I928" s="10"/>
      <c r="J928" s="10"/>
      <c r="K928" s="11"/>
      <c r="L928" s="11"/>
      <c r="M928" s="11"/>
    </row>
    <row r="929" spans="3:13" x14ac:dyDescent="0.3">
      <c r="C929" s="10"/>
      <c r="D929" s="11"/>
      <c r="E929" s="11"/>
      <c r="I929" s="10"/>
      <c r="J929" s="10"/>
      <c r="K929" s="11"/>
      <c r="L929" s="11"/>
      <c r="M929" s="11"/>
    </row>
    <row r="930" spans="3:13" x14ac:dyDescent="0.3">
      <c r="C930" s="10"/>
      <c r="D930" s="11"/>
      <c r="E930" s="11"/>
      <c r="I930" s="10"/>
      <c r="J930" s="10"/>
      <c r="K930" s="11"/>
      <c r="L930" s="11"/>
      <c r="M930" s="11"/>
    </row>
    <row r="931" spans="3:13" x14ac:dyDescent="0.3">
      <c r="C931" s="10"/>
      <c r="D931" s="11"/>
      <c r="E931" s="11"/>
      <c r="I931" s="10"/>
      <c r="J931" s="10"/>
      <c r="K931" s="11"/>
      <c r="L931" s="11"/>
      <c r="M931" s="11"/>
    </row>
    <row r="932" spans="3:13" x14ac:dyDescent="0.3">
      <c r="C932" s="10"/>
      <c r="D932" s="11"/>
      <c r="E932" s="11"/>
      <c r="I932" s="10"/>
      <c r="J932" s="10"/>
      <c r="K932" s="11"/>
      <c r="L932" s="11"/>
      <c r="M932" s="11"/>
    </row>
    <row r="933" spans="3:13" x14ac:dyDescent="0.3">
      <c r="C933" s="10"/>
      <c r="D933" s="11"/>
      <c r="E933" s="11"/>
      <c r="I933" s="10"/>
      <c r="J933" s="10"/>
      <c r="K933" s="11"/>
      <c r="L933" s="11"/>
      <c r="M933" s="11"/>
    </row>
    <row r="934" spans="3:13" x14ac:dyDescent="0.3">
      <c r="C934" s="10"/>
      <c r="D934" s="11"/>
      <c r="E934" s="11"/>
      <c r="I934" s="10"/>
      <c r="J934" s="10"/>
      <c r="K934" s="11"/>
      <c r="L934" s="11"/>
      <c r="M934" s="11"/>
    </row>
    <row r="935" spans="3:13" x14ac:dyDescent="0.3">
      <c r="C935" s="10"/>
      <c r="D935" s="11"/>
      <c r="E935" s="11"/>
      <c r="I935" s="10"/>
      <c r="J935" s="10"/>
      <c r="K935" s="11"/>
      <c r="L935" s="11"/>
      <c r="M935" s="11"/>
    </row>
    <row r="936" spans="3:13" x14ac:dyDescent="0.3">
      <c r="C936" s="10"/>
      <c r="D936" s="11"/>
      <c r="E936" s="11"/>
      <c r="I936" s="10"/>
      <c r="J936" s="10"/>
      <c r="K936" s="11"/>
      <c r="L936" s="11"/>
      <c r="M936" s="11"/>
    </row>
    <row r="937" spans="3:13" x14ac:dyDescent="0.3">
      <c r="C937" s="10"/>
      <c r="D937" s="11"/>
      <c r="E937" s="11"/>
      <c r="I937" s="10"/>
      <c r="J937" s="10"/>
      <c r="K937" s="11"/>
      <c r="L937" s="11"/>
      <c r="M937" s="11"/>
    </row>
    <row r="938" spans="3:13" x14ac:dyDescent="0.3">
      <c r="C938" s="10"/>
      <c r="D938" s="11"/>
      <c r="E938" s="11"/>
      <c r="I938" s="10"/>
      <c r="J938" s="10"/>
      <c r="K938" s="11"/>
      <c r="L938" s="11"/>
      <c r="M938" s="11"/>
    </row>
    <row r="939" spans="3:13" x14ac:dyDescent="0.3">
      <c r="C939" s="10"/>
      <c r="D939" s="11"/>
      <c r="E939" s="11"/>
      <c r="I939" s="10"/>
      <c r="J939" s="10"/>
      <c r="K939" s="11"/>
      <c r="L939" s="11"/>
      <c r="M939" s="11"/>
    </row>
    <row r="940" spans="3:13" x14ac:dyDescent="0.3">
      <c r="C940" s="10"/>
      <c r="D940" s="11"/>
      <c r="E940" s="11"/>
      <c r="I940" s="10"/>
      <c r="J940" s="10"/>
      <c r="K940" s="11"/>
      <c r="L940" s="11"/>
      <c r="M940" s="11"/>
    </row>
    <row r="941" spans="3:13" x14ac:dyDescent="0.3">
      <c r="C941" s="10"/>
      <c r="D941" s="11"/>
      <c r="E941" s="11"/>
      <c r="I941" s="10"/>
      <c r="J941" s="10"/>
      <c r="K941" s="11"/>
      <c r="L941" s="11"/>
      <c r="M941" s="11"/>
    </row>
    <row r="942" spans="3:13" x14ac:dyDescent="0.3">
      <c r="C942" s="10"/>
      <c r="D942" s="11"/>
      <c r="E942" s="11"/>
      <c r="I942" s="10"/>
      <c r="J942" s="10"/>
      <c r="K942" s="11"/>
      <c r="L942" s="11"/>
      <c r="M942" s="11"/>
    </row>
    <row r="943" spans="3:13" x14ac:dyDescent="0.3">
      <c r="C943" s="10"/>
      <c r="D943" s="11"/>
      <c r="E943" s="11"/>
      <c r="I943" s="10"/>
      <c r="J943" s="10"/>
      <c r="K943" s="11"/>
      <c r="L943" s="11"/>
      <c r="M943" s="11"/>
    </row>
    <row r="944" spans="3:13" x14ac:dyDescent="0.3">
      <c r="C944" s="10"/>
      <c r="D944" s="11"/>
      <c r="E944" s="11"/>
      <c r="I944" s="10"/>
      <c r="J944" s="10"/>
      <c r="K944" s="11"/>
      <c r="L944" s="11"/>
      <c r="M944" s="11"/>
    </row>
    <row r="945" spans="3:13" x14ac:dyDescent="0.3">
      <c r="C945" s="10"/>
      <c r="D945" s="11"/>
      <c r="E945" s="11"/>
      <c r="I945" s="10"/>
      <c r="J945" s="10"/>
      <c r="K945" s="11"/>
      <c r="L945" s="11"/>
      <c r="M945" s="11"/>
    </row>
    <row r="946" spans="3:13" x14ac:dyDescent="0.3">
      <c r="C946" s="10"/>
      <c r="D946" s="11"/>
      <c r="E946" s="11"/>
      <c r="I946" s="10"/>
      <c r="J946" s="10"/>
      <c r="K946" s="11"/>
      <c r="L946" s="11"/>
      <c r="M946" s="11"/>
    </row>
    <row r="947" spans="3:13" x14ac:dyDescent="0.3">
      <c r="C947" s="10"/>
      <c r="D947" s="11"/>
      <c r="E947" s="11"/>
      <c r="I947" s="10"/>
      <c r="J947" s="10"/>
      <c r="K947" s="11"/>
      <c r="L947" s="11"/>
      <c r="M947" s="11"/>
    </row>
    <row r="948" spans="3:13" x14ac:dyDescent="0.3">
      <c r="C948" s="10"/>
      <c r="D948" s="11"/>
      <c r="E948" s="11"/>
      <c r="I948" s="10"/>
      <c r="J948" s="10"/>
      <c r="K948" s="11"/>
      <c r="L948" s="11"/>
      <c r="M948" s="11"/>
    </row>
    <row r="949" spans="3:13" x14ac:dyDescent="0.3">
      <c r="C949" s="10"/>
      <c r="D949" s="11"/>
      <c r="E949" s="11"/>
      <c r="I949" s="10"/>
      <c r="J949" s="10"/>
      <c r="K949" s="11"/>
      <c r="L949" s="11"/>
      <c r="M949" s="11"/>
    </row>
    <row r="950" spans="3:13" x14ac:dyDescent="0.3">
      <c r="C950" s="10"/>
      <c r="D950" s="11"/>
      <c r="E950" s="11"/>
      <c r="I950" s="10"/>
      <c r="J950" s="10"/>
      <c r="K950" s="11"/>
      <c r="L950" s="11"/>
      <c r="M950" s="11"/>
    </row>
    <row r="951" spans="3:13" x14ac:dyDescent="0.3">
      <c r="C951" s="10"/>
      <c r="D951" s="11"/>
      <c r="E951" s="11"/>
      <c r="I951" s="10"/>
      <c r="J951" s="10"/>
      <c r="K951" s="11"/>
      <c r="L951" s="11"/>
      <c r="M951" s="11"/>
    </row>
    <row r="952" spans="3:13" x14ac:dyDescent="0.3">
      <c r="C952" s="10"/>
      <c r="D952" s="11"/>
      <c r="E952" s="11"/>
      <c r="I952" s="10"/>
      <c r="J952" s="10"/>
      <c r="K952" s="11"/>
      <c r="L952" s="11"/>
      <c r="M952" s="11"/>
    </row>
    <row r="953" spans="3:13" x14ac:dyDescent="0.3">
      <c r="C953" s="10"/>
      <c r="D953" s="11"/>
      <c r="E953" s="11"/>
      <c r="I953" s="10"/>
      <c r="J953" s="10"/>
      <c r="K953" s="11"/>
      <c r="L953" s="11"/>
      <c r="M953" s="11"/>
    </row>
    <row r="954" spans="3:13" x14ac:dyDescent="0.3">
      <c r="C954" s="10"/>
      <c r="D954" s="11"/>
      <c r="E954" s="11"/>
      <c r="I954" s="10"/>
      <c r="J954" s="10"/>
      <c r="K954" s="11"/>
      <c r="L954" s="11"/>
      <c r="M954" s="11"/>
    </row>
    <row r="955" spans="3:13" x14ac:dyDescent="0.3">
      <c r="C955" s="10"/>
      <c r="D955" s="11"/>
      <c r="E955" s="11"/>
      <c r="I955" s="10"/>
      <c r="J955" s="10"/>
      <c r="K955" s="11"/>
      <c r="L955" s="11"/>
      <c r="M955" s="11"/>
    </row>
    <row r="956" spans="3:13" x14ac:dyDescent="0.3">
      <c r="C956" s="10"/>
      <c r="D956" s="11"/>
      <c r="E956" s="11"/>
      <c r="I956" s="10"/>
      <c r="J956" s="10"/>
      <c r="K956" s="11"/>
      <c r="L956" s="11"/>
      <c r="M956" s="11"/>
    </row>
    <row r="957" spans="3:13" x14ac:dyDescent="0.3">
      <c r="C957" s="10"/>
      <c r="D957" s="11"/>
      <c r="E957" s="11"/>
      <c r="I957" s="10"/>
      <c r="J957" s="10"/>
      <c r="K957" s="11"/>
      <c r="L957" s="11"/>
      <c r="M957" s="11"/>
    </row>
    <row r="958" spans="3:13" x14ac:dyDescent="0.3">
      <c r="C958" s="10"/>
      <c r="D958" s="11"/>
      <c r="E958" s="11"/>
      <c r="I958" s="10"/>
      <c r="J958" s="10"/>
      <c r="K958" s="11"/>
      <c r="L958" s="11"/>
      <c r="M958" s="11"/>
    </row>
    <row r="959" spans="3:13" x14ac:dyDescent="0.3">
      <c r="C959" s="10"/>
      <c r="D959" s="11"/>
      <c r="E959" s="11"/>
      <c r="I959" s="10"/>
      <c r="J959" s="10"/>
      <c r="K959" s="11"/>
      <c r="L959" s="11"/>
      <c r="M959" s="11"/>
    </row>
    <row r="960" spans="3:13" x14ac:dyDescent="0.3">
      <c r="C960" s="10"/>
      <c r="D960" s="11"/>
      <c r="E960" s="11"/>
      <c r="I960" s="10"/>
      <c r="J960" s="10"/>
      <c r="K960" s="11"/>
      <c r="L960" s="11"/>
      <c r="M960" s="11"/>
    </row>
    <row r="961" spans="3:13" x14ac:dyDescent="0.3">
      <c r="C961" s="10"/>
      <c r="D961" s="11"/>
      <c r="E961" s="11"/>
      <c r="I961" s="10"/>
      <c r="J961" s="10"/>
      <c r="K961" s="11"/>
      <c r="L961" s="11"/>
      <c r="M961" s="11"/>
    </row>
    <row r="962" spans="3:13" x14ac:dyDescent="0.3">
      <c r="C962" s="10"/>
      <c r="D962" s="11"/>
      <c r="E962" s="11"/>
      <c r="I962" s="10"/>
      <c r="J962" s="10"/>
      <c r="K962" s="11"/>
      <c r="L962" s="11"/>
      <c r="M962" s="11"/>
    </row>
    <row r="963" spans="3:13" x14ac:dyDescent="0.3">
      <c r="C963" s="10"/>
      <c r="D963" s="11"/>
      <c r="E963" s="11"/>
      <c r="I963" s="10"/>
      <c r="J963" s="10"/>
      <c r="K963" s="11"/>
      <c r="L963" s="11"/>
      <c r="M963" s="11"/>
    </row>
    <row r="964" spans="3:13" x14ac:dyDescent="0.3">
      <c r="C964" s="10"/>
      <c r="D964" s="11"/>
      <c r="E964" s="11"/>
      <c r="I964" s="10"/>
      <c r="J964" s="10"/>
      <c r="K964" s="11"/>
      <c r="L964" s="11"/>
      <c r="M964" s="11"/>
    </row>
    <row r="965" spans="3:13" x14ac:dyDescent="0.3">
      <c r="C965" s="10"/>
      <c r="D965" s="11"/>
      <c r="E965" s="11"/>
      <c r="I965" s="10"/>
      <c r="J965" s="10"/>
      <c r="K965" s="11"/>
      <c r="L965" s="11"/>
      <c r="M965" s="11"/>
    </row>
    <row r="966" spans="3:13" x14ac:dyDescent="0.3">
      <c r="C966" s="10"/>
      <c r="D966" s="11"/>
      <c r="E966" s="11"/>
      <c r="I966" s="10"/>
      <c r="J966" s="10"/>
      <c r="K966" s="11"/>
      <c r="L966" s="11"/>
      <c r="M966" s="11"/>
    </row>
    <row r="967" spans="3:13" x14ac:dyDescent="0.3">
      <c r="C967" s="10"/>
      <c r="D967" s="11"/>
      <c r="E967" s="11"/>
      <c r="I967" s="10"/>
      <c r="J967" s="10"/>
      <c r="K967" s="11"/>
      <c r="L967" s="11"/>
      <c r="M967" s="11"/>
    </row>
    <row r="968" spans="3:13" x14ac:dyDescent="0.3">
      <c r="C968" s="10"/>
      <c r="D968" s="11"/>
      <c r="E968" s="11"/>
      <c r="I968" s="10"/>
      <c r="J968" s="10"/>
      <c r="K968" s="11"/>
      <c r="L968" s="11"/>
      <c r="M968" s="11"/>
    </row>
    <row r="969" spans="3:13" x14ac:dyDescent="0.3">
      <c r="C969" s="10"/>
      <c r="D969" s="11"/>
      <c r="E969" s="11"/>
      <c r="I969" s="10"/>
      <c r="J969" s="10"/>
      <c r="K969" s="11"/>
      <c r="L969" s="11"/>
      <c r="M969" s="11"/>
    </row>
    <row r="970" spans="3:13" x14ac:dyDescent="0.3">
      <c r="C970" s="10"/>
      <c r="D970" s="11"/>
      <c r="E970" s="11"/>
      <c r="I970" s="10"/>
      <c r="J970" s="10"/>
      <c r="K970" s="11"/>
      <c r="L970" s="11"/>
      <c r="M970" s="11"/>
    </row>
    <row r="971" spans="3:13" x14ac:dyDescent="0.3">
      <c r="C971" s="10"/>
      <c r="D971" s="11"/>
      <c r="E971" s="11"/>
      <c r="I971" s="10"/>
      <c r="J971" s="10"/>
      <c r="K971" s="11"/>
      <c r="L971" s="11"/>
      <c r="M971" s="11"/>
    </row>
    <row r="972" spans="3:13" x14ac:dyDescent="0.3">
      <c r="C972" s="10"/>
      <c r="D972" s="11"/>
      <c r="E972" s="11"/>
      <c r="I972" s="10"/>
      <c r="J972" s="10"/>
      <c r="K972" s="11"/>
      <c r="L972" s="11"/>
      <c r="M972" s="11"/>
    </row>
    <row r="973" spans="3:13" x14ac:dyDescent="0.3">
      <c r="C973" s="10"/>
      <c r="D973" s="11"/>
      <c r="E973" s="11"/>
      <c r="I973" s="10"/>
      <c r="J973" s="10"/>
      <c r="K973" s="11"/>
      <c r="L973" s="11"/>
      <c r="M973" s="11"/>
    </row>
    <row r="974" spans="3:13" x14ac:dyDescent="0.3">
      <c r="C974" s="10"/>
      <c r="D974" s="11"/>
      <c r="E974" s="11"/>
      <c r="I974" s="10"/>
      <c r="J974" s="10"/>
      <c r="K974" s="11"/>
      <c r="L974" s="11"/>
      <c r="M974" s="11"/>
    </row>
    <row r="975" spans="3:13" x14ac:dyDescent="0.3">
      <c r="C975" s="10"/>
      <c r="D975" s="11"/>
      <c r="E975" s="11"/>
      <c r="I975" s="10"/>
      <c r="J975" s="10"/>
      <c r="K975" s="11"/>
      <c r="L975" s="11"/>
      <c r="M975" s="11"/>
    </row>
    <row r="976" spans="3:13" x14ac:dyDescent="0.3">
      <c r="C976" s="10"/>
      <c r="D976" s="11"/>
      <c r="E976" s="11"/>
      <c r="I976" s="10"/>
      <c r="J976" s="10"/>
      <c r="K976" s="11"/>
      <c r="L976" s="11"/>
      <c r="M976" s="11"/>
    </row>
    <row r="977" spans="3:13" x14ac:dyDescent="0.3">
      <c r="C977" s="10"/>
      <c r="D977" s="11"/>
      <c r="E977" s="11"/>
      <c r="I977" s="10"/>
      <c r="J977" s="10"/>
      <c r="K977" s="11"/>
      <c r="L977" s="11"/>
      <c r="M977" s="11"/>
    </row>
    <row r="978" spans="3:13" x14ac:dyDescent="0.3">
      <c r="C978" s="10"/>
      <c r="D978" s="11"/>
      <c r="E978" s="11"/>
      <c r="I978" s="10"/>
      <c r="J978" s="10"/>
      <c r="K978" s="11"/>
      <c r="L978" s="11"/>
      <c r="M978" s="11"/>
    </row>
    <row r="979" spans="3:13" x14ac:dyDescent="0.3">
      <c r="C979" s="10"/>
      <c r="D979" s="11"/>
      <c r="E979" s="11"/>
      <c r="I979" s="10"/>
      <c r="J979" s="10"/>
      <c r="K979" s="11"/>
      <c r="L979" s="11"/>
      <c r="M979" s="11"/>
    </row>
    <row r="980" spans="3:13" x14ac:dyDescent="0.3">
      <c r="C980" s="10"/>
      <c r="D980" s="11"/>
      <c r="E980" s="11"/>
      <c r="I980" s="10"/>
      <c r="J980" s="10"/>
      <c r="K980" s="11"/>
      <c r="L980" s="11"/>
      <c r="M980" s="11"/>
    </row>
    <row r="981" spans="3:13" x14ac:dyDescent="0.3">
      <c r="C981" s="10"/>
      <c r="D981" s="11"/>
      <c r="E981" s="11"/>
      <c r="I981" s="10"/>
      <c r="J981" s="10"/>
      <c r="K981" s="11"/>
      <c r="L981" s="11"/>
      <c r="M981" s="11"/>
    </row>
    <row r="982" spans="3:13" x14ac:dyDescent="0.3">
      <c r="C982" s="10"/>
      <c r="D982" s="11"/>
      <c r="E982" s="11"/>
      <c r="I982" s="10"/>
      <c r="J982" s="10"/>
      <c r="K982" s="11"/>
      <c r="L982" s="11"/>
      <c r="M982" s="11"/>
    </row>
    <row r="983" spans="3:13" x14ac:dyDescent="0.3">
      <c r="C983" s="10"/>
      <c r="D983" s="11"/>
      <c r="E983" s="11"/>
      <c r="I983" s="10"/>
      <c r="J983" s="10"/>
      <c r="K983" s="11"/>
      <c r="L983" s="11"/>
      <c r="M983" s="11"/>
    </row>
    <row r="984" spans="3:13" x14ac:dyDescent="0.3">
      <c r="C984" s="10"/>
      <c r="D984" s="11"/>
      <c r="E984" s="11"/>
      <c r="I984" s="10"/>
      <c r="J984" s="10"/>
      <c r="K984" s="11"/>
      <c r="L984" s="11"/>
      <c r="M984" s="11"/>
    </row>
    <row r="985" spans="3:13" x14ac:dyDescent="0.3">
      <c r="C985" s="10"/>
      <c r="D985" s="11"/>
      <c r="E985" s="11"/>
      <c r="I985" s="10"/>
      <c r="J985" s="10"/>
      <c r="K985" s="11"/>
      <c r="L985" s="11"/>
      <c r="M985" s="11"/>
    </row>
    <row r="986" spans="3:13" x14ac:dyDescent="0.3">
      <c r="C986" s="10"/>
      <c r="D986" s="11"/>
      <c r="E986" s="11"/>
      <c r="I986" s="10"/>
      <c r="J986" s="10"/>
      <c r="K986" s="11"/>
      <c r="L986" s="11"/>
      <c r="M986" s="11"/>
    </row>
    <row r="987" spans="3:13" x14ac:dyDescent="0.3">
      <c r="C987" s="10"/>
      <c r="D987" s="11"/>
      <c r="E987" s="11"/>
      <c r="I987" s="10"/>
      <c r="J987" s="10"/>
      <c r="K987" s="11"/>
      <c r="L987" s="11"/>
      <c r="M987" s="11"/>
    </row>
    <row r="988" spans="3:13" x14ac:dyDescent="0.3">
      <c r="C988" s="10"/>
      <c r="D988" s="11"/>
      <c r="E988" s="11"/>
      <c r="I988" s="10"/>
      <c r="J988" s="10"/>
      <c r="K988" s="11"/>
      <c r="L988" s="11"/>
      <c r="M988" s="11"/>
    </row>
    <row r="989" spans="3:13" x14ac:dyDescent="0.3">
      <c r="C989" s="10"/>
      <c r="D989" s="11"/>
      <c r="E989" s="11"/>
      <c r="I989" s="10"/>
      <c r="J989" s="10"/>
      <c r="K989" s="11"/>
      <c r="L989" s="11"/>
      <c r="M989" s="11"/>
    </row>
    <row r="990" spans="3:13" x14ac:dyDescent="0.3">
      <c r="C990" s="10"/>
      <c r="D990" s="11"/>
      <c r="E990" s="11"/>
      <c r="I990" s="10"/>
      <c r="J990" s="10"/>
      <c r="K990" s="11"/>
      <c r="L990" s="11"/>
      <c r="M990" s="11"/>
    </row>
    <row r="991" spans="3:13" x14ac:dyDescent="0.3">
      <c r="C991" s="10"/>
      <c r="D991" s="11"/>
      <c r="E991" s="11"/>
      <c r="I991" s="10"/>
      <c r="J991" s="10"/>
      <c r="K991" s="11"/>
      <c r="L991" s="11"/>
      <c r="M991" s="11"/>
    </row>
    <row r="992" spans="3:13" x14ac:dyDescent="0.3">
      <c r="C992" s="10"/>
      <c r="D992" s="11"/>
      <c r="E992" s="11"/>
      <c r="I992" s="10"/>
      <c r="J992" s="10"/>
      <c r="K992" s="11"/>
      <c r="L992" s="11"/>
      <c r="M992" s="11"/>
    </row>
    <row r="993" spans="3:13" x14ac:dyDescent="0.3">
      <c r="C993" s="10"/>
      <c r="D993" s="11"/>
      <c r="E993" s="11"/>
      <c r="I993" s="10"/>
      <c r="J993" s="10"/>
      <c r="K993" s="11"/>
      <c r="L993" s="11"/>
      <c r="M993" s="11"/>
    </row>
    <row r="994" spans="3:13" x14ac:dyDescent="0.3">
      <c r="C994" s="10"/>
      <c r="D994" s="11"/>
      <c r="E994" s="11"/>
      <c r="I994" s="10"/>
      <c r="J994" s="10"/>
      <c r="K994" s="11"/>
      <c r="L994" s="11"/>
      <c r="M994" s="11"/>
    </row>
    <row r="995" spans="3:13" x14ac:dyDescent="0.3">
      <c r="C995" s="10"/>
      <c r="D995" s="11"/>
      <c r="E995" s="11"/>
      <c r="I995" s="10"/>
      <c r="J995" s="10"/>
      <c r="K995" s="11"/>
      <c r="L995" s="11"/>
      <c r="M995" s="11"/>
    </row>
    <row r="996" spans="3:13" x14ac:dyDescent="0.3">
      <c r="C996" s="10"/>
      <c r="D996" s="11"/>
      <c r="E996" s="11"/>
      <c r="I996" s="10"/>
      <c r="J996" s="10"/>
      <c r="K996" s="11"/>
      <c r="L996" s="11"/>
      <c r="M996" s="11"/>
    </row>
    <row r="997" spans="3:13" x14ac:dyDescent="0.3">
      <c r="C997" s="10"/>
      <c r="D997" s="11"/>
      <c r="E997" s="11"/>
      <c r="I997" s="10"/>
      <c r="J997" s="10"/>
      <c r="K997" s="11"/>
      <c r="L997" s="11"/>
      <c r="M997" s="11"/>
    </row>
    <row r="998" spans="3:13" x14ac:dyDescent="0.3">
      <c r="C998" s="10"/>
      <c r="D998" s="11"/>
      <c r="E998" s="11"/>
      <c r="I998" s="10"/>
      <c r="J998" s="10"/>
      <c r="K998" s="11"/>
      <c r="L998" s="11"/>
      <c r="M998" s="11"/>
    </row>
    <row r="999" spans="3:13" x14ac:dyDescent="0.3">
      <c r="C999" s="10"/>
      <c r="D999" s="11"/>
      <c r="E999" s="11"/>
      <c r="I999" s="10"/>
      <c r="J999" s="10"/>
      <c r="K999" s="11"/>
      <c r="L999" s="11"/>
      <c r="M999" s="11"/>
    </row>
    <row r="1000" spans="3:13" x14ac:dyDescent="0.3">
      <c r="C1000" s="10"/>
      <c r="D1000" s="11"/>
      <c r="E1000" s="11"/>
      <c r="I1000" s="10"/>
      <c r="J1000" s="10"/>
      <c r="K1000" s="11"/>
      <c r="L1000" s="11"/>
      <c r="M1000" s="11"/>
    </row>
    <row r="1001" spans="3:13" x14ac:dyDescent="0.3">
      <c r="C1001" s="10"/>
      <c r="D1001" s="11"/>
      <c r="E1001" s="11"/>
      <c r="I1001" s="10"/>
      <c r="J1001" s="10"/>
      <c r="K1001" s="11"/>
      <c r="L1001" s="11"/>
      <c r="M1001" s="11"/>
    </row>
    <row r="1002" spans="3:13" x14ac:dyDescent="0.3">
      <c r="C1002" s="10"/>
      <c r="D1002" s="11"/>
      <c r="E1002" s="11"/>
      <c r="I1002" s="10"/>
      <c r="J1002" s="10"/>
      <c r="K1002" s="11"/>
      <c r="L1002" s="11"/>
      <c r="M1002" s="11"/>
    </row>
    <row r="1003" spans="3:13" x14ac:dyDescent="0.3">
      <c r="C1003" s="10"/>
      <c r="D1003" s="11"/>
      <c r="E1003" s="11"/>
      <c r="I1003" s="10"/>
      <c r="J1003" s="10"/>
      <c r="K1003" s="11"/>
      <c r="L1003" s="11"/>
      <c r="M1003" s="11"/>
    </row>
    <row r="1004" spans="3:13" x14ac:dyDescent="0.3">
      <c r="C1004" s="10"/>
      <c r="D1004" s="11"/>
      <c r="E1004" s="11"/>
      <c r="I1004" s="10"/>
      <c r="J1004" s="10"/>
      <c r="K1004" s="11"/>
      <c r="L1004" s="11"/>
      <c r="M1004" s="11"/>
    </row>
    <row r="1005" spans="3:13" x14ac:dyDescent="0.3">
      <c r="C1005" s="10"/>
      <c r="D1005" s="11"/>
      <c r="E1005" s="11"/>
      <c r="I1005" s="10"/>
      <c r="J1005" s="10"/>
      <c r="K1005" s="11"/>
      <c r="L1005" s="11"/>
      <c r="M1005" s="11"/>
    </row>
    <row r="1006" spans="3:13" x14ac:dyDescent="0.3">
      <c r="C1006" s="10"/>
      <c r="D1006" s="11"/>
      <c r="E1006" s="11"/>
      <c r="I1006" s="10"/>
      <c r="J1006" s="10"/>
      <c r="K1006" s="11"/>
      <c r="L1006" s="11"/>
      <c r="M1006" s="11"/>
    </row>
    <row r="1007" spans="3:13" x14ac:dyDescent="0.3">
      <c r="C1007" s="10"/>
      <c r="D1007" s="11"/>
      <c r="E1007" s="11"/>
      <c r="I1007" s="10"/>
      <c r="J1007" s="10"/>
      <c r="K1007" s="11"/>
      <c r="L1007" s="11"/>
      <c r="M1007" s="11"/>
    </row>
    <row r="1008" spans="3:13" x14ac:dyDescent="0.3">
      <c r="C1008" s="10"/>
      <c r="D1008" s="11"/>
      <c r="E1008" s="11"/>
      <c r="I1008" s="10"/>
      <c r="J1008" s="10"/>
      <c r="K1008" s="11"/>
      <c r="L1008" s="11"/>
      <c r="M1008" s="11"/>
    </row>
    <row r="1009" spans="3:13" x14ac:dyDescent="0.3">
      <c r="C1009" s="10"/>
      <c r="D1009" s="11"/>
      <c r="E1009" s="11"/>
      <c r="I1009" s="10"/>
      <c r="J1009" s="10"/>
      <c r="K1009" s="11"/>
      <c r="L1009" s="11"/>
      <c r="M1009" s="11"/>
    </row>
    <row r="1010" spans="3:13" x14ac:dyDescent="0.3">
      <c r="C1010" s="10"/>
      <c r="D1010" s="11"/>
      <c r="E1010" s="11"/>
      <c r="I1010" s="10"/>
      <c r="J1010" s="10"/>
      <c r="K1010" s="11"/>
      <c r="L1010" s="11"/>
      <c r="M1010" s="11"/>
    </row>
    <row r="1011" spans="3:13" x14ac:dyDescent="0.3">
      <c r="C1011" s="10"/>
      <c r="D1011" s="11"/>
      <c r="E1011" s="11"/>
      <c r="I1011" s="10"/>
      <c r="J1011" s="10"/>
      <c r="K1011" s="11"/>
      <c r="L1011" s="11"/>
      <c r="M1011" s="11"/>
    </row>
    <row r="1012" spans="3:13" x14ac:dyDescent="0.3">
      <c r="C1012" s="10"/>
      <c r="D1012" s="11"/>
      <c r="E1012" s="11"/>
      <c r="I1012" s="10"/>
      <c r="J1012" s="10"/>
      <c r="K1012" s="11"/>
      <c r="L1012" s="11"/>
      <c r="M1012" s="11"/>
    </row>
    <row r="1013" spans="3:13" x14ac:dyDescent="0.3">
      <c r="C1013" s="10"/>
      <c r="D1013" s="11"/>
      <c r="E1013" s="11"/>
      <c r="I1013" s="10"/>
      <c r="J1013" s="10"/>
      <c r="K1013" s="11"/>
      <c r="L1013" s="11"/>
      <c r="M1013" s="11"/>
    </row>
    <row r="1014" spans="3:13" x14ac:dyDescent="0.3">
      <c r="C1014" s="10"/>
      <c r="D1014" s="11"/>
      <c r="E1014" s="11"/>
      <c r="I1014" s="10"/>
      <c r="J1014" s="10"/>
      <c r="K1014" s="11"/>
      <c r="L1014" s="11"/>
      <c r="M1014" s="11"/>
    </row>
  </sheetData>
  <mergeCells count="15">
    <mergeCell ref="B5:B6"/>
    <mergeCell ref="C5:H5"/>
    <mergeCell ref="I5:I6"/>
    <mergeCell ref="K5:M5"/>
    <mergeCell ref="N5:N6"/>
    <mergeCell ref="J5:J6"/>
    <mergeCell ref="W54:X54"/>
    <mergeCell ref="W60:X60"/>
    <mergeCell ref="AJ5:AO5"/>
    <mergeCell ref="AP5:AQ5"/>
    <mergeCell ref="H1:AJ1"/>
    <mergeCell ref="H2:AJ2"/>
    <mergeCell ref="O5:Y5"/>
    <mergeCell ref="AH5:AI5"/>
    <mergeCell ref="Z5:AG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8AE4B"/>
  </sheetPr>
  <dimension ref="A1:Q63"/>
  <sheetViews>
    <sheetView showGridLines="0" workbookViewId="0"/>
  </sheetViews>
  <sheetFormatPr defaultRowHeight="14.4" x14ac:dyDescent="0.3"/>
  <cols>
    <col min="3" max="3" width="7" customWidth="1"/>
    <col min="4" max="4" width="28" customWidth="1"/>
    <col min="5" max="5" width="13" customWidth="1"/>
    <col min="6" max="8" width="11" customWidth="1"/>
    <col min="12" max="12" width="7" customWidth="1"/>
    <col min="13" max="13" width="28" customWidth="1"/>
    <col min="14" max="14" width="13" customWidth="1"/>
    <col min="15" max="17" width="11" customWidth="1"/>
  </cols>
  <sheetData>
    <row r="1" spans="1:1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2.05" customHeight="1" x14ac:dyDescent="0.3">
      <c r="A3" s="34"/>
      <c r="B3" s="34"/>
      <c r="C3" s="532" t="s">
        <v>71</v>
      </c>
      <c r="D3" s="532"/>
      <c r="E3" s="532"/>
      <c r="F3" s="532"/>
      <c r="G3" s="532"/>
      <c r="H3" s="532"/>
      <c r="I3" s="34"/>
      <c r="J3" s="34"/>
      <c r="K3" s="34"/>
      <c r="L3" s="532" t="s">
        <v>71</v>
      </c>
      <c r="M3" s="532"/>
      <c r="N3" s="532"/>
      <c r="O3" s="532"/>
      <c r="P3" s="532"/>
      <c r="Q3" s="532"/>
    </row>
    <row r="4" spans="1:17" ht="24" customHeight="1" x14ac:dyDescent="0.3">
      <c r="A4" s="34"/>
      <c r="B4" s="34"/>
      <c r="C4" s="371" t="s">
        <v>72</v>
      </c>
      <c r="D4" s="371" t="s">
        <v>73</v>
      </c>
      <c r="E4" s="371" t="s">
        <v>74</v>
      </c>
      <c r="F4" s="371" t="s">
        <v>75</v>
      </c>
      <c r="G4" s="371" t="s">
        <v>76</v>
      </c>
      <c r="H4" s="371" t="s">
        <v>77</v>
      </c>
      <c r="I4" s="34"/>
      <c r="J4" s="34"/>
      <c r="K4" s="34"/>
      <c r="L4" s="371" t="s">
        <v>72</v>
      </c>
      <c r="M4" s="371" t="s">
        <v>73</v>
      </c>
      <c r="N4" s="371" t="s">
        <v>74</v>
      </c>
      <c r="O4" s="371" t="s">
        <v>75</v>
      </c>
      <c r="P4" s="371" t="s">
        <v>76</v>
      </c>
      <c r="Q4" s="371" t="s">
        <v>77</v>
      </c>
    </row>
    <row r="5" spans="1:17" x14ac:dyDescent="0.3">
      <c r="A5" s="34"/>
      <c r="B5" s="34"/>
      <c r="C5" s="66">
        <v>1</v>
      </c>
      <c r="D5" s="66" t="s">
        <v>78</v>
      </c>
      <c r="E5" s="76">
        <v>46197</v>
      </c>
      <c r="F5" s="66">
        <v>0.54600000000000004</v>
      </c>
      <c r="G5" s="66"/>
      <c r="H5" s="66"/>
      <c r="I5" s="34"/>
      <c r="J5" s="34"/>
      <c r="K5" s="34"/>
      <c r="L5" s="66">
        <v>51</v>
      </c>
      <c r="M5" s="66" t="s">
        <v>79</v>
      </c>
      <c r="N5" s="77">
        <v>46253</v>
      </c>
      <c r="O5" s="66">
        <v>0.67300000000000004</v>
      </c>
      <c r="P5" s="66"/>
      <c r="Q5" s="66"/>
    </row>
    <row r="6" spans="1:17" x14ac:dyDescent="0.3">
      <c r="A6" s="34"/>
      <c r="B6" s="34"/>
      <c r="C6" s="66">
        <v>2</v>
      </c>
      <c r="D6" s="66" t="s">
        <v>80</v>
      </c>
      <c r="E6" s="76">
        <v>46197</v>
      </c>
      <c r="F6" s="66">
        <v>0.57599999999999996</v>
      </c>
      <c r="G6" s="66"/>
      <c r="H6" s="66"/>
      <c r="I6" s="34"/>
      <c r="J6" s="34"/>
      <c r="K6" s="34"/>
      <c r="L6" s="66">
        <v>52</v>
      </c>
      <c r="M6" s="66" t="s">
        <v>81</v>
      </c>
      <c r="N6" s="77">
        <v>46253</v>
      </c>
      <c r="O6" s="66">
        <v>0.66200000000000003</v>
      </c>
      <c r="P6" s="66"/>
      <c r="Q6" s="66"/>
    </row>
    <row r="7" spans="1:17" x14ac:dyDescent="0.3">
      <c r="A7" s="34"/>
      <c r="B7" s="34"/>
      <c r="C7" s="66">
        <v>3</v>
      </c>
      <c r="D7" s="66" t="s">
        <v>82</v>
      </c>
      <c r="E7" s="76">
        <v>46197</v>
      </c>
      <c r="F7" s="66">
        <v>0.83899999999999997</v>
      </c>
      <c r="G7" s="66"/>
      <c r="H7" s="66"/>
      <c r="I7" s="34"/>
      <c r="J7" s="34"/>
      <c r="K7" s="34"/>
      <c r="L7" s="66">
        <v>53</v>
      </c>
      <c r="M7" s="66" t="s">
        <v>83</v>
      </c>
      <c r="N7" s="77">
        <v>46253</v>
      </c>
      <c r="O7" s="66">
        <v>0.55500000000000005</v>
      </c>
      <c r="P7" s="66"/>
      <c r="Q7" s="66"/>
    </row>
    <row r="8" spans="1:17" x14ac:dyDescent="0.3">
      <c r="A8" s="34"/>
      <c r="B8" s="34"/>
      <c r="C8" s="66">
        <v>4</v>
      </c>
      <c r="D8" s="66" t="s">
        <v>84</v>
      </c>
      <c r="E8" s="76">
        <v>46197</v>
      </c>
      <c r="F8" s="66">
        <v>2.0110000000000001</v>
      </c>
      <c r="G8" s="66"/>
      <c r="H8" s="66"/>
      <c r="I8" s="34"/>
      <c r="J8" s="34"/>
      <c r="K8" s="34"/>
      <c r="L8" s="66">
        <v>54</v>
      </c>
      <c r="M8" s="66" t="s">
        <v>85</v>
      </c>
      <c r="N8" s="77">
        <v>46253</v>
      </c>
      <c r="O8" s="66">
        <v>0.81299999999999994</v>
      </c>
      <c r="P8" s="66"/>
      <c r="Q8" s="66"/>
    </row>
    <row r="9" spans="1:17" x14ac:dyDescent="0.3">
      <c r="A9" s="34"/>
      <c r="B9" s="34"/>
      <c r="C9" s="66">
        <v>5</v>
      </c>
      <c r="D9" s="66" t="s">
        <v>86</v>
      </c>
      <c r="E9" s="76">
        <v>46197</v>
      </c>
      <c r="F9" s="66">
        <v>0.94399999999999995</v>
      </c>
      <c r="G9" s="66"/>
      <c r="H9" s="66"/>
      <c r="I9" s="34"/>
      <c r="J9" s="34"/>
      <c r="K9" s="34"/>
      <c r="L9" s="66">
        <v>55</v>
      </c>
      <c r="M9" s="66" t="s">
        <v>87</v>
      </c>
      <c r="N9" s="77">
        <v>46253</v>
      </c>
      <c r="O9" s="66">
        <v>1.147</v>
      </c>
      <c r="P9" s="66"/>
      <c r="Q9" s="66"/>
    </row>
    <row r="10" spans="1:17" x14ac:dyDescent="0.3">
      <c r="A10" s="34"/>
      <c r="B10" s="34"/>
      <c r="C10" s="66">
        <v>6</v>
      </c>
      <c r="D10" s="66" t="s">
        <v>88</v>
      </c>
      <c r="E10" s="76">
        <v>46197</v>
      </c>
      <c r="F10" s="66">
        <v>0.70199999999999996</v>
      </c>
      <c r="G10" s="66"/>
      <c r="H10" s="66"/>
      <c r="I10" s="34"/>
      <c r="J10" s="34"/>
      <c r="K10" s="34"/>
      <c r="L10" s="66">
        <v>56</v>
      </c>
      <c r="M10" s="66" t="s">
        <v>89</v>
      </c>
      <c r="N10" s="77">
        <v>46253</v>
      </c>
      <c r="O10" s="66">
        <v>1.9410000000000001</v>
      </c>
      <c r="P10" s="66"/>
      <c r="Q10" s="66"/>
    </row>
    <row r="11" spans="1:17" x14ac:dyDescent="0.3">
      <c r="A11" s="34"/>
      <c r="B11" s="34"/>
      <c r="C11" s="66">
        <v>7</v>
      </c>
      <c r="D11" s="66" t="s">
        <v>90</v>
      </c>
      <c r="E11" s="76">
        <v>46197</v>
      </c>
      <c r="F11" s="66">
        <v>3.2160000000000002</v>
      </c>
      <c r="G11" s="66"/>
      <c r="H11" s="66"/>
      <c r="I11" s="34"/>
      <c r="J11" s="34"/>
      <c r="K11" s="34"/>
      <c r="L11" s="66">
        <v>57</v>
      </c>
      <c r="M11" s="66" t="s">
        <v>91</v>
      </c>
      <c r="N11" s="77">
        <v>46253</v>
      </c>
      <c r="O11" s="66">
        <v>0.48899999999999999</v>
      </c>
      <c r="P11" s="66"/>
      <c r="Q11" s="66"/>
    </row>
    <row r="12" spans="1:17" x14ac:dyDescent="0.3">
      <c r="A12" s="34"/>
      <c r="B12" s="34"/>
      <c r="C12" s="66">
        <v>8</v>
      </c>
      <c r="D12" s="66" t="s">
        <v>92</v>
      </c>
      <c r="E12" s="76">
        <v>46197</v>
      </c>
      <c r="F12" s="66">
        <v>0.56200000000000006</v>
      </c>
      <c r="G12" s="66"/>
      <c r="H12" s="66"/>
      <c r="I12" s="34"/>
      <c r="J12" s="34"/>
      <c r="K12" s="34"/>
      <c r="L12" s="66">
        <v>58</v>
      </c>
      <c r="M12" s="66" t="s">
        <v>93</v>
      </c>
      <c r="N12" s="77">
        <v>46253</v>
      </c>
      <c r="O12" s="66">
        <v>0.55600000000000005</v>
      </c>
      <c r="P12" s="66"/>
      <c r="Q12" s="66"/>
    </row>
    <row r="13" spans="1:17" x14ac:dyDescent="0.3">
      <c r="A13" s="34"/>
      <c r="B13" s="34"/>
      <c r="C13" s="66">
        <v>9</v>
      </c>
      <c r="D13" s="66" t="s">
        <v>94</v>
      </c>
      <c r="E13" s="76">
        <v>46197</v>
      </c>
      <c r="F13" s="66">
        <v>0.79</v>
      </c>
      <c r="G13" s="66"/>
      <c r="H13" s="66"/>
      <c r="I13" s="34"/>
      <c r="J13" s="34"/>
      <c r="K13" s="34"/>
      <c r="L13" s="66">
        <v>59</v>
      </c>
      <c r="M13" s="66" t="s">
        <v>95</v>
      </c>
      <c r="N13" s="77">
        <v>46253</v>
      </c>
      <c r="O13" s="66">
        <v>3.032</v>
      </c>
      <c r="P13" s="66"/>
      <c r="Q13" s="66"/>
    </row>
    <row r="14" spans="1:17" x14ac:dyDescent="0.3">
      <c r="A14" s="34"/>
      <c r="B14" s="34"/>
      <c r="C14" s="66">
        <v>10</v>
      </c>
      <c r="D14" s="66" t="s">
        <v>96</v>
      </c>
      <c r="E14" s="76">
        <v>46197</v>
      </c>
      <c r="F14" s="66">
        <v>1.583</v>
      </c>
      <c r="G14" s="66"/>
      <c r="H14" s="66"/>
      <c r="I14" s="34"/>
      <c r="J14" s="34"/>
      <c r="K14" s="34"/>
      <c r="L14" s="66">
        <v>60</v>
      </c>
      <c r="M14" s="66" t="s">
        <v>97</v>
      </c>
      <c r="N14" s="77">
        <v>46253</v>
      </c>
      <c r="O14" s="66">
        <v>0.63200000000000001</v>
      </c>
      <c r="P14" s="66"/>
      <c r="Q14" s="66"/>
    </row>
    <row r="15" spans="1:17" x14ac:dyDescent="0.3">
      <c r="A15" s="34"/>
      <c r="B15" s="34"/>
      <c r="C15" s="66">
        <v>11</v>
      </c>
      <c r="D15" s="66" t="s">
        <v>98</v>
      </c>
      <c r="E15" s="76">
        <v>46181</v>
      </c>
      <c r="F15" s="66">
        <v>1.9630000000000001</v>
      </c>
      <c r="G15" s="66"/>
      <c r="H15" s="66"/>
      <c r="I15" s="34"/>
      <c r="J15" s="34"/>
      <c r="K15" s="34"/>
      <c r="L15" s="66">
        <v>61</v>
      </c>
      <c r="M15" s="66" t="s">
        <v>99</v>
      </c>
      <c r="N15" s="77">
        <v>46253</v>
      </c>
      <c r="O15" s="66">
        <v>1.0429999999999999</v>
      </c>
      <c r="P15" s="66"/>
      <c r="Q15" s="66"/>
    </row>
    <row r="16" spans="1:17" x14ac:dyDescent="0.3">
      <c r="A16" s="34"/>
      <c r="B16" s="34"/>
      <c r="C16" s="66">
        <v>12</v>
      </c>
      <c r="D16" s="66" t="s">
        <v>100</v>
      </c>
      <c r="E16" s="76">
        <v>46181</v>
      </c>
      <c r="F16" s="66">
        <v>0.73499999999999999</v>
      </c>
      <c r="G16" s="66"/>
      <c r="H16" s="66"/>
      <c r="I16" s="34"/>
      <c r="J16" s="34"/>
      <c r="K16" s="34"/>
      <c r="L16" s="66">
        <v>62</v>
      </c>
      <c r="M16" s="66" t="s">
        <v>101</v>
      </c>
      <c r="N16" s="77">
        <v>46253</v>
      </c>
      <c r="O16" s="66">
        <v>1.59</v>
      </c>
      <c r="P16" s="66"/>
      <c r="Q16" s="66"/>
    </row>
    <row r="17" spans="1:17" x14ac:dyDescent="0.3">
      <c r="A17" s="34"/>
      <c r="B17" s="34"/>
      <c r="C17" s="66">
        <v>13</v>
      </c>
      <c r="D17" s="66" t="s">
        <v>102</v>
      </c>
      <c r="E17" s="76">
        <v>46181</v>
      </c>
      <c r="F17" s="66">
        <v>0.34799999999999998</v>
      </c>
      <c r="G17" s="66"/>
      <c r="H17" s="66"/>
      <c r="I17" s="34"/>
      <c r="J17" s="34"/>
      <c r="K17" s="34"/>
      <c r="L17" s="66">
        <v>63</v>
      </c>
      <c r="M17" s="66" t="s">
        <v>103</v>
      </c>
      <c r="N17" s="77">
        <v>46253</v>
      </c>
      <c r="O17" s="66">
        <v>0.33700000000000002</v>
      </c>
      <c r="P17" s="66"/>
      <c r="Q17" s="66"/>
    </row>
    <row r="18" spans="1:17" x14ac:dyDescent="0.3">
      <c r="A18" s="34"/>
      <c r="B18" s="34"/>
      <c r="C18" s="66">
        <v>14</v>
      </c>
      <c r="D18" s="66" t="s">
        <v>104</v>
      </c>
      <c r="E18" s="76">
        <v>46181</v>
      </c>
      <c r="F18" s="66">
        <v>1.2929999999999999</v>
      </c>
      <c r="G18" s="66"/>
      <c r="H18" s="66"/>
      <c r="I18" s="34"/>
      <c r="J18" s="34"/>
      <c r="K18" s="34"/>
      <c r="L18" s="66">
        <v>64</v>
      </c>
      <c r="M18" s="66" t="s">
        <v>105</v>
      </c>
      <c r="N18" s="77">
        <v>46253</v>
      </c>
      <c r="O18" s="66">
        <v>0.252</v>
      </c>
      <c r="P18" s="66"/>
      <c r="Q18" s="66"/>
    </row>
    <row r="19" spans="1:17" x14ac:dyDescent="0.3">
      <c r="A19" s="34"/>
      <c r="B19" s="34"/>
      <c r="C19" s="66">
        <v>15</v>
      </c>
      <c r="D19" s="66" t="s">
        <v>106</v>
      </c>
      <c r="E19" s="76">
        <v>46181</v>
      </c>
      <c r="F19" s="66">
        <v>0.43</v>
      </c>
      <c r="G19" s="66"/>
      <c r="H19" s="66"/>
      <c r="I19" s="34"/>
      <c r="J19" s="34"/>
      <c r="K19" s="34"/>
      <c r="L19" s="66">
        <v>65</v>
      </c>
      <c r="M19" s="66" t="s">
        <v>107</v>
      </c>
      <c r="N19" s="77">
        <v>46254</v>
      </c>
      <c r="O19" s="66">
        <v>0.90500000000000003</v>
      </c>
      <c r="P19" s="66"/>
      <c r="Q19" s="66"/>
    </row>
    <row r="20" spans="1:17" x14ac:dyDescent="0.3">
      <c r="A20" s="34"/>
      <c r="B20" s="34"/>
      <c r="C20" s="66">
        <v>16</v>
      </c>
      <c r="D20" s="66" t="s">
        <v>108</v>
      </c>
      <c r="E20" s="76">
        <v>46180</v>
      </c>
      <c r="F20" s="66">
        <v>0.55800000000000005</v>
      </c>
      <c r="G20" s="66"/>
      <c r="H20" s="66"/>
      <c r="I20" s="34"/>
      <c r="J20" s="34"/>
      <c r="K20" s="34"/>
      <c r="L20" s="66">
        <v>66</v>
      </c>
      <c r="M20" s="66" t="s">
        <v>109</v>
      </c>
      <c r="N20" s="77">
        <v>46254</v>
      </c>
      <c r="O20" s="66">
        <v>0.91200000000000003</v>
      </c>
      <c r="P20" s="66"/>
      <c r="Q20" s="66"/>
    </row>
    <row r="21" spans="1:17" x14ac:dyDescent="0.3">
      <c r="A21" s="34"/>
      <c r="B21" s="34"/>
      <c r="C21" s="66">
        <v>17</v>
      </c>
      <c r="D21" s="66" t="s">
        <v>110</v>
      </c>
      <c r="E21" s="76">
        <v>46180</v>
      </c>
      <c r="F21" s="66">
        <v>0.60399999999999998</v>
      </c>
      <c r="G21" s="66"/>
      <c r="H21" s="66"/>
      <c r="I21" s="34"/>
      <c r="J21" s="34"/>
      <c r="K21" s="34"/>
      <c r="L21" s="66">
        <v>67</v>
      </c>
      <c r="M21" s="66" t="s">
        <v>111</v>
      </c>
      <c r="N21" s="77">
        <v>46254</v>
      </c>
      <c r="O21" s="66">
        <v>0.21199999999999999</v>
      </c>
      <c r="P21" s="66"/>
      <c r="Q21" s="66"/>
    </row>
    <row r="22" spans="1:17" x14ac:dyDescent="0.3">
      <c r="A22" s="34"/>
      <c r="B22" s="34"/>
      <c r="C22" s="66">
        <v>18</v>
      </c>
      <c r="D22" s="66" t="s">
        <v>112</v>
      </c>
      <c r="E22" s="76">
        <v>46180</v>
      </c>
      <c r="F22" s="66">
        <v>4.383</v>
      </c>
      <c r="G22" s="66"/>
      <c r="H22" s="66"/>
      <c r="I22" s="34"/>
      <c r="J22" s="34"/>
      <c r="K22" s="34"/>
      <c r="L22" s="66">
        <v>68</v>
      </c>
      <c r="M22" s="66" t="s">
        <v>79</v>
      </c>
      <c r="N22" s="77">
        <v>46254</v>
      </c>
      <c r="O22" s="66">
        <v>0.32300000000000001</v>
      </c>
      <c r="P22" s="66"/>
      <c r="Q22" s="66"/>
    </row>
    <row r="23" spans="1:17" x14ac:dyDescent="0.3">
      <c r="A23" s="34"/>
      <c r="B23" s="34"/>
      <c r="C23" s="66">
        <v>19</v>
      </c>
      <c r="D23" s="66" t="s">
        <v>113</v>
      </c>
      <c r="E23" s="76">
        <v>46180</v>
      </c>
      <c r="F23" s="66">
        <v>3.2330000000000001</v>
      </c>
      <c r="G23" s="66"/>
      <c r="H23" s="66"/>
      <c r="I23" s="34"/>
      <c r="J23" s="34"/>
      <c r="K23" s="34"/>
      <c r="L23" s="66">
        <v>69</v>
      </c>
      <c r="M23" s="66" t="s">
        <v>83</v>
      </c>
      <c r="N23" s="77">
        <v>46254</v>
      </c>
      <c r="O23" s="66">
        <v>0.63500000000000001</v>
      </c>
      <c r="P23" s="66"/>
      <c r="Q23" s="66"/>
    </row>
    <row r="24" spans="1:17" x14ac:dyDescent="0.3">
      <c r="A24" s="34"/>
      <c r="B24" s="34"/>
      <c r="C24" s="66">
        <v>20</v>
      </c>
      <c r="D24" s="66" t="s">
        <v>114</v>
      </c>
      <c r="E24" s="76">
        <v>46180</v>
      </c>
      <c r="F24" s="66">
        <v>1.635</v>
      </c>
      <c r="G24" s="66"/>
      <c r="H24" s="66"/>
      <c r="I24" s="34"/>
      <c r="J24" s="34"/>
      <c r="K24" s="34"/>
      <c r="L24" s="66">
        <v>70</v>
      </c>
      <c r="M24" s="66" t="s">
        <v>87</v>
      </c>
      <c r="N24" s="77">
        <v>46254</v>
      </c>
      <c r="O24" s="66">
        <v>0.45500000000000002</v>
      </c>
      <c r="P24" s="66"/>
      <c r="Q24" s="66"/>
    </row>
    <row r="25" spans="1:17" x14ac:dyDescent="0.3">
      <c r="A25" s="34"/>
      <c r="B25" s="34"/>
      <c r="C25" s="66">
        <v>21</v>
      </c>
      <c r="D25" s="66" t="s">
        <v>115</v>
      </c>
      <c r="E25" s="76">
        <v>46180</v>
      </c>
      <c r="F25" s="66">
        <v>1.2390000000000001</v>
      </c>
      <c r="G25" s="66"/>
      <c r="H25" s="66"/>
      <c r="I25" s="34"/>
      <c r="J25" s="34"/>
      <c r="K25" s="34"/>
      <c r="L25" s="66">
        <v>71</v>
      </c>
      <c r="M25" s="66" t="s">
        <v>91</v>
      </c>
      <c r="N25" s="77">
        <v>46254</v>
      </c>
      <c r="O25" s="66">
        <v>9.9000000000000005E-2</v>
      </c>
      <c r="P25" s="66"/>
      <c r="Q25" s="66"/>
    </row>
    <row r="26" spans="1:17" x14ac:dyDescent="0.3">
      <c r="A26" s="34"/>
      <c r="B26" s="34"/>
      <c r="C26" s="66">
        <v>22</v>
      </c>
      <c r="D26" s="66" t="s">
        <v>116</v>
      </c>
      <c r="E26" s="76">
        <v>46180</v>
      </c>
      <c r="F26" s="66">
        <v>0.84699999999999998</v>
      </c>
      <c r="G26" s="66"/>
      <c r="H26" s="66"/>
      <c r="I26" s="34"/>
      <c r="J26" s="34"/>
      <c r="K26" s="34"/>
      <c r="L26" s="66">
        <v>72</v>
      </c>
      <c r="M26" s="66" t="s">
        <v>95</v>
      </c>
      <c r="N26" s="77">
        <v>46254</v>
      </c>
      <c r="O26" s="66">
        <v>0.69599999999999995</v>
      </c>
      <c r="P26" s="66"/>
      <c r="Q26" s="66"/>
    </row>
    <row r="27" spans="1:17" x14ac:dyDescent="0.3">
      <c r="A27" s="34"/>
      <c r="B27" s="34"/>
      <c r="C27" s="66">
        <v>23</v>
      </c>
      <c r="D27" s="66" t="s">
        <v>108</v>
      </c>
      <c r="E27" s="76">
        <v>46176</v>
      </c>
      <c r="F27" s="66">
        <v>2.72</v>
      </c>
      <c r="G27" s="66"/>
      <c r="H27" s="66"/>
      <c r="I27" s="34"/>
      <c r="J27" s="34"/>
      <c r="K27" s="34"/>
      <c r="L27" s="66">
        <v>73</v>
      </c>
      <c r="M27" s="66" t="s">
        <v>99</v>
      </c>
      <c r="N27" s="77">
        <v>46254</v>
      </c>
      <c r="O27" s="66">
        <v>0.34</v>
      </c>
      <c r="P27" s="66"/>
      <c r="Q27" s="66"/>
    </row>
    <row r="28" spans="1:17" x14ac:dyDescent="0.3">
      <c r="A28" s="34"/>
      <c r="B28" s="34"/>
      <c r="C28" s="66">
        <v>24</v>
      </c>
      <c r="D28" s="66" t="s">
        <v>110</v>
      </c>
      <c r="E28" s="76">
        <v>46176</v>
      </c>
      <c r="F28" s="66">
        <v>0.57599999999999996</v>
      </c>
      <c r="G28" s="66"/>
      <c r="H28" s="66"/>
      <c r="I28" s="34"/>
      <c r="J28" s="34"/>
      <c r="K28" s="34"/>
      <c r="L28" s="66">
        <v>74</v>
      </c>
      <c r="M28" s="66" t="s">
        <v>103</v>
      </c>
      <c r="N28" s="77">
        <v>46254</v>
      </c>
      <c r="O28" s="66">
        <v>0.98199999999999998</v>
      </c>
      <c r="P28" s="66"/>
      <c r="Q28" s="66"/>
    </row>
    <row r="29" spans="1:17" x14ac:dyDescent="0.3">
      <c r="A29" s="34"/>
      <c r="B29" s="34"/>
      <c r="C29" s="66">
        <v>25</v>
      </c>
      <c r="D29" s="66" t="s">
        <v>112</v>
      </c>
      <c r="E29" s="76">
        <v>46176</v>
      </c>
      <c r="F29" s="66">
        <v>0.66300000000000003</v>
      </c>
      <c r="G29" s="66"/>
      <c r="H29" s="66"/>
      <c r="I29" s="34"/>
      <c r="J29" s="34"/>
      <c r="K29" s="34"/>
      <c r="L29" s="66">
        <v>75</v>
      </c>
      <c r="M29" s="66" t="s">
        <v>117</v>
      </c>
      <c r="N29" s="77">
        <v>46254</v>
      </c>
      <c r="O29" s="66">
        <v>1.0880000000000001</v>
      </c>
      <c r="P29" s="66"/>
      <c r="Q29" s="66"/>
    </row>
    <row r="30" spans="1:17" x14ac:dyDescent="0.3">
      <c r="A30" s="34"/>
      <c r="B30" s="34"/>
      <c r="C30" s="66">
        <v>26</v>
      </c>
      <c r="D30" s="66" t="s">
        <v>113</v>
      </c>
      <c r="E30" s="76">
        <v>46176</v>
      </c>
      <c r="F30" s="66">
        <v>1.8220000000000001</v>
      </c>
      <c r="G30" s="66"/>
      <c r="H30" s="66"/>
      <c r="I30" s="34"/>
      <c r="J30" s="34"/>
      <c r="K30" s="34"/>
      <c r="L30" s="66">
        <v>76</v>
      </c>
      <c r="M30" s="66" t="s">
        <v>107</v>
      </c>
      <c r="N30" s="77">
        <v>46255</v>
      </c>
      <c r="O30" s="66">
        <v>0.57399999999999995</v>
      </c>
      <c r="P30" s="66"/>
      <c r="Q30" s="66"/>
    </row>
    <row r="31" spans="1:17" x14ac:dyDescent="0.3">
      <c r="A31" s="34"/>
      <c r="B31" s="34"/>
      <c r="C31" s="66">
        <v>27</v>
      </c>
      <c r="D31" s="66" t="s">
        <v>114</v>
      </c>
      <c r="E31" s="76">
        <v>46176</v>
      </c>
      <c r="F31" s="66">
        <v>0.79700000000000004</v>
      </c>
      <c r="G31" s="66"/>
      <c r="H31" s="66"/>
      <c r="I31" s="34"/>
      <c r="J31" s="34"/>
      <c r="K31" s="34"/>
      <c r="L31" s="66">
        <v>77</v>
      </c>
      <c r="M31" s="66" t="s">
        <v>109</v>
      </c>
      <c r="N31" s="77">
        <v>46255</v>
      </c>
      <c r="O31" s="66">
        <v>0.35399999999999998</v>
      </c>
      <c r="P31" s="66"/>
      <c r="Q31" s="66"/>
    </row>
    <row r="32" spans="1:17" x14ac:dyDescent="0.3">
      <c r="A32" s="34"/>
      <c r="B32" s="34"/>
      <c r="C32" s="66">
        <v>28</v>
      </c>
      <c r="D32" s="66" t="s">
        <v>115</v>
      </c>
      <c r="E32" s="76">
        <v>46176</v>
      </c>
      <c r="F32" s="66">
        <v>1.3919999999999999</v>
      </c>
      <c r="G32" s="66"/>
      <c r="H32" s="66"/>
      <c r="I32" s="34"/>
      <c r="J32" s="34"/>
      <c r="K32" s="34"/>
      <c r="L32" s="66">
        <v>78</v>
      </c>
      <c r="M32" s="66" t="s">
        <v>111</v>
      </c>
      <c r="N32" s="77">
        <v>46255</v>
      </c>
      <c r="O32" s="66">
        <v>0.80200000000000005</v>
      </c>
      <c r="P32" s="66"/>
      <c r="Q32" s="66"/>
    </row>
    <row r="33" spans="1:17" x14ac:dyDescent="0.3">
      <c r="A33" s="34"/>
      <c r="B33" s="34"/>
      <c r="C33" s="66">
        <v>29</v>
      </c>
      <c r="D33" s="66" t="s">
        <v>116</v>
      </c>
      <c r="E33" s="76">
        <v>46176</v>
      </c>
      <c r="F33" s="66">
        <v>0.70699999999999996</v>
      </c>
      <c r="G33" s="66"/>
      <c r="H33" s="66"/>
      <c r="I33" s="34"/>
      <c r="J33" s="34"/>
      <c r="K33" s="34"/>
      <c r="L33" s="66">
        <v>79</v>
      </c>
      <c r="M33" s="66" t="s">
        <v>79</v>
      </c>
      <c r="N33" s="77">
        <v>46255</v>
      </c>
      <c r="O33" s="66">
        <v>0.16</v>
      </c>
      <c r="P33" s="66"/>
      <c r="Q33" s="66"/>
    </row>
    <row r="34" spans="1:17" x14ac:dyDescent="0.3">
      <c r="A34" s="34"/>
      <c r="B34" s="34"/>
      <c r="C34" s="66">
        <v>30</v>
      </c>
      <c r="D34" s="66" t="s">
        <v>118</v>
      </c>
      <c r="E34" s="76">
        <v>46176</v>
      </c>
      <c r="F34" s="66">
        <v>1.552</v>
      </c>
      <c r="G34" s="66"/>
      <c r="H34" s="66"/>
      <c r="I34" s="34"/>
      <c r="J34" s="34"/>
      <c r="K34" s="34"/>
      <c r="L34" s="66">
        <v>80</v>
      </c>
      <c r="M34" s="66" t="s">
        <v>83</v>
      </c>
      <c r="N34" s="77">
        <v>46255</v>
      </c>
      <c r="O34" s="66">
        <v>0.96199999999999997</v>
      </c>
      <c r="P34" s="66"/>
      <c r="Q34" s="66"/>
    </row>
    <row r="35" spans="1:17" x14ac:dyDescent="0.3">
      <c r="A35" s="34"/>
      <c r="B35" s="34"/>
      <c r="C35" s="66">
        <v>31</v>
      </c>
      <c r="D35" s="66" t="s">
        <v>119</v>
      </c>
      <c r="E35" s="76">
        <v>46176</v>
      </c>
      <c r="F35" s="66">
        <v>0.76500000000000001</v>
      </c>
      <c r="G35" s="66"/>
      <c r="H35" s="66"/>
      <c r="I35" s="34"/>
      <c r="J35" s="34"/>
      <c r="K35" s="34"/>
      <c r="L35" s="66">
        <v>81</v>
      </c>
      <c r="M35" s="66" t="s">
        <v>87</v>
      </c>
      <c r="N35" s="77">
        <v>46255</v>
      </c>
      <c r="O35" s="66">
        <v>0.42199999999999999</v>
      </c>
      <c r="P35" s="66"/>
      <c r="Q35" s="66"/>
    </row>
    <row r="36" spans="1:17" x14ac:dyDescent="0.3">
      <c r="A36" s="34"/>
      <c r="B36" s="34"/>
      <c r="C36" s="66">
        <v>32</v>
      </c>
      <c r="D36" s="66" t="s">
        <v>120</v>
      </c>
      <c r="E36" s="76">
        <v>46176</v>
      </c>
      <c r="F36" s="66">
        <v>1.2350000000000001</v>
      </c>
      <c r="G36" s="66"/>
      <c r="H36" s="66"/>
      <c r="I36" s="34"/>
      <c r="J36" s="34"/>
      <c r="K36" s="34"/>
      <c r="L36" s="66">
        <v>82</v>
      </c>
      <c r="M36" s="66" t="s">
        <v>91</v>
      </c>
      <c r="N36" s="77">
        <v>46255</v>
      </c>
      <c r="O36" s="66">
        <v>0.16700000000000001</v>
      </c>
      <c r="P36" s="66"/>
      <c r="Q36" s="66"/>
    </row>
    <row r="37" spans="1:17" x14ac:dyDescent="0.3">
      <c r="A37" s="34"/>
      <c r="B37" s="34"/>
      <c r="C37" s="66">
        <v>33</v>
      </c>
      <c r="D37" s="66" t="s">
        <v>121</v>
      </c>
      <c r="E37" s="78">
        <v>46251</v>
      </c>
      <c r="F37" s="66">
        <v>1.0349999999999999</v>
      </c>
      <c r="G37" s="66"/>
      <c r="H37" s="66"/>
      <c r="I37" s="34"/>
      <c r="J37" s="34"/>
      <c r="K37" s="34"/>
      <c r="L37" s="66">
        <v>83</v>
      </c>
      <c r="M37" s="66" t="s">
        <v>95</v>
      </c>
      <c r="N37" s="77">
        <v>46255</v>
      </c>
      <c r="O37" s="66">
        <v>0.31</v>
      </c>
      <c r="P37" s="66"/>
      <c r="Q37" s="66"/>
    </row>
    <row r="38" spans="1:17" x14ac:dyDescent="0.3">
      <c r="A38" s="34"/>
      <c r="B38" s="34"/>
      <c r="C38" s="66">
        <v>34</v>
      </c>
      <c r="D38" s="66" t="s">
        <v>122</v>
      </c>
      <c r="E38" s="78">
        <v>46251</v>
      </c>
      <c r="F38" s="66">
        <v>0.52600000000000002</v>
      </c>
      <c r="G38" s="66"/>
      <c r="H38" s="66"/>
      <c r="I38" s="34"/>
      <c r="J38" s="34"/>
      <c r="K38" s="34"/>
      <c r="L38" s="66">
        <v>84</v>
      </c>
      <c r="M38" s="66" t="s">
        <v>99</v>
      </c>
      <c r="N38" s="77">
        <v>46255</v>
      </c>
      <c r="O38" s="66">
        <v>0.23100000000000001</v>
      </c>
      <c r="P38" s="66"/>
      <c r="Q38" s="66"/>
    </row>
    <row r="39" spans="1:17" x14ac:dyDescent="0.3">
      <c r="A39" s="34"/>
      <c r="B39" s="34"/>
      <c r="C39" s="66">
        <v>35</v>
      </c>
      <c r="D39" s="66" t="s">
        <v>123</v>
      </c>
      <c r="E39" s="78">
        <v>46251</v>
      </c>
      <c r="F39" s="66">
        <v>0.81599999999999995</v>
      </c>
      <c r="G39" s="66"/>
      <c r="H39" s="66"/>
      <c r="I39" s="34"/>
      <c r="J39" s="34"/>
      <c r="K39" s="34"/>
      <c r="L39" s="66">
        <v>85</v>
      </c>
      <c r="M39" s="66" t="s">
        <v>109</v>
      </c>
      <c r="N39" s="77">
        <v>46256</v>
      </c>
      <c r="O39" s="66">
        <v>2.5209999999999999</v>
      </c>
      <c r="P39" s="66"/>
      <c r="Q39" s="66"/>
    </row>
    <row r="40" spans="1:17" x14ac:dyDescent="0.3">
      <c r="A40" s="34"/>
      <c r="B40" s="34"/>
      <c r="C40" s="66">
        <v>36</v>
      </c>
      <c r="D40" s="66" t="s">
        <v>124</v>
      </c>
      <c r="E40" s="78">
        <v>46251</v>
      </c>
      <c r="F40" s="66">
        <v>0.34399999999999997</v>
      </c>
      <c r="G40" s="66"/>
      <c r="H40" s="66"/>
      <c r="I40" s="34"/>
      <c r="J40" s="34"/>
      <c r="K40" s="34"/>
      <c r="L40" s="66">
        <v>86</v>
      </c>
      <c r="M40" s="66" t="s">
        <v>111</v>
      </c>
      <c r="N40" s="77">
        <v>46256</v>
      </c>
      <c r="O40" s="66">
        <v>0.308</v>
      </c>
      <c r="P40" s="66"/>
      <c r="Q40" s="66"/>
    </row>
    <row r="41" spans="1:17" x14ac:dyDescent="0.3">
      <c r="A41" s="34"/>
      <c r="B41" s="34"/>
      <c r="C41" s="66">
        <v>37</v>
      </c>
      <c r="D41" s="66" t="s">
        <v>125</v>
      </c>
      <c r="E41" s="78">
        <v>46251</v>
      </c>
      <c r="F41" s="66">
        <v>0.30399999999999999</v>
      </c>
      <c r="G41" s="66"/>
      <c r="H41" s="66"/>
      <c r="I41" s="34"/>
      <c r="J41" s="34"/>
      <c r="K41" s="34"/>
      <c r="L41" s="66">
        <v>87</v>
      </c>
      <c r="M41" s="66" t="s">
        <v>79</v>
      </c>
      <c r="N41" s="77">
        <v>46256</v>
      </c>
      <c r="O41" s="66">
        <v>0.35099999999999998</v>
      </c>
      <c r="P41" s="66"/>
      <c r="Q41" s="66"/>
    </row>
    <row r="42" spans="1:17" x14ac:dyDescent="0.3">
      <c r="A42" s="34"/>
      <c r="B42" s="34"/>
      <c r="C42" s="66">
        <v>38</v>
      </c>
      <c r="D42" s="66" t="s">
        <v>126</v>
      </c>
      <c r="E42" s="78">
        <v>46251</v>
      </c>
      <c r="F42" s="66">
        <v>0.74399999999999999</v>
      </c>
      <c r="G42" s="66"/>
      <c r="H42" s="66"/>
      <c r="I42" s="34"/>
      <c r="J42" s="34"/>
      <c r="K42" s="34"/>
      <c r="L42" s="66">
        <v>88</v>
      </c>
      <c r="M42" s="66" t="s">
        <v>83</v>
      </c>
      <c r="N42" s="77">
        <v>46256</v>
      </c>
      <c r="O42" s="66">
        <v>0.751</v>
      </c>
      <c r="P42" s="66"/>
      <c r="Q42" s="66"/>
    </row>
    <row r="43" spans="1:17" x14ac:dyDescent="0.3">
      <c r="A43" s="34"/>
      <c r="B43" s="34"/>
      <c r="C43" s="66">
        <v>39</v>
      </c>
      <c r="D43" s="66" t="s">
        <v>127</v>
      </c>
      <c r="E43" s="78">
        <v>46251</v>
      </c>
      <c r="F43" s="66">
        <v>0.56299999999999994</v>
      </c>
      <c r="G43" s="66"/>
      <c r="H43" s="66"/>
      <c r="I43" s="34"/>
      <c r="J43" s="34"/>
      <c r="K43" s="34"/>
      <c r="L43" s="66">
        <v>89</v>
      </c>
      <c r="M43" s="66" t="s">
        <v>87</v>
      </c>
      <c r="N43" s="77">
        <v>46256</v>
      </c>
      <c r="O43" s="66">
        <v>0.60399999999999998</v>
      </c>
      <c r="P43" s="66"/>
      <c r="Q43" s="66"/>
    </row>
    <row r="44" spans="1:17" x14ac:dyDescent="0.3">
      <c r="A44" s="34"/>
      <c r="B44" s="34"/>
      <c r="C44" s="66">
        <v>40</v>
      </c>
      <c r="D44" s="66" t="s">
        <v>128</v>
      </c>
      <c r="E44" s="78">
        <v>46251</v>
      </c>
      <c r="F44" s="66">
        <v>0.438</v>
      </c>
      <c r="G44" s="66"/>
      <c r="H44" s="66"/>
      <c r="I44" s="34"/>
      <c r="J44" s="34"/>
      <c r="K44" s="34"/>
      <c r="L44" s="66">
        <v>90</v>
      </c>
      <c r="M44" s="66" t="s">
        <v>91</v>
      </c>
      <c r="N44" s="77">
        <v>46256</v>
      </c>
      <c r="O44" s="66">
        <v>4.7E-2</v>
      </c>
      <c r="P44" s="66"/>
      <c r="Q44" s="66"/>
    </row>
    <row r="45" spans="1:17" x14ac:dyDescent="0.3">
      <c r="A45" s="34"/>
      <c r="B45" s="34"/>
      <c r="C45" s="66">
        <v>41</v>
      </c>
      <c r="D45" s="66" t="s">
        <v>129</v>
      </c>
      <c r="E45" s="78">
        <v>46251</v>
      </c>
      <c r="F45" s="66">
        <v>0.45800000000000002</v>
      </c>
      <c r="G45" s="66"/>
      <c r="H45" s="66"/>
      <c r="I45" s="34"/>
      <c r="J45" s="34"/>
      <c r="K45" s="34"/>
      <c r="L45" s="66">
        <v>91</v>
      </c>
      <c r="M45" s="66" t="s">
        <v>95</v>
      </c>
      <c r="N45" s="77">
        <v>46256</v>
      </c>
      <c r="O45" s="66">
        <v>0.35699999999999998</v>
      </c>
      <c r="P45" s="66"/>
      <c r="Q45" s="66"/>
    </row>
    <row r="46" spans="1:17" x14ac:dyDescent="0.3">
      <c r="A46" s="34"/>
      <c r="B46" s="34"/>
      <c r="C46" s="66">
        <v>42</v>
      </c>
      <c r="D46" s="66" t="s">
        <v>97</v>
      </c>
      <c r="E46" s="78">
        <v>46252</v>
      </c>
      <c r="F46" s="66">
        <v>0.55800000000000005</v>
      </c>
      <c r="G46" s="66"/>
      <c r="H46" s="66"/>
      <c r="I46" s="34"/>
      <c r="J46" s="34"/>
      <c r="K46" s="34"/>
      <c r="L46" s="66">
        <v>92</v>
      </c>
      <c r="M46" s="66" t="s">
        <v>99</v>
      </c>
      <c r="N46" s="77">
        <v>46256</v>
      </c>
      <c r="O46" s="66">
        <v>0.40699999999999997</v>
      </c>
      <c r="P46" s="66"/>
      <c r="Q46" s="66"/>
    </row>
    <row r="47" spans="1:17" x14ac:dyDescent="0.3">
      <c r="A47" s="34"/>
      <c r="B47" s="34"/>
      <c r="C47" s="66">
        <v>43</v>
      </c>
      <c r="D47" s="66" t="s">
        <v>99</v>
      </c>
      <c r="E47" s="78">
        <v>46252</v>
      </c>
      <c r="F47" s="66">
        <v>0.501</v>
      </c>
      <c r="G47" s="66"/>
      <c r="H47" s="66"/>
      <c r="I47" s="34"/>
      <c r="J47" s="34"/>
      <c r="K47" s="34"/>
      <c r="L47" s="66">
        <v>93</v>
      </c>
      <c r="M47" s="66" t="s">
        <v>103</v>
      </c>
      <c r="N47" s="77">
        <v>46256</v>
      </c>
      <c r="O47" s="66">
        <v>0.318</v>
      </c>
      <c r="P47" s="66"/>
      <c r="Q47" s="66"/>
    </row>
    <row r="48" spans="1:17" x14ac:dyDescent="0.3">
      <c r="A48" s="34"/>
      <c r="B48" s="34"/>
      <c r="C48" s="66">
        <v>44</v>
      </c>
      <c r="D48" s="66" t="s">
        <v>101</v>
      </c>
      <c r="E48" s="78">
        <v>46252</v>
      </c>
      <c r="F48" s="66">
        <v>1.25</v>
      </c>
      <c r="G48" s="66"/>
      <c r="H48" s="66"/>
      <c r="I48" s="34"/>
      <c r="J48" s="34"/>
      <c r="K48" s="34"/>
      <c r="L48" s="66">
        <v>94</v>
      </c>
      <c r="M48" s="66" t="s">
        <v>107</v>
      </c>
      <c r="N48" s="77">
        <v>46258</v>
      </c>
      <c r="O48" s="66">
        <v>0.502</v>
      </c>
      <c r="P48" s="66"/>
      <c r="Q48" s="66"/>
    </row>
    <row r="49" spans="1:17" x14ac:dyDescent="0.3">
      <c r="A49" s="34"/>
      <c r="B49" s="34"/>
      <c r="C49" s="66">
        <v>45</v>
      </c>
      <c r="D49" s="66" t="s">
        <v>107</v>
      </c>
      <c r="E49" s="77">
        <v>46253</v>
      </c>
      <c r="F49" s="66">
        <v>0.35099999999999998</v>
      </c>
      <c r="G49" s="66"/>
      <c r="H49" s="66"/>
      <c r="I49" s="34"/>
      <c r="J49" s="34"/>
      <c r="K49" s="34"/>
      <c r="L49" s="66">
        <v>95</v>
      </c>
      <c r="M49" s="66" t="s">
        <v>109</v>
      </c>
      <c r="N49" s="77">
        <v>46258</v>
      </c>
      <c r="O49" s="66">
        <v>0.38800000000000001</v>
      </c>
      <c r="P49" s="66"/>
      <c r="Q49" s="66"/>
    </row>
    <row r="50" spans="1:17" x14ac:dyDescent="0.3">
      <c r="A50" s="34"/>
      <c r="B50" s="34"/>
      <c r="C50" s="66">
        <v>46</v>
      </c>
      <c r="D50" s="66" t="s">
        <v>130</v>
      </c>
      <c r="E50" s="77">
        <v>46253</v>
      </c>
      <c r="F50" s="66">
        <v>2.028</v>
      </c>
      <c r="G50" s="66"/>
      <c r="H50" s="66"/>
      <c r="I50" s="34"/>
      <c r="J50" s="34"/>
      <c r="K50" s="34"/>
      <c r="L50" s="66">
        <v>96</v>
      </c>
      <c r="M50" s="66" t="s">
        <v>111</v>
      </c>
      <c r="N50" s="77">
        <v>46258</v>
      </c>
      <c r="O50" s="66">
        <v>1.0409999999999999</v>
      </c>
      <c r="P50" s="66"/>
      <c r="Q50" s="66"/>
    </row>
    <row r="51" spans="1:17" x14ac:dyDescent="0.3">
      <c r="A51" s="34"/>
      <c r="B51" s="34"/>
      <c r="C51" s="66">
        <v>47</v>
      </c>
      <c r="D51" s="66" t="s">
        <v>109</v>
      </c>
      <c r="E51" s="77">
        <v>46253</v>
      </c>
      <c r="F51" s="66">
        <v>1.8380000000000001</v>
      </c>
      <c r="G51" s="66"/>
      <c r="H51" s="66"/>
      <c r="I51" s="34"/>
      <c r="J51" s="34"/>
      <c r="K51" s="34"/>
      <c r="L51" s="66">
        <v>97</v>
      </c>
      <c r="M51" s="66" t="s">
        <v>79</v>
      </c>
      <c r="N51" s="77">
        <v>46258</v>
      </c>
      <c r="O51" s="66">
        <v>1.47</v>
      </c>
      <c r="P51" s="66"/>
      <c r="Q51" s="66"/>
    </row>
    <row r="52" spans="1:17" x14ac:dyDescent="0.3">
      <c r="A52" s="34"/>
      <c r="B52" s="34"/>
      <c r="C52" s="66">
        <v>48</v>
      </c>
      <c r="D52" s="66" t="s">
        <v>131</v>
      </c>
      <c r="E52" s="77">
        <v>46253</v>
      </c>
      <c r="F52" s="66">
        <v>1.3220000000000001</v>
      </c>
      <c r="G52" s="66"/>
      <c r="H52" s="66"/>
      <c r="I52" s="34"/>
      <c r="J52" s="34"/>
      <c r="K52" s="34"/>
      <c r="L52" s="66">
        <v>98</v>
      </c>
      <c r="M52" s="66" t="s">
        <v>83</v>
      </c>
      <c r="N52" s="77">
        <v>46258</v>
      </c>
      <c r="O52" s="66">
        <v>3.8769999999999998</v>
      </c>
      <c r="P52" s="66"/>
      <c r="Q52" s="66"/>
    </row>
    <row r="53" spans="1:17" x14ac:dyDescent="0.3">
      <c r="A53" s="34"/>
      <c r="B53" s="34"/>
      <c r="C53" s="66">
        <v>49</v>
      </c>
      <c r="D53" s="66" t="s">
        <v>111</v>
      </c>
      <c r="E53" s="77">
        <v>46253</v>
      </c>
      <c r="F53" s="66">
        <v>0.65100000000000002</v>
      </c>
      <c r="G53" s="66"/>
      <c r="H53" s="66"/>
      <c r="I53" s="34"/>
      <c r="J53" s="34"/>
      <c r="K53" s="34"/>
      <c r="L53" s="66">
        <v>99</v>
      </c>
      <c r="M53" s="66" t="s">
        <v>87</v>
      </c>
      <c r="N53" s="77">
        <v>46258</v>
      </c>
      <c r="O53" s="66">
        <v>0.35099999999999998</v>
      </c>
      <c r="P53" s="66"/>
      <c r="Q53" s="66"/>
    </row>
    <row r="54" spans="1:17" x14ac:dyDescent="0.3">
      <c r="A54" s="34"/>
      <c r="B54" s="34"/>
      <c r="C54" s="66">
        <v>50</v>
      </c>
      <c r="D54" s="66" t="s">
        <v>132</v>
      </c>
      <c r="E54" s="77">
        <v>46253</v>
      </c>
      <c r="F54" s="66">
        <v>0.50600000000000001</v>
      </c>
      <c r="G54" s="66"/>
      <c r="H54" s="66"/>
      <c r="I54" s="34"/>
      <c r="J54" s="34"/>
      <c r="K54" s="34"/>
      <c r="L54" s="66">
        <v>100</v>
      </c>
      <c r="M54" s="66" t="s">
        <v>91</v>
      </c>
      <c r="N54" s="77">
        <v>46258</v>
      </c>
      <c r="O54" s="66">
        <v>0.32600000000000001</v>
      </c>
      <c r="P54" s="66"/>
      <c r="Q54" s="66"/>
    </row>
    <row r="55" spans="1:17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66">
        <v>101</v>
      </c>
      <c r="M55" s="66" t="s">
        <v>95</v>
      </c>
      <c r="N55" s="77">
        <v>46258</v>
      </c>
      <c r="O55" s="66">
        <v>0.24</v>
      </c>
      <c r="P55" s="66"/>
      <c r="Q55" s="66"/>
    </row>
    <row r="56" spans="1:17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6">
        <v>102</v>
      </c>
      <c r="M56" s="66" t="s">
        <v>99</v>
      </c>
      <c r="N56" s="77">
        <v>46258</v>
      </c>
      <c r="O56" s="66">
        <v>1.077</v>
      </c>
      <c r="P56" s="66"/>
      <c r="Q56" s="66"/>
    </row>
    <row r="57" spans="1:17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79">
        <v>103</v>
      </c>
      <c r="M57" s="79" t="s">
        <v>83</v>
      </c>
      <c r="N57" s="77">
        <v>46261</v>
      </c>
      <c r="O57" s="80">
        <v>0.253</v>
      </c>
      <c r="P57" s="50"/>
      <c r="Q57" s="50"/>
    </row>
    <row r="58" spans="1:17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79">
        <v>104</v>
      </c>
      <c r="M58" s="79" t="s">
        <v>87</v>
      </c>
      <c r="N58" s="77">
        <v>46261</v>
      </c>
      <c r="O58" s="80">
        <v>0.73199999999999998</v>
      </c>
      <c r="P58" s="50"/>
      <c r="Q58" s="50"/>
    </row>
    <row r="59" spans="1:17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79">
        <v>105</v>
      </c>
      <c r="M59" s="79" t="s">
        <v>91</v>
      </c>
      <c r="N59" s="77">
        <v>46261</v>
      </c>
      <c r="O59" s="80">
        <v>0.45400000000000001</v>
      </c>
      <c r="P59" s="50"/>
      <c r="Q59" s="50"/>
    </row>
    <row r="60" spans="1:17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79">
        <v>106</v>
      </c>
      <c r="M60" s="79" t="s">
        <v>95</v>
      </c>
      <c r="N60" s="77">
        <v>46261</v>
      </c>
      <c r="O60" s="80">
        <v>0.61599999999999999</v>
      </c>
      <c r="P60" s="50"/>
      <c r="Q60" s="50"/>
    </row>
    <row r="61" spans="1:17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79">
        <v>107</v>
      </c>
      <c r="M61" s="79" t="s">
        <v>99</v>
      </c>
      <c r="N61" s="77">
        <v>46261</v>
      </c>
      <c r="O61" s="80">
        <v>0.24199999999999999</v>
      </c>
      <c r="P61" s="50"/>
      <c r="Q61" s="50"/>
    </row>
    <row r="62" spans="1:17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79">
        <v>108</v>
      </c>
      <c r="M62" s="79" t="s">
        <v>103</v>
      </c>
      <c r="N62" s="77">
        <v>46261</v>
      </c>
      <c r="O62" s="80">
        <v>2.0979999999999999</v>
      </c>
      <c r="P62" s="50"/>
      <c r="Q62" s="50"/>
    </row>
    <row r="63" spans="1:17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79">
        <v>109</v>
      </c>
      <c r="M63" s="79" t="s">
        <v>117</v>
      </c>
      <c r="N63" s="77">
        <v>46261</v>
      </c>
      <c r="O63" s="80">
        <v>0.86299999999999999</v>
      </c>
      <c r="P63" s="50"/>
      <c r="Q63" s="50"/>
    </row>
  </sheetData>
  <mergeCells count="2">
    <mergeCell ref="C3:H3"/>
    <mergeCell ref="L3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8AE4B"/>
  </sheetPr>
  <dimension ref="A1:AP5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4" x14ac:dyDescent="0.3"/>
  <cols>
    <col min="1" max="1" width="30.88671875" customWidth="1"/>
    <col min="3" max="3" width="11.5546875" customWidth="1"/>
    <col min="4" max="4" width="17.88671875" customWidth="1"/>
    <col min="5" max="5" width="13.5546875" customWidth="1"/>
    <col min="6" max="6" width="16.21875" customWidth="1"/>
    <col min="7" max="7" width="14.44140625" customWidth="1"/>
    <col min="8" max="8" width="14.6640625" customWidth="1"/>
    <col min="9" max="9" width="18.5546875" customWidth="1"/>
    <col min="10" max="10" width="14" customWidth="1"/>
    <col min="11" max="11" width="18.5546875" customWidth="1"/>
    <col min="12" max="12" width="14.21875" customWidth="1"/>
    <col min="14" max="14" width="11.33203125" customWidth="1"/>
    <col min="15" max="15" width="18" customWidth="1"/>
    <col min="16" max="16" width="13.5546875" customWidth="1"/>
    <col min="17" max="17" width="16.21875" customWidth="1"/>
    <col min="18" max="18" width="14.6640625" customWidth="1"/>
    <col min="19" max="20" width="18.5546875" customWidth="1"/>
    <col min="21" max="21" width="18" customWidth="1"/>
    <col min="22" max="22" width="15.109375" customWidth="1"/>
    <col min="24" max="24" width="17.109375" customWidth="1"/>
    <col min="25" max="25" width="13.33203125" customWidth="1"/>
    <col min="26" max="26" width="16.109375" customWidth="1"/>
    <col min="27" max="27" width="18.44140625" customWidth="1"/>
    <col min="28" max="28" width="17.109375" customWidth="1"/>
    <col min="29" max="29" width="11.44140625" customWidth="1"/>
  </cols>
  <sheetData>
    <row r="1" spans="1:42" ht="24" customHeight="1" x14ac:dyDescent="0.3">
      <c r="A1" s="34"/>
      <c r="B1" s="538" t="s">
        <v>133</v>
      </c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396">
        <f>125+150</f>
        <v>275</v>
      </c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396"/>
      <c r="AK1" s="396"/>
      <c r="AL1" s="396"/>
      <c r="AM1" s="396"/>
      <c r="AN1" s="396"/>
      <c r="AO1" s="396"/>
      <c r="AP1" s="396"/>
    </row>
    <row r="2" spans="1:42" ht="18" customHeight="1" x14ac:dyDescent="0.3">
      <c r="A2" s="34"/>
      <c r="B2" s="534" t="s">
        <v>134</v>
      </c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</row>
    <row r="3" spans="1:42" ht="18" customHeight="1" x14ac:dyDescent="0.3">
      <c r="A3" s="34"/>
      <c r="B3" s="534" t="s">
        <v>135</v>
      </c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</row>
    <row r="4" spans="1:42" x14ac:dyDescent="0.3">
      <c r="A4" s="34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</row>
    <row r="5" spans="1:42" ht="22.05" customHeight="1" x14ac:dyDescent="0.3">
      <c r="A5" s="370" t="s">
        <v>136</v>
      </c>
      <c r="B5" s="532"/>
      <c r="C5" s="532"/>
      <c r="D5" s="532" t="s">
        <v>137</v>
      </c>
      <c r="E5" s="532"/>
      <c r="F5" s="532"/>
      <c r="G5" s="532" t="s">
        <v>138</v>
      </c>
      <c r="H5" s="532"/>
      <c r="I5" s="532"/>
      <c r="J5" s="532" t="s">
        <v>139</v>
      </c>
      <c r="K5" s="532"/>
      <c r="L5" s="370" t="s">
        <v>140</v>
      </c>
      <c r="M5" s="370"/>
      <c r="N5" s="370"/>
      <c r="O5" s="370"/>
      <c r="P5" s="370"/>
      <c r="Q5" s="370"/>
      <c r="R5" s="370"/>
      <c r="S5" s="370"/>
      <c r="T5" s="370"/>
      <c r="U5" s="370" t="s">
        <v>141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</row>
    <row r="6" spans="1:42" ht="24" customHeight="1" x14ac:dyDescent="0.3">
      <c r="A6" s="371" t="s">
        <v>74</v>
      </c>
      <c r="B6" s="371" t="s">
        <v>142</v>
      </c>
      <c r="C6" s="371" t="s">
        <v>143</v>
      </c>
      <c r="D6" s="371" t="s">
        <v>144</v>
      </c>
      <c r="E6" s="371" t="s">
        <v>145</v>
      </c>
      <c r="F6" s="371" t="s">
        <v>146</v>
      </c>
      <c r="G6" s="371" t="s">
        <v>144</v>
      </c>
      <c r="H6" s="371" t="s">
        <v>147</v>
      </c>
      <c r="I6" s="371" t="s">
        <v>148</v>
      </c>
      <c r="J6" s="371" t="s">
        <v>145</v>
      </c>
      <c r="K6" s="371" t="s">
        <v>149</v>
      </c>
      <c r="L6" s="371" t="s">
        <v>150</v>
      </c>
      <c r="M6" s="371"/>
      <c r="N6" s="371" t="s">
        <v>74</v>
      </c>
      <c r="O6" s="371" t="s">
        <v>151</v>
      </c>
      <c r="P6" s="371" t="s">
        <v>145</v>
      </c>
      <c r="Q6" s="371" t="s">
        <v>146</v>
      </c>
      <c r="R6" s="371" t="s">
        <v>147</v>
      </c>
      <c r="S6" s="371" t="s">
        <v>148</v>
      </c>
      <c r="T6" s="371" t="s">
        <v>149</v>
      </c>
      <c r="U6" s="371" t="s">
        <v>151</v>
      </c>
      <c r="V6" s="85" t="s">
        <v>152</v>
      </c>
      <c r="W6" s="34"/>
      <c r="X6" s="539" t="s">
        <v>153</v>
      </c>
      <c r="Y6" s="539"/>
      <c r="Z6" s="539"/>
      <c r="AA6" s="539"/>
      <c r="AB6" s="539"/>
      <c r="AC6" s="539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</row>
    <row r="7" spans="1:42" ht="22.05" customHeight="1" x14ac:dyDescent="0.3">
      <c r="A7" s="81">
        <v>46262</v>
      </c>
      <c r="B7" s="82" t="s">
        <v>154</v>
      </c>
      <c r="C7" s="82" t="s">
        <v>155</v>
      </c>
      <c r="D7" s="86"/>
      <c r="E7" s="86"/>
      <c r="F7" s="80"/>
      <c r="G7" s="80"/>
      <c r="H7" s="80"/>
      <c r="I7" s="80"/>
      <c r="J7" s="80"/>
      <c r="K7" s="80"/>
      <c r="L7" s="80"/>
      <c r="M7" s="34"/>
      <c r="N7" s="87">
        <v>46262</v>
      </c>
      <c r="O7" s="50">
        <f>SUMIF(A$7:A$40,N7,D$7:D$40)+SUMIF(A$7:A$40,N7,G$7:G$40)</f>
        <v>0</v>
      </c>
      <c r="P7" s="50">
        <f>SUMIF(A$7:A$40,N7,E$7:E$40)+SUMIF(A$7:A$40,N7,J$7:J$40)</f>
        <v>0</v>
      </c>
      <c r="Q7" s="50">
        <f>SUMIF(A$7:A$40,N7,F$7:F$40)</f>
        <v>0</v>
      </c>
      <c r="R7" s="50">
        <f>SUMIF(A$7:A$53,N7,H$7:H$54)</f>
        <v>0</v>
      </c>
      <c r="S7" s="50">
        <f>SUMIF(A$7:A$53,N7,I$7:I$53)</f>
        <v>0</v>
      </c>
      <c r="T7" s="50">
        <f>SUMIF(A$7:A$40,N7,K$7:K$40)</f>
        <v>0</v>
      </c>
      <c r="U7" s="50">
        <f>SUMIF(A$7:A$54,N7,G$7:G$54)</f>
        <v>0</v>
      </c>
      <c r="V7" s="50">
        <f>SUMIF(A$7:A$54,N7,I$7:I$54)</f>
        <v>0</v>
      </c>
      <c r="W7" s="34"/>
      <c r="X7" s="392" t="s">
        <v>156</v>
      </c>
      <c r="Y7" s="392" t="s">
        <v>157</v>
      </c>
      <c r="Z7" s="392" t="s">
        <v>158</v>
      </c>
      <c r="AA7" s="392" t="s">
        <v>159</v>
      </c>
      <c r="AB7" s="392" t="s">
        <v>160</v>
      </c>
      <c r="AC7" s="392" t="s">
        <v>161</v>
      </c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</row>
    <row r="8" spans="1:42" x14ac:dyDescent="0.3">
      <c r="A8" s="81">
        <v>46263</v>
      </c>
      <c r="B8" s="83"/>
      <c r="C8" s="83"/>
      <c r="D8" s="86"/>
      <c r="E8" s="86"/>
      <c r="F8" s="80"/>
      <c r="G8" s="80"/>
      <c r="H8" s="80"/>
      <c r="I8" s="80"/>
      <c r="J8" s="80"/>
      <c r="K8" s="80"/>
      <c r="L8" s="80"/>
      <c r="M8" s="34"/>
      <c r="N8" s="87">
        <v>46263</v>
      </c>
      <c r="O8" s="50">
        <f>SUMIF(A$7:A$40,N8,D$7:D$40)+SUMIF(A$7:A$40,N8,G$7:G$40)</f>
        <v>0</v>
      </c>
      <c r="P8" s="50">
        <f>SUMIF(A$7:A$40,N8,E$7:E$40)+SUMIF(A$7:A$40,N8,J$7:J$40)</f>
        <v>0</v>
      </c>
      <c r="Q8" s="50">
        <f>SUMIF(A$7:A$40,N8,F$7:F$40)</f>
        <v>0</v>
      </c>
      <c r="R8" s="50">
        <f>SUMIF(A$7:A$53,N8,H$7:H$54)</f>
        <v>0</v>
      </c>
      <c r="S8" s="50">
        <f>SUMIF(A$7:A$53,N8,I$7:I$53)</f>
        <v>0</v>
      </c>
      <c r="T8" s="50">
        <f>SUMIF(A$7:A$40,N8,K$7:K$40)</f>
        <v>0</v>
      </c>
      <c r="U8" s="50">
        <f>SUMIF(A$7:A$54,N8,G$7:G$54)</f>
        <v>0</v>
      </c>
      <c r="V8" s="50">
        <f>SUMIF(A$7:A$54,N8,I$7:I$54)</f>
        <v>0</v>
      </c>
      <c r="W8" s="34"/>
      <c r="X8" s="66">
        <f>O54+U54</f>
        <v>1125</v>
      </c>
      <c r="Y8" s="66">
        <f t="shared" ref="Y8:Z8" si="0">P54</f>
        <v>2250</v>
      </c>
      <c r="Z8" s="66">
        <f t="shared" si="0"/>
        <v>2000</v>
      </c>
      <c r="AA8" s="66">
        <f>T54</f>
        <v>50</v>
      </c>
      <c r="AB8" s="64">
        <f>R54</f>
        <v>0</v>
      </c>
      <c r="AC8" s="50">
        <f>V54</f>
        <v>0</v>
      </c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</row>
    <row r="9" spans="1:42" x14ac:dyDescent="0.3">
      <c r="A9" s="81">
        <v>46264</v>
      </c>
      <c r="B9" s="83"/>
      <c r="C9" s="83"/>
      <c r="D9" s="86"/>
      <c r="E9" s="86"/>
      <c r="F9" s="80"/>
      <c r="G9" s="80"/>
      <c r="H9" s="80"/>
      <c r="I9" s="80"/>
      <c r="J9" s="80"/>
      <c r="K9" s="80"/>
      <c r="L9" s="80"/>
      <c r="M9" s="34"/>
      <c r="N9" s="87">
        <v>46264</v>
      </c>
      <c r="O9" s="50">
        <f>SUMIF(A$7:A$40,N9,D$7:D$40)+SUMIF(A$7:A$40,N9,G$7:G$40)</f>
        <v>0</v>
      </c>
      <c r="P9" s="50">
        <f>SUMIF(A$7:A$40,N9,E$7:E$40)+SUMIF(A$7:A$40,N9,J$7:J$40)</f>
        <v>0</v>
      </c>
      <c r="Q9" s="50">
        <f>SUMIF(A$7:A$40,N9,F$7:F$40)</f>
        <v>0</v>
      </c>
      <c r="R9" s="50">
        <f>SUMIF(A$7:A$53,N9,H$7:H$54)</f>
        <v>0</v>
      </c>
      <c r="S9" s="50">
        <f>SUMIF(A$7:A$53,N9,I$7:I$53)</f>
        <v>0</v>
      </c>
      <c r="T9" s="50">
        <f>SUMIF(A$7:A$40,N9,K$7:K$40)</f>
        <v>0</v>
      </c>
      <c r="U9" s="50">
        <f>SUMIF(A$7:A$54,N9,G$7:G$54)</f>
        <v>0</v>
      </c>
      <c r="V9" s="50">
        <f>SUMIF(A$7:A$54,N9,I$7:I$54)</f>
        <v>0</v>
      </c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>
        <f>30/1.16</f>
        <v>25.862068965517242</v>
      </c>
    </row>
    <row r="10" spans="1:42" ht="22.05" customHeight="1" x14ac:dyDescent="0.3">
      <c r="A10" s="81">
        <v>46265</v>
      </c>
      <c r="B10" s="83" t="s">
        <v>154</v>
      </c>
      <c r="C10" s="83" t="s">
        <v>155</v>
      </c>
      <c r="D10" s="86">
        <v>150</v>
      </c>
      <c r="E10" s="86">
        <v>250</v>
      </c>
      <c r="F10" s="80"/>
      <c r="G10" s="80"/>
      <c r="H10" s="80"/>
      <c r="I10" s="80"/>
      <c r="J10" s="80"/>
      <c r="K10" s="80"/>
      <c r="L10" s="80"/>
      <c r="M10" s="34"/>
      <c r="N10" s="87">
        <v>46265</v>
      </c>
      <c r="O10" s="50">
        <f>SUMIF(A$7:A$40,N10,D$7:D$40)+SUMIF(A$7:A$40,N10,G$7:G$40)</f>
        <v>150</v>
      </c>
      <c r="P10" s="50">
        <f>SUMIF(A$7:A$40,N10,E$7:E$40)+SUMIF(A$7:A$40,N10,J$7:J$40)</f>
        <v>250</v>
      </c>
      <c r="Q10" s="50">
        <f>SUMIF(A$7:A$40,N10,F$7:F$40)</f>
        <v>0</v>
      </c>
      <c r="R10" s="50">
        <f>SUMIF(A$7:A$53,N10,H$7:H$54)</f>
        <v>0</v>
      </c>
      <c r="S10" s="50">
        <f>SUMIF(A$7:A$53,N10,I$7:I$53)</f>
        <v>0</v>
      </c>
      <c r="T10" s="50">
        <f>SUMIF(A$7:A$40,N10,K$7:K$40)</f>
        <v>0</v>
      </c>
      <c r="U10" s="50">
        <f>SUMIF(A$7:A$54,N10,G$7:G$54)</f>
        <v>0</v>
      </c>
      <c r="V10" s="50">
        <f>SUMIF(A$7:A$54,N10,I$7:I$54)</f>
        <v>0</v>
      </c>
      <c r="W10" s="34"/>
      <c r="X10" s="532" t="s">
        <v>162</v>
      </c>
      <c r="Y10" s="532"/>
      <c r="Z10" s="532"/>
      <c r="AA10" s="532"/>
      <c r="AB10" s="532"/>
      <c r="AC10" s="370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</row>
    <row r="11" spans="1:42" x14ac:dyDescent="0.3">
      <c r="A11" s="81">
        <v>46266</v>
      </c>
      <c r="B11" s="83" t="s">
        <v>154</v>
      </c>
      <c r="C11" s="83" t="s">
        <v>163</v>
      </c>
      <c r="D11" s="86">
        <v>100</v>
      </c>
      <c r="E11" s="86">
        <v>1250</v>
      </c>
      <c r="F11" s="80">
        <v>1000</v>
      </c>
      <c r="G11" s="80"/>
      <c r="H11" s="80"/>
      <c r="I11" s="80"/>
      <c r="J11" s="80"/>
      <c r="K11" s="80">
        <v>25</v>
      </c>
      <c r="L11" s="80"/>
      <c r="M11" s="34"/>
      <c r="N11" s="87">
        <v>46266</v>
      </c>
      <c r="O11" s="50">
        <f>SUMIF(A$7:A$40,N11,D$7:D$40)+SUMIF(A$7:A$40,N11,G$7:G$40)</f>
        <v>225</v>
      </c>
      <c r="P11" s="50">
        <f>SUMIF(A$7:A$40,N11,E$7:E$40)+SUMIF(A$7:A$40,N11,J$7:J$40)</f>
        <v>1250</v>
      </c>
      <c r="Q11" s="50">
        <f>SUMIF(A$7:A$40,N11,F$7:F$40)</f>
        <v>1000</v>
      </c>
      <c r="R11" s="50">
        <f>SUMIF(A$7:A$53,N11,H$7:H$54)</f>
        <v>0</v>
      </c>
      <c r="S11" s="50">
        <f>SUMIF(A$7:A$53,N11,I$7:I$53)</f>
        <v>0</v>
      </c>
      <c r="T11" s="50">
        <f>SUMIF(A$7:A$40,N11,K$7:K$40)</f>
        <v>25</v>
      </c>
      <c r="U11" s="50">
        <f>SUMIF(A$7:A$54,N11,G$7:G$54)</f>
        <v>0</v>
      </c>
      <c r="V11" s="50">
        <f>SUMIF(A$7:A$54,N11,I$7:I$54)</f>
        <v>0</v>
      </c>
      <c r="W11" s="34"/>
      <c r="X11" s="90">
        <f>X8/'Au Cal Leaching Tank'!K61</f>
        <v>1.1551941765891429</v>
      </c>
      <c r="Y11" s="90">
        <f>P54/'Au Cal Leaching Tank'!K61</f>
        <v>2.3103883531782858</v>
      </c>
      <c r="Z11" s="90">
        <f>Z8/'Au Cal Leaching Tank'!K61</f>
        <v>2.053678536158476</v>
      </c>
      <c r="AA11" s="90">
        <f>AA8/'Au Cal Leaching Tank'!K61</f>
        <v>5.1341963403961903E-2</v>
      </c>
      <c r="AB11" s="90">
        <f>AB8/'Au Cal Leaching Tank'!K61</f>
        <v>0</v>
      </c>
      <c r="AC11" s="90">
        <f>(AC8*25)/'Au Cal Leaching Tank'!K61</f>
        <v>0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</row>
    <row r="12" spans="1:42" x14ac:dyDescent="0.3">
      <c r="A12" s="81">
        <v>46266</v>
      </c>
      <c r="B12" s="83" t="s">
        <v>164</v>
      </c>
      <c r="C12" s="83" t="s">
        <v>165</v>
      </c>
      <c r="D12" s="86">
        <v>125</v>
      </c>
      <c r="E12" s="86"/>
      <c r="F12" s="80"/>
      <c r="G12" s="80"/>
      <c r="H12" s="80"/>
      <c r="I12" s="80"/>
      <c r="J12" s="80"/>
      <c r="K12" s="80"/>
      <c r="L12" s="80"/>
      <c r="M12" s="34"/>
      <c r="N12" s="87"/>
      <c r="O12" s="50"/>
      <c r="P12" s="50"/>
      <c r="Q12" s="50"/>
      <c r="R12" s="50"/>
      <c r="S12" s="50"/>
      <c r="T12" s="50"/>
      <c r="U12" s="50"/>
      <c r="V12" s="50"/>
      <c r="W12" s="34"/>
      <c r="X12" s="90"/>
      <c r="Y12" s="90"/>
      <c r="Z12" s="90"/>
      <c r="AA12" s="90"/>
      <c r="AB12" s="90"/>
      <c r="AC12" s="90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</row>
    <row r="13" spans="1:42" ht="24" customHeight="1" x14ac:dyDescent="0.3">
      <c r="A13" s="81">
        <v>46267</v>
      </c>
      <c r="B13" s="83" t="s">
        <v>154</v>
      </c>
      <c r="C13" s="83" t="s">
        <v>163</v>
      </c>
      <c r="D13" s="86">
        <v>150</v>
      </c>
      <c r="E13" s="86"/>
      <c r="F13" s="80"/>
      <c r="G13" s="80"/>
      <c r="H13" s="80"/>
      <c r="I13" s="80"/>
      <c r="J13" s="86"/>
      <c r="K13" s="80">
        <v>25</v>
      </c>
      <c r="L13" s="80"/>
      <c r="M13" s="34"/>
      <c r="N13" s="87">
        <v>46267</v>
      </c>
      <c r="O13" s="50">
        <v>275</v>
      </c>
      <c r="P13" s="50">
        <f>SUMIF(A$7:A$40,N13,E$7:E$40)+SUMIF(A$7:A$40,N13,J$7:J$40)</f>
        <v>0</v>
      </c>
      <c r="Q13" s="50">
        <f>SUMIF(A$7:A$40,N13,F$7:F$40)</f>
        <v>1000</v>
      </c>
      <c r="R13" s="50">
        <f>SUMIF(A$7:A$53,N13,H$7:H$54)</f>
        <v>0</v>
      </c>
      <c r="S13" s="50">
        <f>SUMIF(A$7:A$53,N13,I$7:I$53)</f>
        <v>0</v>
      </c>
      <c r="T13" s="50">
        <f>SUMIF(A$7:A$40,N13,K$7:K$40)</f>
        <v>25</v>
      </c>
      <c r="U13" s="50">
        <f>SUMIF(A$7:A$54,N13,G$7:G$54)</f>
        <v>0</v>
      </c>
      <c r="V13" s="50">
        <f>SUMIF(A$7:A$54,N13,I$7:I$54)</f>
        <v>0</v>
      </c>
      <c r="W13" s="34"/>
      <c r="X13" s="371" t="s">
        <v>166</v>
      </c>
      <c r="Y13" s="371" t="s">
        <v>167</v>
      </c>
      <c r="Z13" s="371" t="s">
        <v>168</v>
      </c>
      <c r="AA13" s="371" t="s">
        <v>169</v>
      </c>
      <c r="AB13" s="371" t="s">
        <v>170</v>
      </c>
      <c r="AC13" s="371" t="s">
        <v>171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</row>
    <row r="14" spans="1:42" x14ac:dyDescent="0.3">
      <c r="A14" s="81">
        <v>46267</v>
      </c>
      <c r="B14" s="83" t="s">
        <v>164</v>
      </c>
      <c r="C14" s="83" t="s">
        <v>165</v>
      </c>
      <c r="D14" s="86">
        <v>125</v>
      </c>
      <c r="E14" s="86"/>
      <c r="F14" s="80">
        <v>1000</v>
      </c>
      <c r="G14" s="80"/>
      <c r="H14" s="80"/>
      <c r="I14" s="80"/>
      <c r="J14" s="86"/>
      <c r="K14" s="80"/>
      <c r="L14" s="80"/>
      <c r="M14" s="34"/>
      <c r="N14" s="87"/>
      <c r="O14" s="50"/>
      <c r="P14" s="50"/>
      <c r="Q14" s="50"/>
      <c r="R14" s="50"/>
      <c r="S14" s="50"/>
      <c r="T14" s="50"/>
      <c r="U14" s="50"/>
      <c r="V14" s="50"/>
      <c r="W14" s="34"/>
      <c r="X14" s="91"/>
      <c r="Y14" s="91"/>
      <c r="Z14" s="91"/>
      <c r="AA14" s="91"/>
      <c r="AB14" s="91"/>
      <c r="AC14" s="91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</row>
    <row r="15" spans="1:42" x14ac:dyDescent="0.3">
      <c r="A15" s="81">
        <v>46268</v>
      </c>
      <c r="B15" s="83" t="s">
        <v>154</v>
      </c>
      <c r="C15" s="83" t="s">
        <v>163</v>
      </c>
      <c r="D15" s="86">
        <v>100</v>
      </c>
      <c r="E15" s="86"/>
      <c r="F15" s="80"/>
      <c r="G15" s="80"/>
      <c r="H15" s="80"/>
      <c r="I15" s="80"/>
      <c r="J15" s="86"/>
      <c r="K15" s="80"/>
      <c r="L15" s="80"/>
      <c r="M15" s="34"/>
      <c r="N15" s="87">
        <v>46268</v>
      </c>
      <c r="O15" s="50">
        <f>SUMIF(A$7:A$40,N15,D$7:D$40)+SUMIF(A$7:A$40,N15,G$7:G$40)</f>
        <v>100</v>
      </c>
      <c r="P15" s="50">
        <f>SUMIF(A$7:A$40,N15,E$7:E$40)+SUMIF(A$7:A$40,N15,J$7:J$40)</f>
        <v>0</v>
      </c>
      <c r="Q15" s="50">
        <f>SUMIF(A$7:A$40,N15,F$7:F$40)</f>
        <v>0</v>
      </c>
      <c r="R15" s="50">
        <f>SUMIF(A$7:A$53,N15,H$7:H$54)</f>
        <v>0</v>
      </c>
      <c r="S15" s="50">
        <f>SUMIF(A$7:A$53,N15,I$7:I$53)</f>
        <v>0</v>
      </c>
      <c r="T15" s="50">
        <f>SUMIF(A$7:A$40,N15,K$7:K$40)</f>
        <v>0</v>
      </c>
      <c r="U15" s="50">
        <f>SUMIF(A$7:A$54,N15,G$7:G$54)</f>
        <v>0</v>
      </c>
      <c r="V15" s="50">
        <f>SUMIF(A$7:A$54,N15,I$7:I$54)</f>
        <v>0</v>
      </c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</row>
    <row r="16" spans="1:42" x14ac:dyDescent="0.3">
      <c r="A16" s="81">
        <v>46269</v>
      </c>
      <c r="B16" s="83"/>
      <c r="C16" s="83"/>
      <c r="D16" s="86"/>
      <c r="E16" s="86"/>
      <c r="F16" s="80"/>
      <c r="G16" s="80"/>
      <c r="H16" s="80"/>
      <c r="I16" s="80"/>
      <c r="J16" s="86"/>
      <c r="K16" s="80"/>
      <c r="L16" s="80"/>
      <c r="M16" s="34"/>
      <c r="N16" s="87">
        <v>46269</v>
      </c>
      <c r="O16" s="50">
        <f>SUMIF(A$7:A$40,N16,D$7:D$40)+SUMIF(A$7:A$40,N16,G$7:G$40)</f>
        <v>0</v>
      </c>
      <c r="P16" s="50">
        <f>SUMIF(A$7:A$40,N16,E$7:E$40)+SUMIF(A$7:A$40,N16,J$7:J$40)</f>
        <v>0</v>
      </c>
      <c r="Q16" s="50">
        <f>SUMIF(A$7:A$40,N16,F$7:F$40)</f>
        <v>0</v>
      </c>
      <c r="R16" s="50">
        <f>SUMIF(A$7:A$53,N16,H$7:H$54)</f>
        <v>0</v>
      </c>
      <c r="S16" s="50">
        <f>SUMIF(A$7:A$53,N16,I$7:I$53)</f>
        <v>0</v>
      </c>
      <c r="T16" s="50">
        <f>SUMIF(A$7:A$40,N16,K$7:K$40)</f>
        <v>0</v>
      </c>
      <c r="U16" s="50">
        <f>SUMIF(A$7:A$54,N16,G$7:G$54)</f>
        <v>0</v>
      </c>
      <c r="V16" s="50">
        <f>SUMIF(A$7:A$54,N16,I$7:I$54)</f>
        <v>0</v>
      </c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</row>
    <row r="17" spans="1:42" x14ac:dyDescent="0.3">
      <c r="A17" s="81">
        <v>46270</v>
      </c>
      <c r="B17" s="83" t="s">
        <v>164</v>
      </c>
      <c r="C17" s="83" t="s">
        <v>165</v>
      </c>
      <c r="D17" s="86">
        <v>50</v>
      </c>
      <c r="E17" s="86"/>
      <c r="F17" s="80"/>
      <c r="G17" s="80"/>
      <c r="H17" s="80"/>
      <c r="I17" s="80"/>
      <c r="J17" s="86"/>
      <c r="K17" s="80"/>
      <c r="L17" s="80"/>
      <c r="M17" s="34"/>
      <c r="N17" s="87">
        <v>46270</v>
      </c>
      <c r="O17" s="50">
        <f>SUMIF(A$7:A$40,N17,D$7:D$40)+SUMIF(A$7:A$40,N17,G$7:G$40)</f>
        <v>50</v>
      </c>
      <c r="P17" s="50">
        <f>SUMIF(A$7:A$40,N17,E$7:E$40)+SUMIF(A$7:A$40,N17,J$7:J$40)</f>
        <v>0</v>
      </c>
      <c r="Q17" s="50">
        <f>SUMIF(A$7:A$40,N17,F$7:F$40)</f>
        <v>0</v>
      </c>
      <c r="R17" s="50">
        <f>SUMIF(A$7:A$53,N17,H$7:H$54)</f>
        <v>0</v>
      </c>
      <c r="S17" s="50">
        <f>SUMIF(A$7:A$53,N17,I$7:I$53)</f>
        <v>0</v>
      </c>
      <c r="T17" s="50">
        <f>SUMIF(A$7:A$40,N17,K$7:K$40)</f>
        <v>0</v>
      </c>
      <c r="U17" s="50">
        <f>SUMIF(A$7:A$54,N17,G$7:G$54)</f>
        <v>0</v>
      </c>
      <c r="V17" s="50">
        <f>SUMIF(A$7:A$54,N17,I$7:I$54)</f>
        <v>0</v>
      </c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</row>
    <row r="18" spans="1:42" x14ac:dyDescent="0.3">
      <c r="A18" s="81">
        <v>46271</v>
      </c>
      <c r="B18" s="83" t="s">
        <v>154</v>
      </c>
      <c r="C18" s="83" t="s">
        <v>163</v>
      </c>
      <c r="D18" s="86">
        <v>175</v>
      </c>
      <c r="E18" s="86">
        <v>500</v>
      </c>
      <c r="F18" s="80"/>
      <c r="G18" s="80"/>
      <c r="H18" s="80"/>
      <c r="I18" s="80"/>
      <c r="J18" s="80"/>
      <c r="K18" s="80"/>
      <c r="L18" s="80"/>
      <c r="M18" s="34"/>
      <c r="N18" s="87">
        <v>46271</v>
      </c>
      <c r="O18" s="50">
        <f>SUMIF(A$7:A$40,N18,D$7:D$40)+SUMIF(A$7:A$40,N18,G$7:G$40)</f>
        <v>175</v>
      </c>
      <c r="P18" s="50">
        <f>SUMIF(A$7:A$40,N18,E$7:E$40)+SUMIF(A$7:A$40,N18,J$7:J$40)</f>
        <v>500</v>
      </c>
      <c r="Q18" s="50">
        <f>SUMIF(A$7:A$40,N18,F$7:F$40)</f>
        <v>0</v>
      </c>
      <c r="R18" s="50">
        <f>SUMIF(A$7:A$53,N18,H$7:H$54)</f>
        <v>0</v>
      </c>
      <c r="S18" s="50">
        <f>SUMIF(A$7:A$53,N18,I$7:I$53)</f>
        <v>0</v>
      </c>
      <c r="T18" s="50">
        <f>SUMIF(A$7:A$40,N18,K$7:K$40)</f>
        <v>0</v>
      </c>
      <c r="U18" s="50">
        <f>SUMIF(A$7:A$54,N18,G$7:G$54)</f>
        <v>0</v>
      </c>
      <c r="V18" s="50">
        <f>SUMIF(A$7:A$54,N18,I$7:I$54)</f>
        <v>0</v>
      </c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</row>
    <row r="19" spans="1:42" x14ac:dyDescent="0.3">
      <c r="A19" s="81">
        <v>46272</v>
      </c>
      <c r="B19" s="83" t="s">
        <v>154</v>
      </c>
      <c r="C19" s="83" t="s">
        <v>172</v>
      </c>
      <c r="D19" s="86">
        <v>150</v>
      </c>
      <c r="E19" s="86">
        <v>250</v>
      </c>
      <c r="F19" s="80"/>
      <c r="G19" s="80"/>
      <c r="H19" s="80"/>
      <c r="I19" s="80"/>
      <c r="J19" s="80"/>
      <c r="K19" s="80"/>
      <c r="L19" s="80"/>
      <c r="M19" s="34"/>
      <c r="N19" s="87">
        <v>46272</v>
      </c>
      <c r="O19" s="50">
        <f>SUMIF(A$7:A$40,N19,D$7:D$40)+SUMIF(A$7:A$40,N19,G$7:G$40)</f>
        <v>150</v>
      </c>
      <c r="P19" s="50">
        <f>SUMIF(A$7:A$40,N19,E$7:E$40)+SUMIF(A$7:A$40,N19,J$7:J$40)</f>
        <v>250</v>
      </c>
      <c r="Q19" s="50">
        <f>SUMIF(A$7:A$40,N19,F$7:F$40)</f>
        <v>0</v>
      </c>
      <c r="R19" s="50">
        <f>SUMIF(A$7:A$53,N19,H$7:H$54)</f>
        <v>0</v>
      </c>
      <c r="S19" s="50">
        <f>SUMIF(A$7:A$53,N19,I$7:I$53)</f>
        <v>0</v>
      </c>
      <c r="T19" s="50">
        <f>SUMIF(A$7:A$40,N19,K$7:K$40)</f>
        <v>0</v>
      </c>
      <c r="U19" s="50">
        <f>SUMIF(A$7:A$54,N19,G$7:G$54)</f>
        <v>0</v>
      </c>
      <c r="V19" s="50">
        <f>SUMIF(A$7:A$54,N19,I$7:I$54)</f>
        <v>0</v>
      </c>
      <c r="W19" s="34"/>
      <c r="X19" s="34" t="s">
        <v>173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</row>
    <row r="20" spans="1:42" x14ac:dyDescent="0.3">
      <c r="A20" s="81">
        <v>46272</v>
      </c>
      <c r="B20" s="83" t="s">
        <v>164</v>
      </c>
      <c r="C20" s="83"/>
      <c r="D20" s="86"/>
      <c r="E20" s="86"/>
      <c r="F20" s="80"/>
      <c r="G20" s="80"/>
      <c r="H20" s="80"/>
      <c r="I20" s="80"/>
      <c r="J20" s="80"/>
      <c r="K20" s="80"/>
      <c r="L20" s="80"/>
      <c r="M20" s="34"/>
      <c r="N20" s="87"/>
      <c r="O20" s="50"/>
      <c r="P20" s="50"/>
      <c r="Q20" s="50"/>
      <c r="R20" s="50"/>
      <c r="S20" s="50"/>
      <c r="T20" s="50"/>
      <c r="U20" s="50"/>
      <c r="V20" s="50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</row>
    <row r="21" spans="1:42" ht="22.05" customHeight="1" x14ac:dyDescent="0.3">
      <c r="A21" s="81">
        <v>46273</v>
      </c>
      <c r="B21" s="83"/>
      <c r="C21" s="83"/>
      <c r="D21" s="86"/>
      <c r="E21" s="86"/>
      <c r="F21" s="80"/>
      <c r="G21" s="80"/>
      <c r="H21" s="80"/>
      <c r="I21" s="80"/>
      <c r="J21" s="80"/>
      <c r="K21" s="80"/>
      <c r="L21" s="80"/>
      <c r="M21" s="34"/>
      <c r="N21" s="87">
        <v>46273</v>
      </c>
      <c r="O21" s="50">
        <f t="shared" ref="O21:O36" si="1">SUMIF(A$7:A$40,N21,D$7:D$40)+SUMIF(A$7:A$40,N21,G$7:G$40)</f>
        <v>0</v>
      </c>
      <c r="P21" s="50">
        <f t="shared" ref="P21:P53" si="2">SUMIF(A$7:A$40,N21,E$7:E$40)+SUMIF(A$7:A$40,N21,J$7:J$40)</f>
        <v>0</v>
      </c>
      <c r="Q21" s="50">
        <f t="shared" ref="Q21:Q53" si="3">SUMIF(A$7:A$40,N21,F$7:F$40)</f>
        <v>0</v>
      </c>
      <c r="R21" s="50">
        <f t="shared" ref="R21:R53" si="4">SUMIF(A$7:A$53,N21,H$7:H$54)</f>
        <v>0</v>
      </c>
      <c r="S21" s="50">
        <f t="shared" ref="S21:S53" si="5">SUMIF(A$7:A$53,N21,I$7:I$53)</f>
        <v>0</v>
      </c>
      <c r="T21" s="50">
        <f t="shared" ref="T21:T34" si="6">SUMIF(A$7:A$40,N21,K$7:K$40)</f>
        <v>0</v>
      </c>
      <c r="U21" s="50">
        <f t="shared" ref="U21:U53" si="7">SUMIF(A$7:A$54,N21,G$7:G$54)</f>
        <v>0</v>
      </c>
      <c r="V21" s="50">
        <f t="shared" ref="V21:V53" si="8">SUMIF(A$7:A$54,N21,I$7:I$54)</f>
        <v>0</v>
      </c>
      <c r="W21" s="34"/>
      <c r="X21" s="370" t="s">
        <v>174</v>
      </c>
      <c r="Y21" s="370" t="s">
        <v>175</v>
      </c>
      <c r="Z21" s="370" t="s">
        <v>176</v>
      </c>
      <c r="AA21" s="370" t="s">
        <v>177</v>
      </c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</row>
    <row r="22" spans="1:42" x14ac:dyDescent="0.3">
      <c r="A22" s="81">
        <v>46274</v>
      </c>
      <c r="B22" s="83"/>
      <c r="C22" s="83"/>
      <c r="D22" s="86"/>
      <c r="E22" s="86"/>
      <c r="F22" s="80"/>
      <c r="G22" s="80"/>
      <c r="H22" s="80"/>
      <c r="I22" s="80"/>
      <c r="J22" s="80"/>
      <c r="K22" s="80"/>
      <c r="L22" s="80"/>
      <c r="M22" s="34"/>
      <c r="N22" s="87">
        <v>46274</v>
      </c>
      <c r="O22" s="50">
        <f t="shared" si="1"/>
        <v>0</v>
      </c>
      <c r="P22" s="50">
        <f t="shared" si="2"/>
        <v>0</v>
      </c>
      <c r="Q22" s="50">
        <f t="shared" si="3"/>
        <v>0</v>
      </c>
      <c r="R22" s="50">
        <f t="shared" si="4"/>
        <v>0</v>
      </c>
      <c r="S22" s="50">
        <f t="shared" si="5"/>
        <v>0</v>
      </c>
      <c r="T22" s="50">
        <f t="shared" si="6"/>
        <v>0</v>
      </c>
      <c r="U22" s="50">
        <f t="shared" si="7"/>
        <v>0</v>
      </c>
      <c r="V22" s="50">
        <f t="shared" si="8"/>
        <v>0</v>
      </c>
      <c r="W22" s="34"/>
      <c r="X22" s="34">
        <v>48000</v>
      </c>
      <c r="Y22" s="34">
        <v>2300</v>
      </c>
      <c r="Z22" s="34">
        <v>30000</v>
      </c>
      <c r="AA22" s="34">
        <v>44000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</row>
    <row r="23" spans="1:42" x14ac:dyDescent="0.3">
      <c r="A23" s="81">
        <v>46275</v>
      </c>
      <c r="B23" s="83"/>
      <c r="C23" s="83"/>
      <c r="D23" s="86"/>
      <c r="E23" s="86"/>
      <c r="F23" s="80"/>
      <c r="G23" s="80"/>
      <c r="H23" s="80"/>
      <c r="I23" s="80"/>
      <c r="J23" s="80"/>
      <c r="K23" s="80"/>
      <c r="L23" s="80"/>
      <c r="M23" s="34"/>
      <c r="N23" s="87">
        <v>46275</v>
      </c>
      <c r="O23" s="50">
        <f t="shared" si="1"/>
        <v>0</v>
      </c>
      <c r="P23" s="50">
        <f t="shared" si="2"/>
        <v>0</v>
      </c>
      <c r="Q23" s="50">
        <f t="shared" si="3"/>
        <v>0</v>
      </c>
      <c r="R23" s="50">
        <f t="shared" si="4"/>
        <v>0</v>
      </c>
      <c r="S23" s="50">
        <f t="shared" si="5"/>
        <v>0</v>
      </c>
      <c r="T23" s="50">
        <f t="shared" si="6"/>
        <v>0</v>
      </c>
      <c r="U23" s="50">
        <f t="shared" si="7"/>
        <v>0</v>
      </c>
      <c r="V23" s="50">
        <f t="shared" si="8"/>
        <v>0</v>
      </c>
      <c r="W23" s="34"/>
      <c r="X23" s="92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</row>
    <row r="24" spans="1:42" x14ac:dyDescent="0.3">
      <c r="A24" s="81">
        <v>46276</v>
      </c>
      <c r="B24" s="83"/>
      <c r="C24" s="83"/>
      <c r="D24" s="86"/>
      <c r="E24" s="86"/>
      <c r="F24" s="80"/>
      <c r="G24" s="80"/>
      <c r="H24" s="80"/>
      <c r="I24" s="80"/>
      <c r="J24" s="80"/>
      <c r="K24" s="80"/>
      <c r="L24" s="80"/>
      <c r="M24" s="34"/>
      <c r="N24" s="87">
        <v>46276</v>
      </c>
      <c r="O24" s="50">
        <f t="shared" si="1"/>
        <v>0</v>
      </c>
      <c r="P24" s="50">
        <f t="shared" si="2"/>
        <v>0</v>
      </c>
      <c r="Q24" s="50">
        <f t="shared" si="3"/>
        <v>0</v>
      </c>
      <c r="R24" s="50">
        <f t="shared" si="4"/>
        <v>0</v>
      </c>
      <c r="S24" s="50">
        <f t="shared" si="5"/>
        <v>0</v>
      </c>
      <c r="T24" s="50">
        <f t="shared" si="6"/>
        <v>0</v>
      </c>
      <c r="U24" s="50">
        <f t="shared" si="7"/>
        <v>0</v>
      </c>
      <c r="V24" s="50">
        <f t="shared" si="8"/>
        <v>0</v>
      </c>
      <c r="W24" s="34"/>
      <c r="X24" s="34">
        <f>X22*O54</f>
        <v>54000000</v>
      </c>
      <c r="Y24" s="34">
        <f>P54*Y22</f>
        <v>5175000</v>
      </c>
      <c r="Z24" s="34">
        <f>Z22*T54</f>
        <v>1500000</v>
      </c>
      <c r="AA24" s="34">
        <f>AA22*Q54</f>
        <v>88000000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</row>
    <row r="25" spans="1:42" x14ac:dyDescent="0.3">
      <c r="A25" s="81">
        <v>46277</v>
      </c>
      <c r="B25" s="83"/>
      <c r="C25" s="83"/>
      <c r="D25" s="86"/>
      <c r="E25" s="86"/>
      <c r="F25" s="80"/>
      <c r="G25" s="80"/>
      <c r="H25" s="80"/>
      <c r="I25" s="80"/>
      <c r="J25" s="80"/>
      <c r="K25" s="80"/>
      <c r="L25" s="80"/>
      <c r="M25" s="34"/>
      <c r="N25" s="87">
        <v>46277</v>
      </c>
      <c r="O25" s="50">
        <f t="shared" si="1"/>
        <v>0</v>
      </c>
      <c r="P25" s="50">
        <f t="shared" si="2"/>
        <v>0</v>
      </c>
      <c r="Q25" s="50">
        <f t="shared" si="3"/>
        <v>0</v>
      </c>
      <c r="R25" s="50">
        <f t="shared" si="4"/>
        <v>0</v>
      </c>
      <c r="S25" s="50">
        <f t="shared" si="5"/>
        <v>0</v>
      </c>
      <c r="T25" s="50">
        <f t="shared" si="6"/>
        <v>0</v>
      </c>
      <c r="U25" s="50">
        <f t="shared" si="7"/>
        <v>0</v>
      </c>
      <c r="V25" s="50">
        <f t="shared" si="8"/>
        <v>0</v>
      </c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</row>
    <row r="26" spans="1:42" x14ac:dyDescent="0.3">
      <c r="A26" s="81">
        <v>46278</v>
      </c>
      <c r="B26" s="83"/>
      <c r="C26" s="83"/>
      <c r="D26" s="86"/>
      <c r="E26" s="86"/>
      <c r="F26" s="80"/>
      <c r="G26" s="80"/>
      <c r="H26" s="80"/>
      <c r="I26" s="80"/>
      <c r="J26" s="80"/>
      <c r="K26" s="80"/>
      <c r="L26" s="80"/>
      <c r="M26" s="34"/>
      <c r="N26" s="87">
        <v>46278</v>
      </c>
      <c r="O26" s="50">
        <f t="shared" si="1"/>
        <v>0</v>
      </c>
      <c r="P26" s="50">
        <f t="shared" si="2"/>
        <v>0</v>
      </c>
      <c r="Q26" s="50">
        <f t="shared" si="3"/>
        <v>0</v>
      </c>
      <c r="R26" s="50">
        <f t="shared" si="4"/>
        <v>0</v>
      </c>
      <c r="S26" s="50">
        <f t="shared" si="5"/>
        <v>0</v>
      </c>
      <c r="T26" s="50">
        <f t="shared" si="6"/>
        <v>0</v>
      </c>
      <c r="U26" s="50">
        <f t="shared" si="7"/>
        <v>0</v>
      </c>
      <c r="V26" s="50">
        <f t="shared" si="8"/>
        <v>0</v>
      </c>
      <c r="W26" s="34"/>
      <c r="X26" s="92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</row>
    <row r="27" spans="1:42" x14ac:dyDescent="0.3">
      <c r="A27" s="81">
        <v>46279</v>
      </c>
      <c r="B27" s="83"/>
      <c r="C27" s="83"/>
      <c r="D27" s="86"/>
      <c r="E27" s="86"/>
      <c r="F27" s="86"/>
      <c r="G27" s="86"/>
      <c r="H27" s="86"/>
      <c r="I27" s="86"/>
      <c r="J27" s="86"/>
      <c r="K27" s="80"/>
      <c r="L27" s="80"/>
      <c r="M27" s="34"/>
      <c r="N27" s="87">
        <v>46279</v>
      </c>
      <c r="O27" s="50">
        <f t="shared" si="1"/>
        <v>0</v>
      </c>
      <c r="P27" s="50">
        <f t="shared" si="2"/>
        <v>0</v>
      </c>
      <c r="Q27" s="50">
        <f t="shared" si="3"/>
        <v>0</v>
      </c>
      <c r="R27" s="50">
        <f t="shared" si="4"/>
        <v>0</v>
      </c>
      <c r="S27" s="50">
        <f t="shared" si="5"/>
        <v>0</v>
      </c>
      <c r="T27" s="50">
        <f t="shared" si="6"/>
        <v>0</v>
      </c>
      <c r="U27" s="50">
        <f t="shared" si="7"/>
        <v>0</v>
      </c>
      <c r="V27" s="50">
        <f t="shared" si="8"/>
        <v>0</v>
      </c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</row>
    <row r="28" spans="1:42" x14ac:dyDescent="0.3">
      <c r="A28" s="81">
        <v>46280</v>
      </c>
      <c r="B28" s="83"/>
      <c r="C28" s="83"/>
      <c r="D28" s="86"/>
      <c r="E28" s="86"/>
      <c r="F28" s="86"/>
      <c r="G28" s="86"/>
      <c r="H28" s="86"/>
      <c r="I28" s="86"/>
      <c r="J28" s="86"/>
      <c r="K28" s="80"/>
      <c r="L28" s="80"/>
      <c r="M28" s="34"/>
      <c r="N28" s="87">
        <v>46280</v>
      </c>
      <c r="O28" s="50">
        <f t="shared" si="1"/>
        <v>0</v>
      </c>
      <c r="P28" s="50">
        <f t="shared" si="2"/>
        <v>0</v>
      </c>
      <c r="Q28" s="50">
        <f t="shared" si="3"/>
        <v>0</v>
      </c>
      <c r="R28" s="50">
        <f t="shared" si="4"/>
        <v>0</v>
      </c>
      <c r="S28" s="50">
        <f t="shared" si="5"/>
        <v>0</v>
      </c>
      <c r="T28" s="50">
        <f t="shared" si="6"/>
        <v>0</v>
      </c>
      <c r="U28" s="50">
        <f t="shared" si="7"/>
        <v>0</v>
      </c>
      <c r="V28" s="50">
        <f t="shared" si="8"/>
        <v>0</v>
      </c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</row>
    <row r="29" spans="1:42" x14ac:dyDescent="0.3">
      <c r="A29" s="81">
        <v>46281</v>
      </c>
      <c r="B29" s="83"/>
      <c r="C29" s="83"/>
      <c r="D29" s="86"/>
      <c r="E29" s="86"/>
      <c r="F29" s="86"/>
      <c r="G29" s="86"/>
      <c r="H29" s="86"/>
      <c r="I29" s="86"/>
      <c r="J29" s="86"/>
      <c r="K29" s="80"/>
      <c r="L29" s="80"/>
      <c r="M29" s="34"/>
      <c r="N29" s="87">
        <v>46281</v>
      </c>
      <c r="O29" s="50">
        <f t="shared" si="1"/>
        <v>0</v>
      </c>
      <c r="P29" s="50">
        <f t="shared" si="2"/>
        <v>0</v>
      </c>
      <c r="Q29" s="50">
        <f t="shared" si="3"/>
        <v>0</v>
      </c>
      <c r="R29" s="50">
        <f t="shared" si="4"/>
        <v>0</v>
      </c>
      <c r="S29" s="50">
        <f t="shared" si="5"/>
        <v>0</v>
      </c>
      <c r="T29" s="50">
        <f t="shared" si="6"/>
        <v>0</v>
      </c>
      <c r="U29" s="50">
        <f t="shared" si="7"/>
        <v>0</v>
      </c>
      <c r="V29" s="50">
        <f t="shared" si="8"/>
        <v>0</v>
      </c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</row>
    <row r="30" spans="1:42" x14ac:dyDescent="0.3">
      <c r="A30" s="81">
        <v>46282</v>
      </c>
      <c r="B30" s="83"/>
      <c r="C30" s="83"/>
      <c r="D30" s="86"/>
      <c r="E30" s="86"/>
      <c r="F30" s="80"/>
      <c r="G30" s="80"/>
      <c r="H30" s="80"/>
      <c r="I30" s="80"/>
      <c r="J30" s="86"/>
      <c r="K30" s="80"/>
      <c r="L30" s="80"/>
      <c r="M30" s="34"/>
      <c r="N30" s="87">
        <v>46282</v>
      </c>
      <c r="O30" s="50">
        <f t="shared" si="1"/>
        <v>0</v>
      </c>
      <c r="P30" s="50">
        <f t="shared" si="2"/>
        <v>0</v>
      </c>
      <c r="Q30" s="50">
        <f t="shared" si="3"/>
        <v>0</v>
      </c>
      <c r="R30" s="50">
        <f t="shared" si="4"/>
        <v>0</v>
      </c>
      <c r="S30" s="50">
        <f t="shared" si="5"/>
        <v>0</v>
      </c>
      <c r="T30" s="50">
        <f t="shared" si="6"/>
        <v>0</v>
      </c>
      <c r="U30" s="50">
        <f t="shared" si="7"/>
        <v>0</v>
      </c>
      <c r="V30" s="50">
        <f t="shared" si="8"/>
        <v>0</v>
      </c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</row>
    <row r="31" spans="1:42" x14ac:dyDescent="0.3">
      <c r="A31" s="81">
        <v>46283</v>
      </c>
      <c r="B31" s="83"/>
      <c r="C31" s="83"/>
      <c r="D31" s="86"/>
      <c r="E31" s="86"/>
      <c r="F31" s="80"/>
      <c r="G31" s="80"/>
      <c r="H31" s="80"/>
      <c r="I31" s="80"/>
      <c r="J31" s="86"/>
      <c r="K31" s="80"/>
      <c r="L31" s="80"/>
      <c r="M31" s="34"/>
      <c r="N31" s="87">
        <v>46283</v>
      </c>
      <c r="O31" s="50">
        <f t="shared" si="1"/>
        <v>0</v>
      </c>
      <c r="P31" s="50">
        <f t="shared" si="2"/>
        <v>0</v>
      </c>
      <c r="Q31" s="50">
        <f t="shared" si="3"/>
        <v>0</v>
      </c>
      <c r="R31" s="50">
        <f t="shared" si="4"/>
        <v>0</v>
      </c>
      <c r="S31" s="50">
        <f t="shared" si="5"/>
        <v>0</v>
      </c>
      <c r="T31" s="50">
        <f t="shared" si="6"/>
        <v>0</v>
      </c>
      <c r="U31" s="50">
        <f t="shared" si="7"/>
        <v>0</v>
      </c>
      <c r="V31" s="50">
        <f t="shared" si="8"/>
        <v>0</v>
      </c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</row>
    <row r="32" spans="1:42" x14ac:dyDescent="0.3">
      <c r="A32" s="81">
        <v>46284</v>
      </c>
      <c r="B32" s="83"/>
      <c r="C32" s="83"/>
      <c r="D32" s="86"/>
      <c r="E32" s="86"/>
      <c r="F32" s="80"/>
      <c r="G32" s="80"/>
      <c r="H32" s="80"/>
      <c r="I32" s="80"/>
      <c r="J32" s="86"/>
      <c r="K32" s="80"/>
      <c r="L32" s="80"/>
      <c r="M32" s="34"/>
      <c r="N32" s="87">
        <v>46284</v>
      </c>
      <c r="O32" s="50">
        <f t="shared" si="1"/>
        <v>0</v>
      </c>
      <c r="P32" s="50">
        <f t="shared" si="2"/>
        <v>0</v>
      </c>
      <c r="Q32" s="50">
        <f t="shared" si="3"/>
        <v>0</v>
      </c>
      <c r="R32" s="50">
        <f t="shared" si="4"/>
        <v>0</v>
      </c>
      <c r="S32" s="50">
        <f t="shared" si="5"/>
        <v>0</v>
      </c>
      <c r="T32" s="50">
        <f t="shared" si="6"/>
        <v>0</v>
      </c>
      <c r="U32" s="50">
        <f t="shared" si="7"/>
        <v>0</v>
      </c>
      <c r="V32" s="50">
        <f t="shared" si="8"/>
        <v>0</v>
      </c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</row>
    <row r="33" spans="1:42" x14ac:dyDescent="0.3">
      <c r="A33" s="81">
        <v>46285</v>
      </c>
      <c r="B33" s="83"/>
      <c r="C33" s="83"/>
      <c r="D33" s="86"/>
      <c r="E33" s="86"/>
      <c r="F33" s="80"/>
      <c r="G33" s="80"/>
      <c r="H33" s="80"/>
      <c r="I33" s="80"/>
      <c r="J33" s="86"/>
      <c r="K33" s="80"/>
      <c r="L33" s="80"/>
      <c r="M33" s="34"/>
      <c r="N33" s="87">
        <v>46285</v>
      </c>
      <c r="O33" s="50">
        <f t="shared" si="1"/>
        <v>0</v>
      </c>
      <c r="P33" s="50">
        <f t="shared" si="2"/>
        <v>0</v>
      </c>
      <c r="Q33" s="50">
        <f t="shared" si="3"/>
        <v>0</v>
      </c>
      <c r="R33" s="50">
        <f t="shared" si="4"/>
        <v>0</v>
      </c>
      <c r="S33" s="50">
        <f t="shared" si="5"/>
        <v>0</v>
      </c>
      <c r="T33" s="50">
        <f t="shared" si="6"/>
        <v>0</v>
      </c>
      <c r="U33" s="50">
        <f t="shared" si="7"/>
        <v>0</v>
      </c>
      <c r="V33" s="50">
        <f t="shared" si="8"/>
        <v>0</v>
      </c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</row>
    <row r="34" spans="1:42" x14ac:dyDescent="0.3">
      <c r="A34" s="81">
        <v>46286</v>
      </c>
      <c r="B34" s="83"/>
      <c r="C34" s="83"/>
      <c r="D34" s="86"/>
      <c r="E34" s="86"/>
      <c r="F34" s="80"/>
      <c r="G34" s="80"/>
      <c r="H34" s="80"/>
      <c r="I34" s="80"/>
      <c r="J34" s="86"/>
      <c r="K34" s="80"/>
      <c r="L34" s="80"/>
      <c r="M34" s="34"/>
      <c r="N34" s="87">
        <v>46286</v>
      </c>
      <c r="O34" s="50">
        <f t="shared" si="1"/>
        <v>0</v>
      </c>
      <c r="P34" s="50">
        <f t="shared" si="2"/>
        <v>0</v>
      </c>
      <c r="Q34" s="50">
        <f t="shared" si="3"/>
        <v>0</v>
      </c>
      <c r="R34" s="50">
        <f t="shared" si="4"/>
        <v>0</v>
      </c>
      <c r="S34" s="50">
        <f t="shared" si="5"/>
        <v>0</v>
      </c>
      <c r="T34" s="50">
        <f t="shared" si="6"/>
        <v>0</v>
      </c>
      <c r="U34" s="50">
        <f t="shared" si="7"/>
        <v>0</v>
      </c>
      <c r="V34" s="50">
        <f t="shared" si="8"/>
        <v>0</v>
      </c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3">
      <c r="A35" s="81">
        <v>46287</v>
      </c>
      <c r="B35" s="83"/>
      <c r="C35" s="83"/>
      <c r="D35" s="86"/>
      <c r="E35" s="86"/>
      <c r="F35" s="80"/>
      <c r="G35" s="80"/>
      <c r="H35" s="80"/>
      <c r="I35" s="80"/>
      <c r="J35" s="86"/>
      <c r="K35" s="80"/>
      <c r="L35" s="80"/>
      <c r="M35" s="34"/>
      <c r="N35" s="87">
        <v>46287</v>
      </c>
      <c r="O35" s="50">
        <f t="shared" si="1"/>
        <v>0</v>
      </c>
      <c r="P35" s="50">
        <f t="shared" si="2"/>
        <v>0</v>
      </c>
      <c r="Q35" s="50">
        <f t="shared" si="3"/>
        <v>0</v>
      </c>
      <c r="R35" s="50">
        <f t="shared" si="4"/>
        <v>0</v>
      </c>
      <c r="S35" s="50">
        <f t="shared" si="5"/>
        <v>0</v>
      </c>
      <c r="T35" s="50">
        <f t="shared" ref="T35:T53" si="9">SUMIF(A$7:A$53,N35,K$7:K$54)</f>
        <v>0</v>
      </c>
      <c r="U35" s="50">
        <f t="shared" si="7"/>
        <v>0</v>
      </c>
      <c r="V35" s="50">
        <f t="shared" si="8"/>
        <v>0</v>
      </c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</row>
    <row r="36" spans="1:42" x14ac:dyDescent="0.3">
      <c r="A36" s="81">
        <v>46288</v>
      </c>
      <c r="B36" s="83"/>
      <c r="C36" s="83"/>
      <c r="D36" s="86"/>
      <c r="E36" s="86"/>
      <c r="F36" s="80"/>
      <c r="G36" s="80"/>
      <c r="H36" s="80"/>
      <c r="I36" s="80"/>
      <c r="J36" s="86"/>
      <c r="K36" s="80"/>
      <c r="L36" s="80"/>
      <c r="M36" s="34"/>
      <c r="N36" s="87">
        <v>46288</v>
      </c>
      <c r="O36" s="50">
        <f t="shared" si="1"/>
        <v>0</v>
      </c>
      <c r="P36" s="50">
        <f t="shared" si="2"/>
        <v>0</v>
      </c>
      <c r="Q36" s="50">
        <f t="shared" si="3"/>
        <v>0</v>
      </c>
      <c r="R36" s="50">
        <f t="shared" si="4"/>
        <v>0</v>
      </c>
      <c r="S36" s="50">
        <f t="shared" si="5"/>
        <v>0</v>
      </c>
      <c r="T36" s="50">
        <f t="shared" si="9"/>
        <v>0</v>
      </c>
      <c r="U36" s="50">
        <f t="shared" si="7"/>
        <v>0</v>
      </c>
      <c r="V36" s="50">
        <f t="shared" si="8"/>
        <v>0</v>
      </c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</row>
    <row r="37" spans="1:42" x14ac:dyDescent="0.3">
      <c r="A37" s="81">
        <v>46289</v>
      </c>
      <c r="B37" s="83"/>
      <c r="C37" s="83"/>
      <c r="D37" s="86"/>
      <c r="E37" s="86"/>
      <c r="F37" s="80"/>
      <c r="G37" s="80"/>
      <c r="H37" s="80"/>
      <c r="I37" s="80"/>
      <c r="J37" s="86"/>
      <c r="K37" s="80"/>
      <c r="L37" s="80"/>
      <c r="M37" s="34"/>
      <c r="N37" s="87">
        <v>46289</v>
      </c>
      <c r="O37" s="50">
        <f t="shared" ref="O37:O53" si="10">SUMIF(A$7:A$54,N37,D$7:D$54)+SUMIF(A$7:A$40,N37,G$7:G$54)</f>
        <v>0</v>
      </c>
      <c r="P37" s="50">
        <f t="shared" si="2"/>
        <v>0</v>
      </c>
      <c r="Q37" s="50">
        <f t="shared" si="3"/>
        <v>0</v>
      </c>
      <c r="R37" s="50">
        <f t="shared" si="4"/>
        <v>0</v>
      </c>
      <c r="S37" s="50">
        <f t="shared" si="5"/>
        <v>0</v>
      </c>
      <c r="T37" s="50">
        <f t="shared" si="9"/>
        <v>0</v>
      </c>
      <c r="U37" s="50">
        <f t="shared" si="7"/>
        <v>0</v>
      </c>
      <c r="V37" s="50">
        <f t="shared" si="8"/>
        <v>0</v>
      </c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</row>
    <row r="38" spans="1:42" x14ac:dyDescent="0.3">
      <c r="A38" s="81">
        <v>46290</v>
      </c>
      <c r="B38" s="83"/>
      <c r="C38" s="83"/>
      <c r="D38" s="86"/>
      <c r="E38" s="86"/>
      <c r="F38" s="80"/>
      <c r="G38" s="80"/>
      <c r="H38" s="80"/>
      <c r="I38" s="80"/>
      <c r="J38" s="80"/>
      <c r="K38" s="80"/>
      <c r="L38" s="93"/>
      <c r="M38" s="34"/>
      <c r="N38" s="87">
        <v>46290</v>
      </c>
      <c r="O38" s="50">
        <f t="shared" si="10"/>
        <v>0</v>
      </c>
      <c r="P38" s="50">
        <f t="shared" si="2"/>
        <v>0</v>
      </c>
      <c r="Q38" s="50">
        <f t="shared" si="3"/>
        <v>0</v>
      </c>
      <c r="R38" s="50">
        <f t="shared" si="4"/>
        <v>0</v>
      </c>
      <c r="S38" s="50">
        <f t="shared" si="5"/>
        <v>0</v>
      </c>
      <c r="T38" s="50">
        <f t="shared" si="9"/>
        <v>0</v>
      </c>
      <c r="U38" s="50">
        <f t="shared" si="7"/>
        <v>0</v>
      </c>
      <c r="V38" s="50">
        <f t="shared" si="8"/>
        <v>0</v>
      </c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</row>
    <row r="39" spans="1:42" x14ac:dyDescent="0.3">
      <c r="A39" s="81">
        <v>46291</v>
      </c>
      <c r="B39" s="83"/>
      <c r="C39" s="83"/>
      <c r="D39" s="86"/>
      <c r="E39" s="86"/>
      <c r="F39" s="80"/>
      <c r="G39" s="80"/>
      <c r="H39" s="80"/>
      <c r="I39" s="80"/>
      <c r="J39" s="80"/>
      <c r="K39" s="80"/>
      <c r="L39" s="80"/>
      <c r="M39" s="34"/>
      <c r="N39" s="87">
        <v>46291</v>
      </c>
      <c r="O39" s="50">
        <f t="shared" si="10"/>
        <v>0</v>
      </c>
      <c r="P39" s="50">
        <f t="shared" si="2"/>
        <v>0</v>
      </c>
      <c r="Q39" s="50">
        <f t="shared" si="3"/>
        <v>0</v>
      </c>
      <c r="R39" s="50">
        <f t="shared" si="4"/>
        <v>0</v>
      </c>
      <c r="S39" s="50">
        <f t="shared" si="5"/>
        <v>0</v>
      </c>
      <c r="T39" s="50">
        <f t="shared" si="9"/>
        <v>0</v>
      </c>
      <c r="U39" s="50">
        <f t="shared" si="7"/>
        <v>0</v>
      </c>
      <c r="V39" s="50">
        <f t="shared" si="8"/>
        <v>0</v>
      </c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</row>
    <row r="40" spans="1:42" x14ac:dyDescent="0.3">
      <c r="A40" s="81">
        <v>46292</v>
      </c>
      <c r="B40" s="83"/>
      <c r="C40" s="83"/>
      <c r="D40" s="86"/>
      <c r="E40" s="86"/>
      <c r="F40" s="80"/>
      <c r="G40" s="80"/>
      <c r="H40" s="80"/>
      <c r="I40" s="80"/>
      <c r="J40" s="80"/>
      <c r="K40" s="80"/>
      <c r="L40" s="80"/>
      <c r="M40" s="34"/>
      <c r="N40" s="87">
        <v>46292</v>
      </c>
      <c r="O40" s="50">
        <f t="shared" si="10"/>
        <v>0</v>
      </c>
      <c r="P40" s="50">
        <f t="shared" si="2"/>
        <v>0</v>
      </c>
      <c r="Q40" s="50">
        <f t="shared" si="3"/>
        <v>0</v>
      </c>
      <c r="R40" s="50">
        <f t="shared" si="4"/>
        <v>0</v>
      </c>
      <c r="S40" s="50">
        <f t="shared" si="5"/>
        <v>0</v>
      </c>
      <c r="T40" s="50">
        <f t="shared" si="9"/>
        <v>0</v>
      </c>
      <c r="U40" s="50">
        <f t="shared" si="7"/>
        <v>0</v>
      </c>
      <c r="V40" s="50">
        <f t="shared" si="8"/>
        <v>0</v>
      </c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</row>
    <row r="41" spans="1:42" x14ac:dyDescent="0.3">
      <c r="A41" s="81">
        <v>46293</v>
      </c>
      <c r="B41" s="83"/>
      <c r="C41" s="83"/>
      <c r="D41" s="86"/>
      <c r="E41" s="86"/>
      <c r="F41" s="80"/>
      <c r="G41" s="80"/>
      <c r="H41" s="80"/>
      <c r="I41" s="80"/>
      <c r="J41" s="80"/>
      <c r="K41" s="80"/>
      <c r="L41" s="80"/>
      <c r="M41" s="34"/>
      <c r="N41" s="87">
        <v>46293</v>
      </c>
      <c r="O41" s="50">
        <f t="shared" si="10"/>
        <v>0</v>
      </c>
      <c r="P41" s="50">
        <f t="shared" si="2"/>
        <v>0</v>
      </c>
      <c r="Q41" s="50">
        <f t="shared" si="3"/>
        <v>0</v>
      </c>
      <c r="R41" s="50">
        <f t="shared" si="4"/>
        <v>0</v>
      </c>
      <c r="S41" s="50">
        <f t="shared" si="5"/>
        <v>0</v>
      </c>
      <c r="T41" s="50">
        <f t="shared" si="9"/>
        <v>0</v>
      </c>
      <c r="U41" s="50">
        <f t="shared" si="7"/>
        <v>0</v>
      </c>
      <c r="V41" s="50">
        <f t="shared" si="8"/>
        <v>0</v>
      </c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</row>
    <row r="42" spans="1:42" x14ac:dyDescent="0.3">
      <c r="A42" s="81">
        <v>46294</v>
      </c>
      <c r="B42" s="83"/>
      <c r="C42" s="83"/>
      <c r="D42" s="86"/>
      <c r="E42" s="86"/>
      <c r="F42" s="80"/>
      <c r="G42" s="80"/>
      <c r="H42" s="80"/>
      <c r="I42" s="80"/>
      <c r="J42" s="80"/>
      <c r="K42" s="80"/>
      <c r="L42" s="80"/>
      <c r="M42" s="34"/>
      <c r="N42" s="87">
        <v>46294</v>
      </c>
      <c r="O42" s="50">
        <f t="shared" si="10"/>
        <v>0</v>
      </c>
      <c r="P42" s="50">
        <f t="shared" si="2"/>
        <v>0</v>
      </c>
      <c r="Q42" s="50">
        <f t="shared" si="3"/>
        <v>0</v>
      </c>
      <c r="R42" s="50">
        <f t="shared" si="4"/>
        <v>0</v>
      </c>
      <c r="S42" s="50">
        <f t="shared" si="5"/>
        <v>0</v>
      </c>
      <c r="T42" s="50">
        <f t="shared" si="9"/>
        <v>0</v>
      </c>
      <c r="U42" s="50">
        <f t="shared" si="7"/>
        <v>0</v>
      </c>
      <c r="V42" s="50">
        <f t="shared" si="8"/>
        <v>0</v>
      </c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</row>
    <row r="43" spans="1:42" x14ac:dyDescent="0.3">
      <c r="A43" s="81">
        <v>46295</v>
      </c>
      <c r="B43" s="83"/>
      <c r="C43" s="83"/>
      <c r="D43" s="86"/>
      <c r="E43" s="86"/>
      <c r="F43" s="80"/>
      <c r="G43" s="80"/>
      <c r="H43" s="80"/>
      <c r="I43" s="80"/>
      <c r="J43" s="80"/>
      <c r="K43" s="80"/>
      <c r="L43" s="80"/>
      <c r="M43" s="34"/>
      <c r="N43" s="87">
        <v>46295</v>
      </c>
      <c r="O43" s="50">
        <f t="shared" si="10"/>
        <v>0</v>
      </c>
      <c r="P43" s="50">
        <f t="shared" si="2"/>
        <v>0</v>
      </c>
      <c r="Q43" s="50">
        <f t="shared" si="3"/>
        <v>0</v>
      </c>
      <c r="R43" s="50">
        <f t="shared" si="4"/>
        <v>0</v>
      </c>
      <c r="S43" s="50">
        <f t="shared" si="5"/>
        <v>0</v>
      </c>
      <c r="T43" s="50">
        <f t="shared" si="9"/>
        <v>0</v>
      </c>
      <c r="U43" s="50">
        <f t="shared" si="7"/>
        <v>0</v>
      </c>
      <c r="V43" s="50">
        <f t="shared" si="8"/>
        <v>0</v>
      </c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</row>
    <row r="44" spans="1:42" x14ac:dyDescent="0.3">
      <c r="A44" s="81">
        <v>46296</v>
      </c>
      <c r="B44" s="83"/>
      <c r="C44" s="83"/>
      <c r="D44" s="86"/>
      <c r="E44" s="86"/>
      <c r="F44" s="80"/>
      <c r="G44" s="80"/>
      <c r="H44" s="80"/>
      <c r="I44" s="80"/>
      <c r="J44" s="80"/>
      <c r="K44" s="80"/>
      <c r="L44" s="80"/>
      <c r="M44" s="34"/>
      <c r="N44" s="87">
        <v>46296</v>
      </c>
      <c r="O44" s="50">
        <f t="shared" si="10"/>
        <v>0</v>
      </c>
      <c r="P44" s="50">
        <f t="shared" si="2"/>
        <v>0</v>
      </c>
      <c r="Q44" s="50">
        <f t="shared" si="3"/>
        <v>0</v>
      </c>
      <c r="R44" s="50">
        <f t="shared" si="4"/>
        <v>0</v>
      </c>
      <c r="S44" s="50">
        <f t="shared" si="5"/>
        <v>0</v>
      </c>
      <c r="T44" s="50">
        <f t="shared" si="9"/>
        <v>0</v>
      </c>
      <c r="U44" s="50">
        <f t="shared" si="7"/>
        <v>0</v>
      </c>
      <c r="V44" s="50">
        <f t="shared" si="8"/>
        <v>0</v>
      </c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</row>
    <row r="45" spans="1:42" x14ac:dyDescent="0.3">
      <c r="A45" s="81">
        <v>46297</v>
      </c>
      <c r="B45" s="83"/>
      <c r="C45" s="83"/>
      <c r="D45" s="86"/>
      <c r="E45" s="86"/>
      <c r="F45" s="80"/>
      <c r="G45" s="80"/>
      <c r="H45" s="80"/>
      <c r="I45" s="80"/>
      <c r="J45" s="80"/>
      <c r="K45" s="80"/>
      <c r="L45" s="80"/>
      <c r="M45" s="34"/>
      <c r="N45" s="87">
        <v>46297</v>
      </c>
      <c r="O45" s="50">
        <f t="shared" si="10"/>
        <v>0</v>
      </c>
      <c r="P45" s="50">
        <f t="shared" si="2"/>
        <v>0</v>
      </c>
      <c r="Q45" s="50">
        <f t="shared" si="3"/>
        <v>0</v>
      </c>
      <c r="R45" s="50">
        <f t="shared" si="4"/>
        <v>0</v>
      </c>
      <c r="S45" s="50">
        <f t="shared" si="5"/>
        <v>0</v>
      </c>
      <c r="T45" s="50">
        <f t="shared" si="9"/>
        <v>0</v>
      </c>
      <c r="U45" s="50">
        <f t="shared" si="7"/>
        <v>0</v>
      </c>
      <c r="V45" s="50">
        <f t="shared" si="8"/>
        <v>0</v>
      </c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</row>
    <row r="46" spans="1:42" x14ac:dyDescent="0.3">
      <c r="A46" s="81">
        <v>46298</v>
      </c>
      <c r="B46" s="83"/>
      <c r="C46" s="83"/>
      <c r="D46" s="86"/>
      <c r="E46" s="86"/>
      <c r="F46" s="80"/>
      <c r="G46" s="80"/>
      <c r="H46" s="80"/>
      <c r="I46" s="80"/>
      <c r="J46" s="80"/>
      <c r="K46" s="80"/>
      <c r="L46" s="80"/>
      <c r="M46" s="34"/>
      <c r="N46" s="87">
        <v>46298</v>
      </c>
      <c r="O46" s="50">
        <f t="shared" si="10"/>
        <v>0</v>
      </c>
      <c r="P46" s="50">
        <f t="shared" si="2"/>
        <v>0</v>
      </c>
      <c r="Q46" s="50">
        <f t="shared" si="3"/>
        <v>0</v>
      </c>
      <c r="R46" s="50">
        <f t="shared" si="4"/>
        <v>0</v>
      </c>
      <c r="S46" s="50">
        <f t="shared" si="5"/>
        <v>0</v>
      </c>
      <c r="T46" s="50">
        <f t="shared" si="9"/>
        <v>0</v>
      </c>
      <c r="U46" s="50">
        <f t="shared" si="7"/>
        <v>0</v>
      </c>
      <c r="V46" s="50">
        <f t="shared" si="8"/>
        <v>0</v>
      </c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</row>
    <row r="47" spans="1:42" x14ac:dyDescent="0.3">
      <c r="A47" s="81">
        <v>46299</v>
      </c>
      <c r="B47" s="83"/>
      <c r="C47" s="83"/>
      <c r="D47" s="86"/>
      <c r="E47" s="86"/>
      <c r="F47" s="80"/>
      <c r="G47" s="80"/>
      <c r="H47" s="80"/>
      <c r="I47" s="80"/>
      <c r="J47" s="80"/>
      <c r="K47" s="80"/>
      <c r="L47" s="80"/>
      <c r="M47" s="34"/>
      <c r="N47" s="87">
        <v>46299</v>
      </c>
      <c r="O47" s="50">
        <f t="shared" si="10"/>
        <v>0</v>
      </c>
      <c r="P47" s="50">
        <f t="shared" si="2"/>
        <v>0</v>
      </c>
      <c r="Q47" s="50">
        <f t="shared" si="3"/>
        <v>0</v>
      </c>
      <c r="R47" s="50">
        <f t="shared" si="4"/>
        <v>0</v>
      </c>
      <c r="S47" s="50">
        <f t="shared" si="5"/>
        <v>0</v>
      </c>
      <c r="T47" s="50">
        <f t="shared" si="9"/>
        <v>0</v>
      </c>
      <c r="U47" s="50">
        <f t="shared" si="7"/>
        <v>0</v>
      </c>
      <c r="V47" s="50">
        <f t="shared" si="8"/>
        <v>0</v>
      </c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</row>
    <row r="48" spans="1:42" x14ac:dyDescent="0.3">
      <c r="A48" s="81">
        <v>46300</v>
      </c>
      <c r="B48" s="83"/>
      <c r="C48" s="83"/>
      <c r="D48" s="86"/>
      <c r="E48" s="86"/>
      <c r="F48" s="80"/>
      <c r="G48" s="80"/>
      <c r="H48" s="80"/>
      <c r="I48" s="80"/>
      <c r="J48" s="80"/>
      <c r="K48" s="80"/>
      <c r="L48" s="80"/>
      <c r="M48" s="34"/>
      <c r="N48" s="87">
        <v>46300</v>
      </c>
      <c r="O48" s="50">
        <f t="shared" si="10"/>
        <v>0</v>
      </c>
      <c r="P48" s="50">
        <f t="shared" si="2"/>
        <v>0</v>
      </c>
      <c r="Q48" s="50">
        <f t="shared" si="3"/>
        <v>0</v>
      </c>
      <c r="R48" s="50">
        <f t="shared" si="4"/>
        <v>0</v>
      </c>
      <c r="S48" s="50">
        <f t="shared" si="5"/>
        <v>0</v>
      </c>
      <c r="T48" s="50">
        <f t="shared" si="9"/>
        <v>0</v>
      </c>
      <c r="U48" s="50">
        <f t="shared" si="7"/>
        <v>0</v>
      </c>
      <c r="V48" s="50">
        <f t="shared" si="8"/>
        <v>0</v>
      </c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</row>
    <row r="49" spans="1:42" x14ac:dyDescent="0.3">
      <c r="A49" s="81">
        <v>46301</v>
      </c>
      <c r="B49" s="83"/>
      <c r="C49" s="83"/>
      <c r="D49" s="86"/>
      <c r="E49" s="86"/>
      <c r="F49" s="80"/>
      <c r="G49" s="80"/>
      <c r="H49" s="80"/>
      <c r="I49" s="80"/>
      <c r="J49" s="80"/>
      <c r="K49" s="80"/>
      <c r="L49" s="80"/>
      <c r="M49" s="34"/>
      <c r="N49" s="87">
        <v>46301</v>
      </c>
      <c r="O49" s="50">
        <f t="shared" si="10"/>
        <v>0</v>
      </c>
      <c r="P49" s="50">
        <f t="shared" si="2"/>
        <v>0</v>
      </c>
      <c r="Q49" s="50">
        <f t="shared" si="3"/>
        <v>0</v>
      </c>
      <c r="R49" s="50">
        <f t="shared" si="4"/>
        <v>0</v>
      </c>
      <c r="S49" s="50">
        <f t="shared" si="5"/>
        <v>0</v>
      </c>
      <c r="T49" s="50">
        <f t="shared" si="9"/>
        <v>0</v>
      </c>
      <c r="U49" s="50">
        <f t="shared" si="7"/>
        <v>0</v>
      </c>
      <c r="V49" s="50">
        <f t="shared" si="8"/>
        <v>0</v>
      </c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</row>
    <row r="50" spans="1:42" x14ac:dyDescent="0.3">
      <c r="A50" s="81">
        <v>46302</v>
      </c>
      <c r="B50" s="83"/>
      <c r="C50" s="83"/>
      <c r="D50" s="86"/>
      <c r="E50" s="86"/>
      <c r="F50" s="80"/>
      <c r="G50" s="80"/>
      <c r="H50" s="80"/>
      <c r="I50" s="80"/>
      <c r="J50" s="80"/>
      <c r="K50" s="80"/>
      <c r="L50" s="80"/>
      <c r="M50" s="34"/>
      <c r="N50" s="87">
        <v>46302</v>
      </c>
      <c r="O50" s="50">
        <f t="shared" si="10"/>
        <v>0</v>
      </c>
      <c r="P50" s="50">
        <f t="shared" si="2"/>
        <v>0</v>
      </c>
      <c r="Q50" s="50">
        <f t="shared" si="3"/>
        <v>0</v>
      </c>
      <c r="R50" s="50">
        <f t="shared" si="4"/>
        <v>0</v>
      </c>
      <c r="S50" s="50">
        <f t="shared" si="5"/>
        <v>0</v>
      </c>
      <c r="T50" s="50">
        <f t="shared" si="9"/>
        <v>0</v>
      </c>
      <c r="U50" s="50">
        <f t="shared" si="7"/>
        <v>0</v>
      </c>
      <c r="V50" s="50">
        <f t="shared" si="8"/>
        <v>0</v>
      </c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</row>
    <row r="51" spans="1:42" x14ac:dyDescent="0.3">
      <c r="A51" s="81">
        <v>46303</v>
      </c>
      <c r="B51" s="83"/>
      <c r="C51" s="83"/>
      <c r="D51" s="86"/>
      <c r="E51" s="86"/>
      <c r="F51" s="80"/>
      <c r="G51" s="80"/>
      <c r="H51" s="80"/>
      <c r="I51" s="80"/>
      <c r="J51" s="80"/>
      <c r="K51" s="80"/>
      <c r="L51" s="80"/>
      <c r="M51" s="34"/>
      <c r="N51" s="87">
        <v>46303</v>
      </c>
      <c r="O51" s="50">
        <f t="shared" si="10"/>
        <v>0</v>
      </c>
      <c r="P51" s="50">
        <f t="shared" si="2"/>
        <v>0</v>
      </c>
      <c r="Q51" s="50">
        <f t="shared" si="3"/>
        <v>0</v>
      </c>
      <c r="R51" s="50">
        <f t="shared" si="4"/>
        <v>0</v>
      </c>
      <c r="S51" s="50">
        <f t="shared" si="5"/>
        <v>0</v>
      </c>
      <c r="T51" s="50">
        <f t="shared" si="9"/>
        <v>0</v>
      </c>
      <c r="U51" s="50">
        <f t="shared" si="7"/>
        <v>0</v>
      </c>
      <c r="V51" s="50">
        <f t="shared" si="8"/>
        <v>0</v>
      </c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</row>
    <row r="52" spans="1:42" x14ac:dyDescent="0.3">
      <c r="A52" s="81">
        <v>46304</v>
      </c>
      <c r="B52" s="83"/>
      <c r="C52" s="83"/>
      <c r="D52" s="86"/>
      <c r="E52" s="86"/>
      <c r="F52" s="80"/>
      <c r="G52" s="80"/>
      <c r="H52" s="80"/>
      <c r="I52" s="80"/>
      <c r="J52" s="80"/>
      <c r="K52" s="80"/>
      <c r="L52" s="80"/>
      <c r="M52" s="34"/>
      <c r="N52" s="87">
        <v>46304</v>
      </c>
      <c r="O52" s="50">
        <f t="shared" si="10"/>
        <v>0</v>
      </c>
      <c r="P52" s="50">
        <f t="shared" si="2"/>
        <v>0</v>
      </c>
      <c r="Q52" s="50">
        <f t="shared" si="3"/>
        <v>0</v>
      </c>
      <c r="R52" s="50">
        <f t="shared" si="4"/>
        <v>0</v>
      </c>
      <c r="S52" s="50">
        <f t="shared" si="5"/>
        <v>0</v>
      </c>
      <c r="T52" s="50">
        <f t="shared" si="9"/>
        <v>0</v>
      </c>
      <c r="U52" s="50">
        <f t="shared" si="7"/>
        <v>0</v>
      </c>
      <c r="V52" s="50">
        <f t="shared" si="8"/>
        <v>0</v>
      </c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</row>
    <row r="53" spans="1:42" x14ac:dyDescent="0.3">
      <c r="A53" s="81">
        <v>46305</v>
      </c>
      <c r="B53" s="83"/>
      <c r="C53" s="83"/>
      <c r="D53" s="86"/>
      <c r="E53" s="86"/>
      <c r="F53" s="80"/>
      <c r="G53" s="80"/>
      <c r="H53" s="80"/>
      <c r="I53" s="80"/>
      <c r="J53" s="80"/>
      <c r="K53" s="80"/>
      <c r="L53" s="80"/>
      <c r="M53" s="34"/>
      <c r="N53" s="87">
        <v>46305</v>
      </c>
      <c r="O53" s="50">
        <f t="shared" si="10"/>
        <v>0</v>
      </c>
      <c r="P53" s="50">
        <f t="shared" si="2"/>
        <v>0</v>
      </c>
      <c r="Q53" s="50">
        <f t="shared" si="3"/>
        <v>0</v>
      </c>
      <c r="R53" s="50">
        <f t="shared" si="4"/>
        <v>0</v>
      </c>
      <c r="S53" s="50">
        <f t="shared" si="5"/>
        <v>0</v>
      </c>
      <c r="T53" s="50">
        <f t="shared" si="9"/>
        <v>0</v>
      </c>
      <c r="U53" s="50">
        <f t="shared" si="7"/>
        <v>0</v>
      </c>
      <c r="V53" s="50">
        <f t="shared" si="8"/>
        <v>0</v>
      </c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</row>
    <row r="54" spans="1:42" x14ac:dyDescent="0.3">
      <c r="A54" s="81"/>
      <c r="B54" s="83"/>
      <c r="C54" s="83"/>
      <c r="D54" s="86"/>
      <c r="E54" s="86"/>
      <c r="F54" s="80"/>
      <c r="G54" s="80"/>
      <c r="H54" s="80"/>
      <c r="I54" s="80"/>
      <c r="J54" s="80"/>
      <c r="K54" s="80"/>
      <c r="L54" s="80"/>
      <c r="M54" s="34"/>
      <c r="N54" s="434" t="s">
        <v>59</v>
      </c>
      <c r="O54" s="94">
        <f>SUM(O7:O53)</f>
        <v>1125</v>
      </c>
      <c r="P54" s="94">
        <f t="shared" ref="P54:V54" si="11">SUM(P7:P53)</f>
        <v>2250</v>
      </c>
      <c r="Q54" s="94">
        <f t="shared" si="11"/>
        <v>2000</v>
      </c>
      <c r="R54" s="94">
        <f t="shared" si="11"/>
        <v>0</v>
      </c>
      <c r="S54" s="94">
        <f t="shared" si="11"/>
        <v>0</v>
      </c>
      <c r="T54" s="94">
        <f t="shared" si="11"/>
        <v>50</v>
      </c>
      <c r="U54" s="94">
        <f t="shared" si="11"/>
        <v>0</v>
      </c>
      <c r="V54" s="94">
        <f t="shared" si="11"/>
        <v>0</v>
      </c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</row>
    <row r="55" spans="1:42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</row>
    <row r="56" spans="1:42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>
        <f>O54*X22</f>
        <v>54000000</v>
      </c>
      <c r="P56" s="34">
        <f>P54*Y22</f>
        <v>5175000</v>
      </c>
      <c r="Q56" s="34">
        <f>Q54*AA22</f>
        <v>88000000</v>
      </c>
      <c r="R56" s="34"/>
      <c r="S56" s="34"/>
      <c r="T56" s="34">
        <f>Z22*T54</f>
        <v>1500000</v>
      </c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4" xr:uid="{00000000-0002-0000-0400-000000000000}">
      <formula1>"Day,Night"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8AE4B"/>
  </sheetPr>
  <dimension ref="A1:AA90"/>
  <sheetViews>
    <sheetView showGridLines="0" workbookViewId="0">
      <pane ySplit="5" topLeftCell="A6" activePane="bottomLeft" state="frozen"/>
      <selection pane="bottomLeft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customWidth="1"/>
    <col min="5" max="5" width="6" style="1" customWidth="1"/>
    <col min="6" max="6" width="9.6640625" style="15" customWidth="1"/>
    <col min="7" max="7" width="13.77734375" style="1" customWidth="1"/>
    <col min="8" max="8" width="14.5546875" style="18" customWidth="1"/>
    <col min="9" max="9" width="10.44140625" style="20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22" customWidth="1"/>
    <col min="15" max="15" width="65.109375" style="1" customWidth="1"/>
    <col min="16" max="18" width="8.77734375" style="1"/>
    <col min="19" max="19" width="15.5546875" style="1" customWidth="1"/>
    <col min="20" max="16384" width="8.77734375" style="1"/>
  </cols>
  <sheetData>
    <row r="1" spans="1:2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73"/>
      <c r="P1" s="73"/>
      <c r="Q1" s="73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3">
      <c r="A2" s="34"/>
      <c r="B2" s="34"/>
      <c r="C2" s="34"/>
      <c r="D2" s="34"/>
      <c r="E2" s="34"/>
      <c r="F2" s="34"/>
      <c r="G2" s="34"/>
      <c r="H2" s="34"/>
      <c r="I2" s="34"/>
      <c r="J2" s="159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24" customHeight="1" x14ac:dyDescent="0.3">
      <c r="A4" s="34"/>
      <c r="B4" s="544" t="s">
        <v>178</v>
      </c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6"/>
      <c r="P4" s="397"/>
      <c r="Q4" s="397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ht="22.05" customHeight="1" x14ac:dyDescent="0.3">
      <c r="A5" s="34"/>
      <c r="B5" s="532" t="s">
        <v>74</v>
      </c>
      <c r="C5" s="532"/>
      <c r="D5" s="370" t="s">
        <v>179</v>
      </c>
      <c r="E5" s="370" t="s">
        <v>143</v>
      </c>
      <c r="F5" s="398" t="s">
        <v>180</v>
      </c>
      <c r="G5" s="399" t="s">
        <v>181</v>
      </c>
      <c r="H5" s="400" t="s">
        <v>182</v>
      </c>
      <c r="I5" s="400" t="s">
        <v>183</v>
      </c>
      <c r="J5" s="370" t="s">
        <v>184</v>
      </c>
      <c r="K5" s="370" t="s">
        <v>185</v>
      </c>
      <c r="L5" s="370" t="s">
        <v>186</v>
      </c>
      <c r="M5" s="370" t="s">
        <v>187</v>
      </c>
      <c r="N5" s="370" t="s">
        <v>188</v>
      </c>
      <c r="O5" s="370" t="s">
        <v>189</v>
      </c>
      <c r="P5" s="370"/>
      <c r="Q5" s="370"/>
      <c r="R5" s="34"/>
      <c r="S5" s="561" t="s">
        <v>190</v>
      </c>
      <c r="T5" s="562"/>
      <c r="U5" s="34"/>
      <c r="V5" s="34"/>
      <c r="W5" s="547" t="s">
        <v>191</v>
      </c>
      <c r="X5" s="547"/>
      <c r="Y5" s="547"/>
      <c r="Z5" s="547"/>
      <c r="AA5" s="547"/>
    </row>
    <row r="6" spans="1:27" ht="24" customHeight="1" x14ac:dyDescent="0.3">
      <c r="A6" s="34"/>
      <c r="B6" s="540">
        <v>46174</v>
      </c>
      <c r="C6" s="541"/>
      <c r="D6" s="95" t="s">
        <v>154</v>
      </c>
      <c r="E6" s="96"/>
      <c r="F6" s="97"/>
      <c r="G6" s="98"/>
      <c r="H6" s="99"/>
      <c r="I6" s="100" t="str">
        <f>IFERROR((VLOOKUP(G6,S$6:T$8,2,FALSE)),"")</f>
        <v/>
      </c>
      <c r="J6" s="101"/>
      <c r="K6" s="102" t="str">
        <f>IFERROR((F6*I6*J6),"")</f>
        <v/>
      </c>
      <c r="L6" s="97" t="str">
        <f>IFERROR(((F6*I6)*J6)*(1-H6),"")</f>
        <v/>
      </c>
      <c r="M6" s="97" t="str">
        <f>IFERROR((K6/12),"")</f>
        <v/>
      </c>
      <c r="N6" s="556">
        <f>SUM(L6:L7)</f>
        <v>0</v>
      </c>
      <c r="O6" s="80"/>
      <c r="P6" s="160"/>
      <c r="Q6" s="34"/>
      <c r="R6" s="34"/>
      <c r="S6" s="371" t="s">
        <v>192</v>
      </c>
      <c r="T6" s="371">
        <v>0.5</v>
      </c>
      <c r="U6" s="371">
        <v>0.6</v>
      </c>
      <c r="V6" s="371"/>
      <c r="W6" s="371" t="s">
        <v>193</v>
      </c>
      <c r="X6" s="371" t="s">
        <v>194</v>
      </c>
      <c r="Y6" s="371" t="s">
        <v>195</v>
      </c>
      <c r="Z6" s="371" t="s">
        <v>196</v>
      </c>
      <c r="AA6" s="371" t="s">
        <v>197</v>
      </c>
    </row>
    <row r="7" spans="1:27" ht="13.95" customHeight="1" x14ac:dyDescent="0.3">
      <c r="A7" s="34"/>
      <c r="B7" s="542"/>
      <c r="C7" s="543"/>
      <c r="D7" s="103" t="s">
        <v>164</v>
      </c>
      <c r="E7" s="104"/>
      <c r="F7" s="105"/>
      <c r="G7" s="106"/>
      <c r="H7" s="107"/>
      <c r="I7" s="100" t="str">
        <f t="shared" ref="I7" si="0">IFERROR((VLOOKUP(G7,S$6:T$8,2,FALSE)),"")</f>
        <v/>
      </c>
      <c r="J7" s="101"/>
      <c r="K7" s="102" t="str">
        <f>IFERROR((F7*I7*J7),"")</f>
        <v/>
      </c>
      <c r="L7" s="97" t="str">
        <f t="shared" ref="L7:L9" si="1">IFERROR(((F7*I7)*J7)*(1-H7),"")</f>
        <v/>
      </c>
      <c r="M7" s="97" t="str">
        <f t="shared" ref="M7:M9" si="2">IFERROR((K7/12),"")</f>
        <v/>
      </c>
      <c r="N7" s="557"/>
      <c r="O7" s="80"/>
      <c r="P7" s="34"/>
      <c r="Q7" s="34"/>
      <c r="R7" s="34"/>
      <c r="S7" s="80" t="s">
        <v>198</v>
      </c>
      <c r="T7" s="80">
        <v>0.8</v>
      </c>
      <c r="U7" s="34"/>
      <c r="V7" s="34"/>
      <c r="W7" s="80"/>
      <c r="X7" s="86">
        <v>185</v>
      </c>
      <c r="Y7" s="86">
        <v>2860</v>
      </c>
      <c r="Z7" s="86">
        <v>2795</v>
      </c>
      <c r="AA7" s="162">
        <f>(Y7-Z7)/Y7</f>
        <v>2.2727272727272728E-2</v>
      </c>
    </row>
    <row r="8" spans="1:27" ht="13.95" customHeight="1" x14ac:dyDescent="0.3">
      <c r="A8" s="34"/>
      <c r="B8" s="550">
        <v>46175</v>
      </c>
      <c r="C8" s="551"/>
      <c r="D8" s="109" t="s">
        <v>154</v>
      </c>
      <c r="E8" s="110" t="s">
        <v>199</v>
      </c>
      <c r="F8" s="111">
        <v>141</v>
      </c>
      <c r="G8" s="112" t="s">
        <v>192</v>
      </c>
      <c r="H8" s="113">
        <v>0.18</v>
      </c>
      <c r="I8" s="114">
        <f>IFERROR((VLOOKUP(G8,S$6:T$8,2,FALSE)),"")</f>
        <v>0.5</v>
      </c>
      <c r="J8" s="101">
        <v>1.35</v>
      </c>
      <c r="K8" s="115">
        <f t="shared" ref="K8:K61" si="3">IFERROR((F8*I8*J8),"")</f>
        <v>95.175000000000011</v>
      </c>
      <c r="L8" s="111">
        <f t="shared" si="1"/>
        <v>78.043500000000009</v>
      </c>
      <c r="M8" s="111">
        <f>IFERROR((K8/6),"")</f>
        <v>15.862500000000002</v>
      </c>
      <c r="N8" s="554">
        <f>SUM(L8:L9)</f>
        <v>78.043500000000009</v>
      </c>
      <c r="O8" s="163"/>
      <c r="P8" s="34"/>
      <c r="Q8" s="34"/>
      <c r="R8" s="34"/>
      <c r="S8" s="80" t="s">
        <v>200</v>
      </c>
      <c r="T8" s="80">
        <v>2.5</v>
      </c>
      <c r="U8" s="161">
        <v>3</v>
      </c>
      <c r="V8" s="34"/>
      <c r="W8" s="80"/>
      <c r="X8" s="86">
        <v>180</v>
      </c>
      <c r="Y8" s="86">
        <v>3025</v>
      </c>
      <c r="Z8" s="86">
        <v>2935</v>
      </c>
      <c r="AA8" s="162">
        <f>(Y8-Z8)/Y8</f>
        <v>2.9752066115702479E-2</v>
      </c>
    </row>
    <row r="9" spans="1:27" x14ac:dyDescent="0.3">
      <c r="A9" s="34"/>
      <c r="B9" s="552"/>
      <c r="C9" s="553"/>
      <c r="D9" s="116" t="s">
        <v>164</v>
      </c>
      <c r="E9" s="117"/>
      <c r="F9" s="118"/>
      <c r="G9" s="112"/>
      <c r="H9" s="119"/>
      <c r="I9" s="120" t="str">
        <f t="shared" ref="I9:I86" si="4">IFERROR((VLOOKUP(G9,S$6:T$8,2,FALSE)),"")</f>
        <v/>
      </c>
      <c r="J9" s="101"/>
      <c r="K9" s="115" t="str">
        <f t="shared" si="3"/>
        <v/>
      </c>
      <c r="L9" s="111" t="str">
        <f t="shared" si="1"/>
        <v/>
      </c>
      <c r="M9" s="111" t="str">
        <f t="shared" si="2"/>
        <v/>
      </c>
      <c r="N9" s="555"/>
      <c r="O9" s="164"/>
      <c r="P9" s="34"/>
      <c r="Q9" s="34"/>
      <c r="R9" s="34"/>
      <c r="S9" s="161"/>
      <c r="T9" s="34"/>
      <c r="U9" s="34"/>
      <c r="V9" s="34"/>
      <c r="W9" s="80"/>
      <c r="X9" s="86">
        <v>175</v>
      </c>
      <c r="Y9" s="86">
        <v>2535</v>
      </c>
      <c r="Z9" s="86">
        <v>2430</v>
      </c>
      <c r="AA9" s="162">
        <f>(Y9-Z9)/Y9</f>
        <v>4.142011834319527E-2</v>
      </c>
    </row>
    <row r="10" spans="1:27" x14ac:dyDescent="0.3">
      <c r="A10" s="34"/>
      <c r="B10" s="540">
        <v>46176</v>
      </c>
      <c r="C10" s="541"/>
      <c r="D10" s="95" t="s">
        <v>154</v>
      </c>
      <c r="E10" s="96" t="s">
        <v>199</v>
      </c>
      <c r="F10" s="97">
        <v>32</v>
      </c>
      <c r="G10" s="98" t="s">
        <v>192</v>
      </c>
      <c r="H10" s="99">
        <v>0.18</v>
      </c>
      <c r="I10" s="100">
        <f t="shared" si="4"/>
        <v>0.5</v>
      </c>
      <c r="J10" s="101">
        <v>1.35</v>
      </c>
      <c r="K10" s="102">
        <f t="shared" si="3"/>
        <v>21.6</v>
      </c>
      <c r="L10" s="97">
        <f t="shared" ref="L10:L61" si="5">IFERROR(((F10*I10)*J10)*(1-H10),"")</f>
        <v>17.712000000000003</v>
      </c>
      <c r="M10" s="97">
        <f t="shared" ref="M10:M61" si="6">IFERROR((K10/12),"")</f>
        <v>1.8</v>
      </c>
      <c r="N10" s="558">
        <f>SUM(L10:L11)</f>
        <v>17.712000000000003</v>
      </c>
      <c r="O10" s="165"/>
      <c r="P10" s="34"/>
      <c r="Q10" s="34"/>
      <c r="R10" s="34"/>
      <c r="S10" s="161"/>
      <c r="T10" s="34"/>
      <c r="U10" s="34"/>
      <c r="V10" s="34"/>
      <c r="W10" s="80"/>
      <c r="X10" s="80"/>
      <c r="Y10" s="86">
        <v>2695</v>
      </c>
      <c r="Z10" s="86">
        <v>2555</v>
      </c>
      <c r="AA10" s="162">
        <f t="shared" ref="AA10:AA14" si="7">(Y10-Z10)/Y10</f>
        <v>5.1948051948051951E-2</v>
      </c>
    </row>
    <row r="11" spans="1:27" x14ac:dyDescent="0.3">
      <c r="A11" s="34"/>
      <c r="B11" s="542"/>
      <c r="C11" s="543"/>
      <c r="D11" s="103" t="s">
        <v>164</v>
      </c>
      <c r="E11" s="104"/>
      <c r="F11" s="122"/>
      <c r="G11" s="106"/>
      <c r="H11" s="107"/>
      <c r="I11" s="123" t="str">
        <f t="shared" si="4"/>
        <v/>
      </c>
      <c r="J11" s="101"/>
      <c r="K11" s="102" t="str">
        <f t="shared" si="3"/>
        <v/>
      </c>
      <c r="L11" s="105" t="str">
        <f t="shared" si="5"/>
        <v/>
      </c>
      <c r="M11" s="122" t="str">
        <f t="shared" si="6"/>
        <v/>
      </c>
      <c r="N11" s="559"/>
      <c r="O11" s="166"/>
      <c r="P11" s="34"/>
      <c r="Q11" s="34"/>
      <c r="R11" s="34"/>
      <c r="S11" s="161"/>
      <c r="T11" s="34"/>
      <c r="U11" s="34"/>
      <c r="V11" s="34"/>
      <c r="W11" s="80"/>
      <c r="X11" s="80"/>
      <c r="Y11" s="86">
        <v>2530</v>
      </c>
      <c r="Z11" s="86">
        <v>2460</v>
      </c>
      <c r="AA11" s="162">
        <f>(Y11-Z11)/Y11</f>
        <v>2.766798418972332E-2</v>
      </c>
    </row>
    <row r="12" spans="1:27" x14ac:dyDescent="0.3">
      <c r="A12" s="34"/>
      <c r="B12" s="550">
        <v>46177</v>
      </c>
      <c r="C12" s="551"/>
      <c r="D12" s="109" t="s">
        <v>154</v>
      </c>
      <c r="E12" s="110" t="s">
        <v>201</v>
      </c>
      <c r="F12" s="111">
        <v>282</v>
      </c>
      <c r="G12" s="112" t="s">
        <v>192</v>
      </c>
      <c r="H12" s="113">
        <v>0.17</v>
      </c>
      <c r="I12" s="114">
        <f t="shared" si="4"/>
        <v>0.5</v>
      </c>
      <c r="J12" s="101">
        <v>1.35</v>
      </c>
      <c r="K12" s="115">
        <f t="shared" si="3"/>
        <v>190.35000000000002</v>
      </c>
      <c r="L12" s="111">
        <f t="shared" si="5"/>
        <v>157.9905</v>
      </c>
      <c r="M12" s="111">
        <f t="shared" si="6"/>
        <v>15.862500000000002</v>
      </c>
      <c r="N12" s="554">
        <f t="shared" ref="N12" si="8">SUM(L12:L13)</f>
        <v>157.9905</v>
      </c>
      <c r="O12" s="163"/>
      <c r="P12" s="34"/>
      <c r="Q12" s="34"/>
      <c r="R12" s="34"/>
      <c r="S12" s="34"/>
      <c r="T12" s="34"/>
      <c r="U12" s="34"/>
      <c r="V12" s="34"/>
      <c r="W12" s="80"/>
      <c r="X12" s="80"/>
      <c r="Y12" s="86">
        <v>2130</v>
      </c>
      <c r="Z12" s="86">
        <v>2075</v>
      </c>
      <c r="AA12" s="162">
        <f t="shared" si="7"/>
        <v>2.5821596244131457E-2</v>
      </c>
    </row>
    <row r="13" spans="1:27" x14ac:dyDescent="0.3">
      <c r="A13" s="34"/>
      <c r="B13" s="552"/>
      <c r="C13" s="553"/>
      <c r="D13" s="116" t="s">
        <v>164</v>
      </c>
      <c r="E13" s="117"/>
      <c r="F13" s="118"/>
      <c r="G13" s="124"/>
      <c r="H13" s="119"/>
      <c r="I13" s="120" t="str">
        <f t="shared" si="4"/>
        <v/>
      </c>
      <c r="J13" s="101"/>
      <c r="K13" s="115" t="str">
        <f t="shared" si="3"/>
        <v/>
      </c>
      <c r="L13" s="121" t="str">
        <f t="shared" si="5"/>
        <v/>
      </c>
      <c r="M13" s="118" t="str">
        <f t="shared" si="6"/>
        <v/>
      </c>
      <c r="N13" s="555"/>
      <c r="O13" s="163"/>
      <c r="P13" s="34"/>
      <c r="Q13" s="34"/>
      <c r="R13" s="34"/>
      <c r="S13" s="34"/>
      <c r="T13" s="34"/>
      <c r="U13" s="34"/>
      <c r="V13" s="34"/>
      <c r="W13" s="34"/>
      <c r="X13" s="34"/>
      <c r="Y13" s="161">
        <v>2235</v>
      </c>
      <c r="Z13" s="161">
        <v>2185</v>
      </c>
      <c r="AA13" s="159">
        <f t="shared" si="7"/>
        <v>2.2371364653243849E-2</v>
      </c>
    </row>
    <row r="14" spans="1:27" x14ac:dyDescent="0.3">
      <c r="A14" s="34"/>
      <c r="B14" s="540">
        <v>46252</v>
      </c>
      <c r="C14" s="541"/>
      <c r="D14" s="95" t="s">
        <v>154</v>
      </c>
      <c r="E14" s="96" t="s">
        <v>202</v>
      </c>
      <c r="F14" s="97">
        <v>62</v>
      </c>
      <c r="G14" s="98" t="s">
        <v>192</v>
      </c>
      <c r="H14" s="99">
        <v>0.12</v>
      </c>
      <c r="I14" s="100">
        <f t="shared" si="4"/>
        <v>0.5</v>
      </c>
      <c r="J14" s="101">
        <v>1.39</v>
      </c>
      <c r="K14" s="102">
        <f>IFERROR((F14*I14*J14),"")</f>
        <v>43.089999999999996</v>
      </c>
      <c r="L14" s="97">
        <f t="shared" si="5"/>
        <v>37.919199999999996</v>
      </c>
      <c r="M14" s="97">
        <f>IFERROR((K14/12),"")</f>
        <v>3.5908333333333329</v>
      </c>
      <c r="N14" s="558">
        <f t="shared" ref="N14" si="9">SUM(L14:L15)</f>
        <v>37.919199999999996</v>
      </c>
      <c r="O14" s="80" t="s">
        <v>203</v>
      </c>
      <c r="P14" s="34"/>
      <c r="Q14" s="34"/>
      <c r="R14" s="34"/>
      <c r="S14" s="161">
        <f>16*4</f>
        <v>64</v>
      </c>
      <c r="T14" s="34"/>
      <c r="U14" s="34"/>
      <c r="V14" s="34"/>
      <c r="W14" s="34"/>
      <c r="X14" s="34"/>
      <c r="Y14" s="161">
        <v>2450</v>
      </c>
      <c r="Z14" s="161">
        <v>2415</v>
      </c>
      <c r="AA14" s="159">
        <f t="shared" si="7"/>
        <v>1.4285714285714285E-2</v>
      </c>
    </row>
    <row r="15" spans="1:27" x14ac:dyDescent="0.3">
      <c r="A15" s="34"/>
      <c r="B15" s="542"/>
      <c r="C15" s="543"/>
      <c r="D15" s="103" t="s">
        <v>164</v>
      </c>
      <c r="E15" s="125"/>
      <c r="F15" s="122"/>
      <c r="G15" s="106"/>
      <c r="H15" s="107"/>
      <c r="I15" s="123" t="str">
        <f t="shared" si="4"/>
        <v/>
      </c>
      <c r="J15" s="101"/>
      <c r="K15" s="126" t="str">
        <f t="shared" si="3"/>
        <v/>
      </c>
      <c r="L15" s="105" t="str">
        <f t="shared" si="5"/>
        <v/>
      </c>
      <c r="M15" s="122" t="str">
        <f t="shared" si="6"/>
        <v/>
      </c>
      <c r="N15" s="559"/>
      <c r="O15" s="80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x14ac:dyDescent="0.3">
      <c r="A16" s="34"/>
      <c r="B16" s="550">
        <v>46253</v>
      </c>
      <c r="C16" s="551"/>
      <c r="D16" s="109" t="s">
        <v>154</v>
      </c>
      <c r="E16" s="110" t="s">
        <v>202</v>
      </c>
      <c r="F16" s="111">
        <v>463</v>
      </c>
      <c r="G16" s="112" t="s">
        <v>192</v>
      </c>
      <c r="H16" s="113">
        <v>0.12</v>
      </c>
      <c r="I16" s="114">
        <f t="shared" si="4"/>
        <v>0.5</v>
      </c>
      <c r="J16" s="101">
        <v>1.39</v>
      </c>
      <c r="K16" s="115">
        <f t="shared" si="3"/>
        <v>321.78499999999997</v>
      </c>
      <c r="L16" s="111">
        <f>IFERROR(((F16*I16)*J16)*(1-H16),"")</f>
        <v>283.17079999999999</v>
      </c>
      <c r="M16" s="111">
        <f t="shared" si="6"/>
        <v>26.815416666666664</v>
      </c>
      <c r="N16" s="554">
        <f>SUM(L16:L17)</f>
        <v>283.17079999999999</v>
      </c>
      <c r="O16" s="163" t="s">
        <v>204</v>
      </c>
      <c r="P16" s="34"/>
      <c r="Q16" s="34"/>
      <c r="R16" s="34"/>
      <c r="S16" s="161">
        <f>S14/1.4</f>
        <v>45.714285714285715</v>
      </c>
      <c r="T16" s="34"/>
      <c r="U16" s="34"/>
      <c r="V16" s="34"/>
      <c r="W16" s="34"/>
      <c r="X16" s="34"/>
      <c r="Y16" s="34"/>
      <c r="Z16" s="34"/>
      <c r="AA16" s="34"/>
    </row>
    <row r="17" spans="1:27" x14ac:dyDescent="0.3">
      <c r="A17" s="34"/>
      <c r="B17" s="552"/>
      <c r="C17" s="553"/>
      <c r="D17" s="116" t="s">
        <v>164</v>
      </c>
      <c r="E17" s="127"/>
      <c r="F17" s="118"/>
      <c r="G17" s="124"/>
      <c r="H17" s="119"/>
      <c r="I17" s="120" t="str">
        <f t="shared" si="4"/>
        <v/>
      </c>
      <c r="J17" s="101"/>
      <c r="K17" s="128" t="str">
        <f t="shared" si="3"/>
        <v/>
      </c>
      <c r="L17" s="121" t="str">
        <f t="shared" si="5"/>
        <v/>
      </c>
      <c r="M17" s="118" t="str">
        <f t="shared" si="6"/>
        <v/>
      </c>
      <c r="N17" s="555"/>
      <c r="O17" s="163" t="s">
        <v>205</v>
      </c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x14ac:dyDescent="0.3">
      <c r="A18" s="34"/>
      <c r="B18" s="540">
        <v>46254</v>
      </c>
      <c r="C18" s="541"/>
      <c r="D18" s="95" t="s">
        <v>154</v>
      </c>
      <c r="E18" s="96" t="s">
        <v>202</v>
      </c>
      <c r="F18" s="97">
        <v>539</v>
      </c>
      <c r="G18" s="98" t="s">
        <v>192</v>
      </c>
      <c r="H18" s="99">
        <v>0.1</v>
      </c>
      <c r="I18" s="100">
        <f>IFERROR((VLOOKUP(G18,S$6:T$8,2,FALSE)),"")</f>
        <v>0.5</v>
      </c>
      <c r="J18" s="101">
        <v>1.39</v>
      </c>
      <c r="K18" s="102">
        <f t="shared" si="3"/>
        <v>374.60499999999996</v>
      </c>
      <c r="L18" s="97">
        <f>IFERROR(((F18*I18)*J18)*(1-H18),"")</f>
        <v>337.14449999999999</v>
      </c>
      <c r="M18" s="97">
        <f>IFERROR((K18/12),"")</f>
        <v>31.217083333333331</v>
      </c>
      <c r="N18" s="558">
        <f>SUM(L18:L19)-V20</f>
        <v>337.14449999999999</v>
      </c>
      <c r="O18" s="80" t="s">
        <v>204</v>
      </c>
      <c r="P18" s="34"/>
      <c r="Q18" s="34"/>
      <c r="R18" s="34"/>
      <c r="S18" s="34"/>
      <c r="T18" s="159"/>
      <c r="U18" s="34"/>
      <c r="V18" s="161">
        <f>(T8*3)*(1-12%)</f>
        <v>6.6</v>
      </c>
      <c r="W18" s="161" t="s">
        <v>206</v>
      </c>
      <c r="X18" s="34"/>
      <c r="Y18" s="34"/>
      <c r="Z18" s="34"/>
      <c r="AA18" s="34"/>
    </row>
    <row r="19" spans="1:27" x14ac:dyDescent="0.3">
      <c r="A19" s="34"/>
      <c r="B19" s="542"/>
      <c r="C19" s="543"/>
      <c r="D19" s="129" t="s">
        <v>164</v>
      </c>
      <c r="E19" s="130"/>
      <c r="F19" s="131"/>
      <c r="G19" s="132"/>
      <c r="H19" s="133"/>
      <c r="I19" s="134" t="str">
        <f t="shared" si="4"/>
        <v/>
      </c>
      <c r="J19" s="101"/>
      <c r="K19" s="135" t="str">
        <f t="shared" si="3"/>
        <v/>
      </c>
      <c r="L19" s="136" t="str">
        <f t="shared" si="5"/>
        <v/>
      </c>
      <c r="M19" s="131" t="str">
        <f t="shared" si="6"/>
        <v/>
      </c>
      <c r="N19" s="560"/>
      <c r="O19" s="80" t="s">
        <v>207</v>
      </c>
      <c r="P19" s="34"/>
      <c r="Q19" s="34"/>
      <c r="R19" s="34"/>
      <c r="S19" s="34"/>
      <c r="T19" s="167"/>
      <c r="U19" s="34"/>
      <c r="V19" s="34"/>
      <c r="W19" s="34"/>
      <c r="X19" s="34"/>
      <c r="Y19" s="34"/>
      <c r="Z19" s="34"/>
      <c r="AA19" s="34"/>
    </row>
    <row r="20" spans="1:27" x14ac:dyDescent="0.3">
      <c r="A20" s="34"/>
      <c r="B20" s="540">
        <v>46255</v>
      </c>
      <c r="C20" s="541"/>
      <c r="D20" s="95" t="s">
        <v>154</v>
      </c>
      <c r="E20" s="96" t="s">
        <v>202</v>
      </c>
      <c r="F20" s="97">
        <v>409</v>
      </c>
      <c r="G20" s="98" t="s">
        <v>192</v>
      </c>
      <c r="H20" s="99">
        <v>0.1</v>
      </c>
      <c r="I20" s="100">
        <f>IFERROR((VLOOKUP(G20,S$6:T$8,2,FALSE)),"")</f>
        <v>0.5</v>
      </c>
      <c r="J20" s="101">
        <v>1.39</v>
      </c>
      <c r="K20" s="102">
        <f t="shared" ref="K20:K21" si="10">IFERROR((F20*I20*J20),"")</f>
        <v>284.255</v>
      </c>
      <c r="L20" s="97">
        <f>IFERROR(((F20*I20)*J20)*(1-H20),"")</f>
        <v>255.8295</v>
      </c>
      <c r="M20" s="97">
        <f>IFERROR(((K20+K21)/12),"")</f>
        <v>26.583749999999998</v>
      </c>
      <c r="N20" s="558">
        <f>SUM(L20:L21)</f>
        <v>287.10449999999997</v>
      </c>
      <c r="O20" s="80" t="str">
        <f>'Crushing Down Time Hours'!G9</f>
        <v>isitrahat jumat 11-13, 16:20-16:55 Perbaikan Cone Crusher</v>
      </c>
      <c r="P20" s="34"/>
      <c r="Q20" s="34"/>
      <c r="R20" s="34"/>
      <c r="S20" s="159"/>
      <c r="T20" s="167"/>
      <c r="U20" s="34"/>
      <c r="V20" s="34"/>
      <c r="W20" s="34"/>
      <c r="X20" s="34"/>
      <c r="Y20" s="34"/>
      <c r="Z20" s="34"/>
      <c r="AA20" s="34"/>
    </row>
    <row r="21" spans="1:27" x14ac:dyDescent="0.3">
      <c r="A21" s="34"/>
      <c r="B21" s="542"/>
      <c r="C21" s="543"/>
      <c r="D21" s="129" t="s">
        <v>164</v>
      </c>
      <c r="E21" s="130"/>
      <c r="F21" s="131">
        <v>10</v>
      </c>
      <c r="G21" s="132" t="s">
        <v>200</v>
      </c>
      <c r="H21" s="133">
        <v>0.1</v>
      </c>
      <c r="I21" s="134">
        <f t="shared" ref="I21" si="11">IFERROR((VLOOKUP(G21,S$6:T$8,2,FALSE)),"")</f>
        <v>2.5</v>
      </c>
      <c r="J21" s="101">
        <v>1.39</v>
      </c>
      <c r="K21" s="135">
        <f t="shared" si="10"/>
        <v>34.75</v>
      </c>
      <c r="L21" s="136">
        <f t="shared" ref="L21" si="12">IFERROR(((F21*I21)*J21)*(1-H21),"")</f>
        <v>31.275000000000002</v>
      </c>
      <c r="M21" s="131"/>
      <c r="N21" s="560"/>
      <c r="O21" s="80"/>
      <c r="P21" s="34"/>
      <c r="Q21" s="34"/>
      <c r="R21" s="34"/>
      <c r="S21" s="159"/>
      <c r="T21" s="168"/>
      <c r="U21" s="34"/>
      <c r="V21" s="34"/>
      <c r="W21" s="34"/>
      <c r="X21" s="34"/>
      <c r="Y21" s="34"/>
      <c r="Z21" s="34"/>
      <c r="AA21" s="34"/>
    </row>
    <row r="22" spans="1:27" x14ac:dyDescent="0.3">
      <c r="A22" s="34"/>
      <c r="B22" s="540">
        <v>46256</v>
      </c>
      <c r="C22" s="541"/>
      <c r="D22" s="95" t="s">
        <v>154</v>
      </c>
      <c r="E22" s="96" t="s">
        <v>202</v>
      </c>
      <c r="F22" s="97">
        <v>315</v>
      </c>
      <c r="G22" s="98" t="s">
        <v>192</v>
      </c>
      <c r="H22" s="99">
        <v>0.1</v>
      </c>
      <c r="I22" s="100">
        <f>IFERROR((VLOOKUP(G22,S$6:T$8,2,FALSE)),"")</f>
        <v>0.5</v>
      </c>
      <c r="J22" s="101">
        <v>1.39</v>
      </c>
      <c r="K22" s="102">
        <f t="shared" si="3"/>
        <v>218.92499999999998</v>
      </c>
      <c r="L22" s="97">
        <f t="shared" si="5"/>
        <v>197.0325</v>
      </c>
      <c r="M22" s="137">
        <f t="shared" si="6"/>
        <v>18.243749999999999</v>
      </c>
      <c r="N22" s="558">
        <f>SUM(L22:L23)-V24</f>
        <v>197.0325</v>
      </c>
      <c r="O22" s="169" t="str">
        <f>'Crushing Down Time Hours'!G10</f>
        <v xml:space="preserve">Material Habis hanya running 9 Jam </v>
      </c>
      <c r="P22" s="34"/>
      <c r="Q22" s="160"/>
      <c r="R22" s="34"/>
      <c r="S22" s="159"/>
      <c r="T22" s="167"/>
      <c r="U22" s="34"/>
      <c r="V22" s="34"/>
      <c r="W22" s="34"/>
      <c r="X22" s="34"/>
      <c r="Y22" s="34"/>
      <c r="Z22" s="34"/>
      <c r="AA22" s="34"/>
    </row>
    <row r="23" spans="1:27" x14ac:dyDescent="0.3">
      <c r="A23" s="34"/>
      <c r="B23" s="542"/>
      <c r="C23" s="543"/>
      <c r="D23" s="103" t="s">
        <v>164</v>
      </c>
      <c r="E23" s="125"/>
      <c r="F23" s="122"/>
      <c r="G23" s="106"/>
      <c r="H23" s="107"/>
      <c r="I23" s="123" t="str">
        <f t="shared" si="4"/>
        <v/>
      </c>
      <c r="J23" s="101"/>
      <c r="K23" s="126" t="str">
        <f t="shared" si="3"/>
        <v/>
      </c>
      <c r="L23" s="105" t="str">
        <f t="shared" si="5"/>
        <v/>
      </c>
      <c r="M23" s="138" t="str">
        <f t="shared" si="6"/>
        <v/>
      </c>
      <c r="N23" s="559"/>
      <c r="O23" s="80"/>
      <c r="P23" s="170"/>
      <c r="Q23" s="34"/>
      <c r="R23" s="34"/>
      <c r="S23" s="34"/>
      <c r="T23" s="167"/>
      <c r="U23" s="34"/>
      <c r="V23" s="34"/>
      <c r="W23" s="34"/>
      <c r="X23" s="34"/>
      <c r="Y23" s="34"/>
      <c r="Z23" s="34"/>
      <c r="AA23" s="34"/>
    </row>
    <row r="24" spans="1:27" x14ac:dyDescent="0.3">
      <c r="A24" s="34"/>
      <c r="B24" s="540">
        <v>46257</v>
      </c>
      <c r="C24" s="541"/>
      <c r="D24" s="95" t="s">
        <v>154</v>
      </c>
      <c r="E24" s="96"/>
      <c r="F24" s="97"/>
      <c r="G24" s="98"/>
      <c r="H24" s="99"/>
      <c r="I24" s="100" t="str">
        <f t="shared" si="4"/>
        <v/>
      </c>
      <c r="J24" s="101"/>
      <c r="K24" s="102" t="str">
        <f t="shared" si="3"/>
        <v/>
      </c>
      <c r="L24" s="97" t="str">
        <f t="shared" si="5"/>
        <v/>
      </c>
      <c r="M24" s="97" t="str">
        <f t="shared" si="6"/>
        <v/>
      </c>
      <c r="N24" s="558">
        <f>SUM(L24:L25)-V26</f>
        <v>0</v>
      </c>
      <c r="O24" s="80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x14ac:dyDescent="0.3">
      <c r="A25" s="34"/>
      <c r="B25" s="542"/>
      <c r="C25" s="543"/>
      <c r="D25" s="103" t="s">
        <v>164</v>
      </c>
      <c r="E25" s="125"/>
      <c r="F25" s="122"/>
      <c r="G25" s="106"/>
      <c r="H25" s="99"/>
      <c r="I25" s="123" t="str">
        <f t="shared" si="4"/>
        <v/>
      </c>
      <c r="J25" s="101"/>
      <c r="K25" s="126" t="str">
        <f t="shared" si="3"/>
        <v/>
      </c>
      <c r="L25" s="105" t="str">
        <f t="shared" si="5"/>
        <v/>
      </c>
      <c r="M25" s="122" t="str">
        <f t="shared" si="6"/>
        <v/>
      </c>
      <c r="N25" s="559"/>
      <c r="O25" s="80"/>
      <c r="P25" s="34"/>
      <c r="Q25" s="34"/>
      <c r="R25" s="34"/>
      <c r="S25" s="34"/>
      <c r="T25" s="159"/>
      <c r="U25" s="34"/>
      <c r="V25" s="34"/>
      <c r="W25" s="34"/>
      <c r="X25" s="34"/>
      <c r="Y25" s="34"/>
      <c r="Z25" s="34"/>
      <c r="AA25" s="34"/>
    </row>
    <row r="26" spans="1:27" x14ac:dyDescent="0.3">
      <c r="A26" s="34"/>
      <c r="B26" s="540">
        <v>46258</v>
      </c>
      <c r="C26" s="541"/>
      <c r="D26" s="95" t="s">
        <v>154</v>
      </c>
      <c r="E26" s="96" t="s">
        <v>202</v>
      </c>
      <c r="F26" s="97">
        <v>234</v>
      </c>
      <c r="G26" s="98" t="s">
        <v>192</v>
      </c>
      <c r="H26" s="99">
        <v>0.1</v>
      </c>
      <c r="I26" s="100">
        <f t="shared" si="4"/>
        <v>0.5</v>
      </c>
      <c r="J26" s="101">
        <v>1.39</v>
      </c>
      <c r="K26" s="102">
        <f t="shared" si="3"/>
        <v>162.63</v>
      </c>
      <c r="L26" s="97">
        <f t="shared" si="5"/>
        <v>146.36699999999999</v>
      </c>
      <c r="M26" s="97">
        <f t="shared" si="6"/>
        <v>13.5525</v>
      </c>
      <c r="N26" s="558">
        <f>SUM(L26:L27)-V28</f>
        <v>162.00449999999998</v>
      </c>
      <c r="O26" s="80" t="str">
        <f>'Crushing Down Time Hours'!G12</f>
        <v>istirahat jam 12-13, material habis dan selesai jam 17:30</v>
      </c>
      <c r="P26" s="160"/>
      <c r="Q26" s="170"/>
      <c r="R26" s="34"/>
      <c r="S26" s="34"/>
      <c r="T26" s="159"/>
      <c r="U26" s="34"/>
      <c r="V26" s="34"/>
      <c r="W26" s="34"/>
      <c r="X26" s="34"/>
      <c r="Y26" s="34"/>
      <c r="Z26" s="34"/>
      <c r="AA26" s="34"/>
    </row>
    <row r="27" spans="1:27" x14ac:dyDescent="0.3">
      <c r="A27" s="34"/>
      <c r="B27" s="542"/>
      <c r="C27" s="543"/>
      <c r="D27" s="103" t="s">
        <v>164</v>
      </c>
      <c r="E27" s="125" t="s">
        <v>199</v>
      </c>
      <c r="F27" s="122">
        <v>5</v>
      </c>
      <c r="G27" s="106" t="s">
        <v>200</v>
      </c>
      <c r="H27" s="107">
        <v>0.1</v>
      </c>
      <c r="I27" s="123">
        <f t="shared" si="4"/>
        <v>2.5</v>
      </c>
      <c r="J27" s="101">
        <v>1.39</v>
      </c>
      <c r="K27" s="108">
        <f t="shared" si="3"/>
        <v>17.375</v>
      </c>
      <c r="L27" s="105">
        <f t="shared" si="5"/>
        <v>15.637500000000001</v>
      </c>
      <c r="M27" s="122">
        <f t="shared" si="6"/>
        <v>1.4479166666666667</v>
      </c>
      <c r="N27" s="559"/>
      <c r="O27" s="80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x14ac:dyDescent="0.3">
      <c r="A28" s="34"/>
      <c r="B28" s="540">
        <v>46259</v>
      </c>
      <c r="C28" s="541"/>
      <c r="D28" s="95" t="s">
        <v>154</v>
      </c>
      <c r="E28" s="96"/>
      <c r="F28" s="97"/>
      <c r="G28" s="98"/>
      <c r="H28" s="99"/>
      <c r="I28" s="100" t="str">
        <f t="shared" si="4"/>
        <v/>
      </c>
      <c r="J28" s="101"/>
      <c r="K28" s="102" t="str">
        <f t="shared" si="3"/>
        <v/>
      </c>
      <c r="L28" s="97" t="str">
        <f>IFERROR(((F28*I28)*J28)*(1-H28),"")</f>
        <v/>
      </c>
      <c r="M28" s="97" t="str">
        <f t="shared" si="6"/>
        <v/>
      </c>
      <c r="N28" s="556">
        <f>SUM(L28:L29)</f>
        <v>0</v>
      </c>
      <c r="O28" s="80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x14ac:dyDescent="0.3">
      <c r="A29" s="34"/>
      <c r="B29" s="542"/>
      <c r="C29" s="543"/>
      <c r="D29" s="103" t="s">
        <v>164</v>
      </c>
      <c r="E29" s="125"/>
      <c r="F29" s="122"/>
      <c r="G29" s="106"/>
      <c r="H29" s="107"/>
      <c r="I29" s="100" t="str">
        <f t="shared" si="4"/>
        <v/>
      </c>
      <c r="J29" s="101"/>
      <c r="K29" s="102" t="str">
        <f t="shared" si="3"/>
        <v/>
      </c>
      <c r="L29" s="105" t="str">
        <f t="shared" si="5"/>
        <v/>
      </c>
      <c r="M29" s="122" t="str">
        <f t="shared" si="6"/>
        <v/>
      </c>
      <c r="N29" s="557"/>
      <c r="O29" s="80"/>
      <c r="P29" s="170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x14ac:dyDescent="0.3">
      <c r="A30" s="34"/>
      <c r="B30" s="540">
        <v>46260</v>
      </c>
      <c r="C30" s="541"/>
      <c r="D30" s="95" t="s">
        <v>154</v>
      </c>
      <c r="E30" s="96"/>
      <c r="F30" s="97"/>
      <c r="G30" s="98"/>
      <c r="H30" s="99"/>
      <c r="I30" s="100" t="str">
        <f t="shared" si="4"/>
        <v/>
      </c>
      <c r="J30" s="101"/>
      <c r="K30" s="102" t="str">
        <f t="shared" si="3"/>
        <v/>
      </c>
      <c r="L30" s="97" t="str">
        <f t="shared" si="5"/>
        <v/>
      </c>
      <c r="M30" s="97" t="str">
        <f t="shared" si="6"/>
        <v/>
      </c>
      <c r="N30" s="556">
        <f t="shared" ref="N30" si="13">SUM(L30:L31)</f>
        <v>0</v>
      </c>
      <c r="O30" s="80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x14ac:dyDescent="0.3">
      <c r="A31" s="34"/>
      <c r="B31" s="542"/>
      <c r="C31" s="543"/>
      <c r="D31" s="103" t="s">
        <v>164</v>
      </c>
      <c r="E31" s="125"/>
      <c r="F31" s="122"/>
      <c r="G31" s="106"/>
      <c r="H31" s="107"/>
      <c r="I31" s="100" t="str">
        <f t="shared" si="4"/>
        <v/>
      </c>
      <c r="J31" s="101"/>
      <c r="K31" s="102" t="str">
        <f t="shared" si="3"/>
        <v/>
      </c>
      <c r="L31" s="105" t="str">
        <f t="shared" si="5"/>
        <v/>
      </c>
      <c r="M31" s="122" t="str">
        <f t="shared" si="6"/>
        <v/>
      </c>
      <c r="N31" s="557"/>
      <c r="O31" s="80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22.8" x14ac:dyDescent="0.3">
      <c r="A32" s="34"/>
      <c r="B32" s="540">
        <v>46261</v>
      </c>
      <c r="C32" s="541"/>
      <c r="D32" s="95" t="s">
        <v>154</v>
      </c>
      <c r="E32" s="96" t="s">
        <v>208</v>
      </c>
      <c r="F32" s="97">
        <v>202</v>
      </c>
      <c r="G32" s="98" t="s">
        <v>192</v>
      </c>
      <c r="H32" s="99">
        <v>0.11</v>
      </c>
      <c r="I32" s="100">
        <f t="shared" si="4"/>
        <v>0.5</v>
      </c>
      <c r="J32" s="101">
        <v>1.39</v>
      </c>
      <c r="K32" s="102">
        <f t="shared" si="3"/>
        <v>140.38999999999999</v>
      </c>
      <c r="L32" s="97">
        <f t="shared" si="5"/>
        <v>124.94709999999999</v>
      </c>
      <c r="M32" s="97">
        <f t="shared" si="6"/>
        <v>11.699166666666665</v>
      </c>
      <c r="N32" s="556">
        <f>SUM(L32:L33)</f>
        <v>124.94709999999999</v>
      </c>
      <c r="O32" s="171" t="str">
        <f>'Crushing Down Time Hours'!G15</f>
        <v>Start Crusher jam 10:00, dikarenakan bari loading material jam 08:00, pada jam 15:30-17:15 stop dikarenakan material stuck pada cone crusher</v>
      </c>
      <c r="P32" s="34"/>
      <c r="Q32" s="34"/>
      <c r="R32" s="34"/>
      <c r="S32" s="170"/>
      <c r="T32" s="34"/>
      <c r="U32" s="34"/>
      <c r="V32" s="34"/>
      <c r="W32" s="170"/>
      <c r="X32" s="34"/>
      <c r="Y32" s="34"/>
      <c r="Z32" s="34"/>
      <c r="AA32" s="34"/>
    </row>
    <row r="33" spans="1:27" x14ac:dyDescent="0.3">
      <c r="A33" s="34"/>
      <c r="B33" s="542"/>
      <c r="C33" s="543"/>
      <c r="D33" s="103" t="s">
        <v>164</v>
      </c>
      <c r="E33" s="125"/>
      <c r="F33" s="122"/>
      <c r="G33" s="106"/>
      <c r="H33" s="107"/>
      <c r="I33" s="100" t="str">
        <f t="shared" si="4"/>
        <v/>
      </c>
      <c r="J33" s="101"/>
      <c r="K33" s="102" t="str">
        <f t="shared" si="3"/>
        <v/>
      </c>
      <c r="L33" s="105" t="str">
        <f t="shared" si="5"/>
        <v/>
      </c>
      <c r="M33" s="122" t="str">
        <f t="shared" si="6"/>
        <v/>
      </c>
      <c r="N33" s="557"/>
      <c r="O33" s="80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x14ac:dyDescent="0.3">
      <c r="A34" s="34"/>
      <c r="B34" s="540">
        <v>46262</v>
      </c>
      <c r="C34" s="541"/>
      <c r="D34" s="95" t="s">
        <v>154</v>
      </c>
      <c r="E34" s="96" t="s">
        <v>199</v>
      </c>
      <c r="F34" s="97">
        <v>290</v>
      </c>
      <c r="G34" s="98" t="s">
        <v>192</v>
      </c>
      <c r="H34" s="99">
        <v>0.11</v>
      </c>
      <c r="I34" s="100">
        <f t="shared" si="4"/>
        <v>0.5</v>
      </c>
      <c r="J34" s="101">
        <v>1.3</v>
      </c>
      <c r="K34" s="102">
        <f t="shared" si="3"/>
        <v>188.5</v>
      </c>
      <c r="L34" s="97">
        <f t="shared" si="5"/>
        <v>167.76500000000001</v>
      </c>
      <c r="M34" s="97">
        <f t="shared" si="6"/>
        <v>15.708333333333334</v>
      </c>
      <c r="N34" s="556">
        <f>SUM(L34:L35)</f>
        <v>167.76500000000001</v>
      </c>
      <c r="O34" s="80" t="str">
        <f>'Crushing Down Time Hours'!G16</f>
        <v>Start Crusher jam 08:00, istirahat jam 11:00-13:00</v>
      </c>
      <c r="P34" s="172"/>
      <c r="Q34" s="172"/>
      <c r="R34" s="172"/>
      <c r="S34" s="159"/>
      <c r="T34" s="172"/>
      <c r="U34" s="172"/>
      <c r="V34" s="172"/>
      <c r="W34" s="159"/>
      <c r="X34" s="159"/>
      <c r="Y34" s="34"/>
      <c r="Z34" s="34"/>
      <c r="AA34" s="34"/>
    </row>
    <row r="35" spans="1:27" x14ac:dyDescent="0.3">
      <c r="A35" s="34"/>
      <c r="B35" s="542"/>
      <c r="C35" s="543"/>
      <c r="D35" s="103" t="s">
        <v>164</v>
      </c>
      <c r="E35" s="125"/>
      <c r="F35" s="122"/>
      <c r="G35" s="106"/>
      <c r="H35" s="107"/>
      <c r="I35" s="100" t="str">
        <f t="shared" si="4"/>
        <v/>
      </c>
      <c r="J35" s="101"/>
      <c r="K35" s="102" t="str">
        <f t="shared" si="3"/>
        <v/>
      </c>
      <c r="L35" s="105" t="str">
        <f>IFERROR(((F35*I35)*J35)*(1-H35),"")</f>
        <v/>
      </c>
      <c r="M35" s="122" t="str">
        <f t="shared" si="6"/>
        <v/>
      </c>
      <c r="N35" s="557"/>
      <c r="O35" s="80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x14ac:dyDescent="0.3">
      <c r="A36" s="34"/>
      <c r="B36" s="540">
        <v>46263</v>
      </c>
      <c r="C36" s="541"/>
      <c r="D36" s="95" t="s">
        <v>154</v>
      </c>
      <c r="E36" s="96" t="s">
        <v>199</v>
      </c>
      <c r="F36" s="97">
        <v>411</v>
      </c>
      <c r="G36" s="98" t="s">
        <v>192</v>
      </c>
      <c r="H36" s="99">
        <v>0.1</v>
      </c>
      <c r="I36" s="100">
        <f t="shared" si="4"/>
        <v>0.5</v>
      </c>
      <c r="J36" s="101">
        <v>1.3</v>
      </c>
      <c r="K36" s="102">
        <f t="shared" si="3"/>
        <v>267.15000000000003</v>
      </c>
      <c r="L36" s="97">
        <f t="shared" si="5"/>
        <v>240.43500000000003</v>
      </c>
      <c r="M36" s="97">
        <f t="shared" ref="M36:M37" si="14">IFERROR((K36/12),"")</f>
        <v>22.262500000000003</v>
      </c>
      <c r="N36" s="556">
        <f>SUM(L36:L37)</f>
        <v>240.43500000000003</v>
      </c>
      <c r="O36" s="567" t="str">
        <f>'Crushing Down Time Hours'!G17</f>
        <v>istirahat jam 12-13, 14:00-15:00 ada loading material dari mining</v>
      </c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x14ac:dyDescent="0.3">
      <c r="A37" s="34"/>
      <c r="B37" s="542"/>
      <c r="C37" s="543"/>
      <c r="D37" s="103" t="s">
        <v>164</v>
      </c>
      <c r="E37" s="125"/>
      <c r="F37" s="122"/>
      <c r="G37" s="106"/>
      <c r="H37" s="107"/>
      <c r="I37" s="100" t="str">
        <f t="shared" si="4"/>
        <v/>
      </c>
      <c r="J37" s="101"/>
      <c r="K37" s="102" t="str">
        <f t="shared" si="3"/>
        <v/>
      </c>
      <c r="L37" s="105" t="str">
        <f t="shared" si="5"/>
        <v/>
      </c>
      <c r="M37" s="122" t="str">
        <f t="shared" si="14"/>
        <v/>
      </c>
      <c r="N37" s="557"/>
      <c r="O37" s="568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x14ac:dyDescent="0.3">
      <c r="A38" s="34"/>
      <c r="B38" s="540">
        <v>46264</v>
      </c>
      <c r="C38" s="541"/>
      <c r="D38" s="95" t="s">
        <v>154</v>
      </c>
      <c r="E38" s="96" t="s">
        <v>199</v>
      </c>
      <c r="F38" s="97">
        <v>92</v>
      </c>
      <c r="G38" s="98" t="s">
        <v>192</v>
      </c>
      <c r="H38" s="99">
        <v>0.1</v>
      </c>
      <c r="I38" s="100">
        <f t="shared" si="4"/>
        <v>0.5</v>
      </c>
      <c r="J38" s="101">
        <v>1.3</v>
      </c>
      <c r="K38" s="102">
        <f t="shared" si="3"/>
        <v>59.800000000000004</v>
      </c>
      <c r="L38" s="97">
        <f t="shared" si="5"/>
        <v>53.820000000000007</v>
      </c>
      <c r="M38" s="97">
        <f t="shared" si="6"/>
        <v>4.9833333333333334</v>
      </c>
      <c r="N38" s="556">
        <f t="shared" ref="N38" si="15">SUM(L38:L39)</f>
        <v>53.820000000000007</v>
      </c>
      <c r="O38" s="80"/>
      <c r="P38" s="34"/>
      <c r="Q38" s="160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x14ac:dyDescent="0.3">
      <c r="A39" s="34"/>
      <c r="B39" s="542"/>
      <c r="C39" s="543"/>
      <c r="D39" s="103" t="s">
        <v>164</v>
      </c>
      <c r="E39" s="125"/>
      <c r="F39" s="122"/>
      <c r="G39" s="106"/>
      <c r="H39" s="107"/>
      <c r="I39" s="100" t="str">
        <f t="shared" si="4"/>
        <v/>
      </c>
      <c r="J39" s="101"/>
      <c r="K39" s="102" t="str">
        <f t="shared" si="3"/>
        <v/>
      </c>
      <c r="L39" s="105" t="str">
        <f t="shared" si="5"/>
        <v/>
      </c>
      <c r="M39" s="122" t="str">
        <f t="shared" si="6"/>
        <v/>
      </c>
      <c r="N39" s="557"/>
      <c r="O39" s="80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x14ac:dyDescent="0.3">
      <c r="A40" s="34"/>
      <c r="B40" s="540">
        <v>46265</v>
      </c>
      <c r="C40" s="541"/>
      <c r="D40" s="95" t="s">
        <v>154</v>
      </c>
      <c r="E40" s="96"/>
      <c r="F40" s="97"/>
      <c r="G40" s="98"/>
      <c r="H40" s="99"/>
      <c r="I40" s="100" t="str">
        <f t="shared" si="4"/>
        <v/>
      </c>
      <c r="J40" s="101"/>
      <c r="K40" s="102" t="str">
        <f t="shared" si="3"/>
        <v/>
      </c>
      <c r="L40" s="97" t="str">
        <f>IFERROR(((F40*I40)*J40)*(1-H40),"")</f>
        <v/>
      </c>
      <c r="M40" s="97" t="str">
        <f t="shared" si="6"/>
        <v/>
      </c>
      <c r="N40" s="556">
        <f>SUM(L40:L41)</f>
        <v>0</v>
      </c>
      <c r="O40" s="80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x14ac:dyDescent="0.3">
      <c r="A41" s="34"/>
      <c r="B41" s="542"/>
      <c r="C41" s="543"/>
      <c r="D41" s="103" t="s">
        <v>164</v>
      </c>
      <c r="E41" s="125"/>
      <c r="F41" s="122"/>
      <c r="G41" s="106"/>
      <c r="H41" s="107"/>
      <c r="I41" s="100" t="str">
        <f t="shared" si="4"/>
        <v/>
      </c>
      <c r="J41" s="101"/>
      <c r="K41" s="102" t="str">
        <f t="shared" si="3"/>
        <v/>
      </c>
      <c r="L41" s="105" t="str">
        <f t="shared" si="5"/>
        <v/>
      </c>
      <c r="M41" s="122" t="str">
        <f t="shared" si="6"/>
        <v/>
      </c>
      <c r="N41" s="557"/>
      <c r="O41" s="80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x14ac:dyDescent="0.3">
      <c r="A42" s="34"/>
      <c r="B42" s="540">
        <v>46266</v>
      </c>
      <c r="C42" s="541"/>
      <c r="D42" s="95" t="s">
        <v>154</v>
      </c>
      <c r="E42" s="139"/>
      <c r="F42" s="140"/>
      <c r="G42" s="141"/>
      <c r="H42" s="142"/>
      <c r="I42" s="100" t="str">
        <f t="shared" si="4"/>
        <v/>
      </c>
      <c r="J42" s="101"/>
      <c r="K42" s="102" t="str">
        <f t="shared" si="3"/>
        <v/>
      </c>
      <c r="L42" s="97" t="str">
        <f t="shared" si="5"/>
        <v/>
      </c>
      <c r="M42" s="97" t="str">
        <f t="shared" si="6"/>
        <v/>
      </c>
      <c r="N42" s="556">
        <f t="shared" ref="N42" si="16">SUM(L42:L43)</f>
        <v>0</v>
      </c>
      <c r="O42" s="80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x14ac:dyDescent="0.3">
      <c r="A43" s="34"/>
      <c r="B43" s="542"/>
      <c r="C43" s="543"/>
      <c r="D43" s="103" t="s">
        <v>164</v>
      </c>
      <c r="E43" s="125"/>
      <c r="F43" s="122"/>
      <c r="G43" s="106"/>
      <c r="H43" s="107"/>
      <c r="I43" s="100" t="str">
        <f t="shared" si="4"/>
        <v/>
      </c>
      <c r="J43" s="101"/>
      <c r="K43" s="102" t="str">
        <f t="shared" si="3"/>
        <v/>
      </c>
      <c r="L43" s="105" t="str">
        <f t="shared" si="5"/>
        <v/>
      </c>
      <c r="M43" s="122" t="str">
        <f t="shared" si="6"/>
        <v/>
      </c>
      <c r="N43" s="557"/>
      <c r="O43" s="80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x14ac:dyDescent="0.3">
      <c r="A44" s="34"/>
      <c r="B44" s="540">
        <v>46267</v>
      </c>
      <c r="C44" s="541"/>
      <c r="D44" s="95" t="s">
        <v>154</v>
      </c>
      <c r="E44" s="139"/>
      <c r="F44" s="140"/>
      <c r="G44" s="141"/>
      <c r="H44" s="142"/>
      <c r="I44" s="100" t="str">
        <f t="shared" si="4"/>
        <v/>
      </c>
      <c r="J44" s="101"/>
      <c r="K44" s="102" t="str">
        <f t="shared" si="3"/>
        <v/>
      </c>
      <c r="L44" s="97" t="str">
        <f t="shared" si="5"/>
        <v/>
      </c>
      <c r="M44" s="97" t="str">
        <f t="shared" si="6"/>
        <v/>
      </c>
      <c r="N44" s="556">
        <f t="shared" ref="N44" si="17">SUM(L44:L45)</f>
        <v>0</v>
      </c>
      <c r="O44" s="80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x14ac:dyDescent="0.3">
      <c r="A45" s="34"/>
      <c r="B45" s="542"/>
      <c r="C45" s="543"/>
      <c r="D45" s="103" t="s">
        <v>164</v>
      </c>
      <c r="E45" s="125"/>
      <c r="F45" s="122"/>
      <c r="G45" s="106"/>
      <c r="H45" s="107"/>
      <c r="I45" s="100" t="str">
        <f t="shared" si="4"/>
        <v/>
      </c>
      <c r="J45" s="101"/>
      <c r="K45" s="102" t="str">
        <f t="shared" si="3"/>
        <v/>
      </c>
      <c r="L45" s="143" t="str">
        <f t="shared" si="5"/>
        <v/>
      </c>
      <c r="M45" s="144" t="str">
        <f>IFERROR((K45/12),"")</f>
        <v/>
      </c>
      <c r="N45" s="557"/>
      <c r="O45" s="80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x14ac:dyDescent="0.3">
      <c r="A46" s="34"/>
      <c r="B46" s="540">
        <v>46268</v>
      </c>
      <c r="C46" s="541"/>
      <c r="D46" s="95" t="s">
        <v>154</v>
      </c>
      <c r="E46" s="139"/>
      <c r="F46" s="140"/>
      <c r="G46" s="141"/>
      <c r="H46" s="142"/>
      <c r="I46" s="100" t="str">
        <f t="shared" si="4"/>
        <v/>
      </c>
      <c r="J46" s="101"/>
      <c r="K46" s="102" t="str">
        <f t="shared" si="3"/>
        <v/>
      </c>
      <c r="L46" s="97" t="str">
        <f t="shared" si="5"/>
        <v/>
      </c>
      <c r="M46" s="97" t="str">
        <f t="shared" si="6"/>
        <v/>
      </c>
      <c r="N46" s="556">
        <f t="shared" ref="N46:N58" si="18">SUM(L46:L47)</f>
        <v>0</v>
      </c>
      <c r="O46" s="80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x14ac:dyDescent="0.3">
      <c r="A47" s="34"/>
      <c r="B47" s="542"/>
      <c r="C47" s="543"/>
      <c r="D47" s="103" t="s">
        <v>164</v>
      </c>
      <c r="E47" s="125"/>
      <c r="F47" s="122"/>
      <c r="G47" s="106"/>
      <c r="H47" s="107"/>
      <c r="I47" s="100" t="str">
        <f t="shared" si="4"/>
        <v/>
      </c>
      <c r="J47" s="101"/>
      <c r="K47" s="102" t="str">
        <f t="shared" si="3"/>
        <v/>
      </c>
      <c r="L47" s="105" t="str">
        <f t="shared" si="5"/>
        <v/>
      </c>
      <c r="M47" s="122" t="str">
        <f t="shared" si="6"/>
        <v/>
      </c>
      <c r="N47" s="557"/>
      <c r="O47" s="80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x14ac:dyDescent="0.3">
      <c r="A48" s="34"/>
      <c r="B48" s="540">
        <v>46269</v>
      </c>
      <c r="C48" s="541"/>
      <c r="D48" s="95" t="s">
        <v>154</v>
      </c>
      <c r="E48" s="139"/>
      <c r="F48" s="140"/>
      <c r="G48" s="141"/>
      <c r="H48" s="142"/>
      <c r="I48" s="100" t="str">
        <f t="shared" si="4"/>
        <v/>
      </c>
      <c r="J48" s="101"/>
      <c r="K48" s="102" t="str">
        <f t="shared" si="3"/>
        <v/>
      </c>
      <c r="L48" s="97" t="str">
        <f t="shared" si="5"/>
        <v/>
      </c>
      <c r="M48" s="97" t="str">
        <f>IFERROR((K48/12),"")</f>
        <v/>
      </c>
      <c r="N48" s="556">
        <f t="shared" si="18"/>
        <v>0</v>
      </c>
      <c r="O48" s="80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x14ac:dyDescent="0.3">
      <c r="A49" s="34"/>
      <c r="B49" s="542"/>
      <c r="C49" s="543"/>
      <c r="D49" s="103" t="s">
        <v>164</v>
      </c>
      <c r="E49" s="125"/>
      <c r="F49" s="122"/>
      <c r="G49" s="106"/>
      <c r="H49" s="107"/>
      <c r="I49" s="100" t="str">
        <f t="shared" si="4"/>
        <v/>
      </c>
      <c r="J49" s="101"/>
      <c r="K49" s="102" t="str">
        <f t="shared" si="3"/>
        <v/>
      </c>
      <c r="L49" s="105" t="str">
        <f t="shared" si="5"/>
        <v/>
      </c>
      <c r="M49" s="122" t="str">
        <f>IFERROR((K49/12),"")</f>
        <v/>
      </c>
      <c r="N49" s="557"/>
      <c r="O49" s="80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x14ac:dyDescent="0.3">
      <c r="A50" s="34"/>
      <c r="B50" s="540">
        <v>46270</v>
      </c>
      <c r="C50" s="541"/>
      <c r="D50" s="95" t="s">
        <v>154</v>
      </c>
      <c r="E50" s="139"/>
      <c r="F50" s="140"/>
      <c r="G50" s="141"/>
      <c r="H50" s="145"/>
      <c r="I50" s="100" t="str">
        <f t="shared" si="4"/>
        <v/>
      </c>
      <c r="J50" s="101"/>
      <c r="K50" s="102" t="str">
        <f t="shared" si="3"/>
        <v/>
      </c>
      <c r="L50" s="97" t="str">
        <f t="shared" si="5"/>
        <v/>
      </c>
      <c r="M50" s="97" t="str">
        <f t="shared" si="6"/>
        <v/>
      </c>
      <c r="N50" s="556">
        <f t="shared" si="18"/>
        <v>0</v>
      </c>
      <c r="O50" s="80"/>
      <c r="P50" s="34"/>
      <c r="Q50" s="34"/>
      <c r="R50" s="161">
        <f>180/12</f>
        <v>15</v>
      </c>
      <c r="S50" s="34"/>
      <c r="T50" s="34"/>
      <c r="U50" s="34"/>
      <c r="V50" s="34"/>
      <c r="W50" s="34"/>
      <c r="X50" s="34"/>
      <c r="Y50" s="34"/>
      <c r="Z50" s="34"/>
      <c r="AA50" s="34"/>
    </row>
    <row r="51" spans="1:27" x14ac:dyDescent="0.3">
      <c r="A51" s="34"/>
      <c r="B51" s="542"/>
      <c r="C51" s="543"/>
      <c r="D51" s="103" t="s">
        <v>164</v>
      </c>
      <c r="E51" s="125"/>
      <c r="F51" s="122"/>
      <c r="G51" s="106"/>
      <c r="H51" s="107"/>
      <c r="I51" s="100" t="str">
        <f t="shared" si="4"/>
        <v/>
      </c>
      <c r="J51" s="101"/>
      <c r="K51" s="102" t="str">
        <f t="shared" si="3"/>
        <v/>
      </c>
      <c r="L51" s="105" t="str">
        <f t="shared" si="5"/>
        <v/>
      </c>
      <c r="M51" s="122" t="str">
        <f t="shared" si="6"/>
        <v/>
      </c>
      <c r="N51" s="557"/>
      <c r="O51" s="80"/>
      <c r="P51" s="160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x14ac:dyDescent="0.3">
      <c r="A52" s="34"/>
      <c r="B52" s="540">
        <v>46271</v>
      </c>
      <c r="C52" s="541"/>
      <c r="D52" s="95" t="s">
        <v>154</v>
      </c>
      <c r="E52" s="139"/>
      <c r="F52" s="140"/>
      <c r="G52" s="141"/>
      <c r="H52" s="142"/>
      <c r="I52" s="100" t="str">
        <f t="shared" si="4"/>
        <v/>
      </c>
      <c r="J52" s="101"/>
      <c r="K52" s="102" t="str">
        <f t="shared" si="3"/>
        <v/>
      </c>
      <c r="L52" s="97" t="str">
        <f t="shared" si="5"/>
        <v/>
      </c>
      <c r="M52" s="97" t="str">
        <f t="shared" si="6"/>
        <v/>
      </c>
      <c r="N52" s="556">
        <f t="shared" si="18"/>
        <v>0</v>
      </c>
      <c r="O52" s="80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x14ac:dyDescent="0.3">
      <c r="A53" s="34"/>
      <c r="B53" s="542"/>
      <c r="C53" s="543"/>
      <c r="D53" s="103" t="s">
        <v>164</v>
      </c>
      <c r="E53" s="125"/>
      <c r="F53" s="122"/>
      <c r="G53" s="106"/>
      <c r="H53" s="107"/>
      <c r="I53" s="100" t="str">
        <f>IFERROR((VLOOKUP(G53,S$6:T$8,2,FALSE)),"")</f>
        <v/>
      </c>
      <c r="J53" s="101"/>
      <c r="K53" s="102" t="str">
        <f>IFERROR((F53*I53*J53),"")</f>
        <v/>
      </c>
      <c r="L53" s="105" t="str">
        <f t="shared" si="5"/>
        <v/>
      </c>
      <c r="M53" s="122" t="str">
        <f t="shared" si="6"/>
        <v/>
      </c>
      <c r="N53" s="557"/>
      <c r="O53" s="80"/>
      <c r="P53" s="34"/>
      <c r="Q53" s="34"/>
      <c r="R53" s="161">
        <f>R50*4</f>
        <v>60</v>
      </c>
      <c r="S53" s="34"/>
      <c r="T53" s="34"/>
      <c r="U53" s="34"/>
      <c r="V53" s="34"/>
      <c r="W53" s="34"/>
      <c r="X53" s="34"/>
      <c r="Y53" s="34"/>
      <c r="Z53" s="34"/>
      <c r="AA53" s="34"/>
    </row>
    <row r="54" spans="1:27" x14ac:dyDescent="0.3">
      <c r="A54" s="34"/>
      <c r="B54" s="540">
        <v>46272</v>
      </c>
      <c r="C54" s="541"/>
      <c r="D54" s="95" t="s">
        <v>154</v>
      </c>
      <c r="E54" s="125"/>
      <c r="F54" s="122"/>
      <c r="G54" s="141"/>
      <c r="H54" s="142"/>
      <c r="I54" s="100" t="str">
        <f t="shared" si="4"/>
        <v/>
      </c>
      <c r="J54" s="101"/>
      <c r="K54" s="102" t="str">
        <f t="shared" si="3"/>
        <v/>
      </c>
      <c r="L54" s="97" t="str">
        <f t="shared" si="5"/>
        <v/>
      </c>
      <c r="M54" s="97" t="str">
        <f t="shared" si="6"/>
        <v/>
      </c>
      <c r="N54" s="556">
        <f t="shared" si="18"/>
        <v>0</v>
      </c>
      <c r="O54" s="80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x14ac:dyDescent="0.3">
      <c r="A55" s="34"/>
      <c r="B55" s="542"/>
      <c r="C55" s="543"/>
      <c r="D55" s="103" t="s">
        <v>164</v>
      </c>
      <c r="E55" s="125"/>
      <c r="F55" s="122"/>
      <c r="G55" s="106"/>
      <c r="H55" s="107"/>
      <c r="I55" s="100" t="str">
        <f t="shared" si="4"/>
        <v/>
      </c>
      <c r="J55" s="101"/>
      <c r="K55" s="102" t="str">
        <f t="shared" si="3"/>
        <v/>
      </c>
      <c r="L55" s="105" t="str">
        <f t="shared" si="5"/>
        <v/>
      </c>
      <c r="M55" s="122" t="str">
        <f t="shared" si="6"/>
        <v/>
      </c>
      <c r="N55" s="557"/>
      <c r="O55" s="80"/>
      <c r="P55" s="34"/>
      <c r="Q55" s="34"/>
      <c r="R55" s="161">
        <f>R53*1.7</f>
        <v>102</v>
      </c>
      <c r="S55" s="161">
        <v>9570</v>
      </c>
      <c r="T55" s="34"/>
      <c r="U55" s="34"/>
      <c r="V55" s="34"/>
      <c r="W55" s="34"/>
      <c r="X55" s="34"/>
      <c r="Y55" s="34"/>
      <c r="Z55" s="34"/>
      <c r="AA55" s="34"/>
    </row>
    <row r="56" spans="1:27" x14ac:dyDescent="0.3">
      <c r="A56" s="34"/>
      <c r="B56" s="540">
        <v>46273</v>
      </c>
      <c r="C56" s="541"/>
      <c r="D56" s="95" t="s">
        <v>154</v>
      </c>
      <c r="E56" s="139"/>
      <c r="F56" s="140"/>
      <c r="G56" s="141"/>
      <c r="H56" s="142"/>
      <c r="I56" s="100" t="str">
        <f t="shared" si="4"/>
        <v/>
      </c>
      <c r="J56" s="101"/>
      <c r="K56" s="102" t="str">
        <f t="shared" si="3"/>
        <v/>
      </c>
      <c r="L56" s="97" t="str">
        <f t="shared" si="5"/>
        <v/>
      </c>
      <c r="M56" s="97" t="str">
        <f t="shared" si="6"/>
        <v/>
      </c>
      <c r="N56" s="556">
        <f t="shared" si="18"/>
        <v>0</v>
      </c>
      <c r="O56" s="80"/>
      <c r="P56" s="34"/>
      <c r="Q56" s="34"/>
      <c r="R56" s="160"/>
      <c r="S56" s="161">
        <v>9795</v>
      </c>
      <c r="T56" s="34"/>
      <c r="U56" s="159"/>
      <c r="V56" s="159"/>
      <c r="W56" s="34"/>
      <c r="X56" s="34"/>
      <c r="Y56" s="34"/>
      <c r="Z56" s="34"/>
      <c r="AA56" s="34"/>
    </row>
    <row r="57" spans="1:27" x14ac:dyDescent="0.3">
      <c r="A57" s="34"/>
      <c r="B57" s="542"/>
      <c r="C57" s="543"/>
      <c r="D57" s="103" t="s">
        <v>164</v>
      </c>
      <c r="E57" s="125"/>
      <c r="F57" s="122"/>
      <c r="G57" s="106"/>
      <c r="H57" s="107"/>
      <c r="I57" s="100" t="str">
        <f t="shared" si="4"/>
        <v/>
      </c>
      <c r="J57" s="101"/>
      <c r="K57" s="102" t="str">
        <f t="shared" si="3"/>
        <v/>
      </c>
      <c r="L57" s="105" t="str">
        <f t="shared" si="5"/>
        <v/>
      </c>
      <c r="M57" s="122" t="str">
        <f t="shared" si="6"/>
        <v/>
      </c>
      <c r="N57" s="557"/>
      <c r="O57" s="80"/>
      <c r="P57" s="34"/>
      <c r="Q57" s="160"/>
      <c r="R57" s="160"/>
      <c r="S57" s="161">
        <v>1190</v>
      </c>
      <c r="T57" s="34"/>
      <c r="U57" s="34"/>
      <c r="V57" s="34"/>
      <c r="W57" s="34"/>
      <c r="X57" s="34"/>
      <c r="Y57" s="34"/>
      <c r="Z57" s="34"/>
      <c r="AA57" s="34"/>
    </row>
    <row r="58" spans="1:27" x14ac:dyDescent="0.3">
      <c r="A58" s="34"/>
      <c r="B58" s="540">
        <v>46274</v>
      </c>
      <c r="C58" s="541"/>
      <c r="D58" s="95" t="s">
        <v>154</v>
      </c>
      <c r="E58" s="139"/>
      <c r="F58" s="140"/>
      <c r="G58" s="141"/>
      <c r="H58" s="142"/>
      <c r="I58" s="100" t="str">
        <f t="shared" si="4"/>
        <v/>
      </c>
      <c r="J58" s="101"/>
      <c r="K58" s="102" t="str">
        <f t="shared" si="3"/>
        <v/>
      </c>
      <c r="L58" s="97" t="str">
        <f t="shared" si="5"/>
        <v/>
      </c>
      <c r="M58" s="97" t="str">
        <f t="shared" si="6"/>
        <v/>
      </c>
      <c r="N58" s="556">
        <f t="shared" si="18"/>
        <v>0</v>
      </c>
      <c r="O58" s="80"/>
      <c r="P58" s="170"/>
      <c r="Q58" s="34"/>
      <c r="R58" s="34"/>
      <c r="S58" s="161">
        <f>S56-S57</f>
        <v>8605</v>
      </c>
      <c r="T58" s="34"/>
      <c r="U58" s="34"/>
      <c r="V58" s="34"/>
      <c r="W58" s="34"/>
      <c r="X58" s="34"/>
      <c r="Y58" s="34"/>
      <c r="Z58" s="34"/>
      <c r="AA58" s="34"/>
    </row>
    <row r="59" spans="1:27" x14ac:dyDescent="0.3">
      <c r="A59" s="34"/>
      <c r="B59" s="542"/>
      <c r="C59" s="543"/>
      <c r="D59" s="103" t="s">
        <v>164</v>
      </c>
      <c r="E59" s="125"/>
      <c r="F59" s="122"/>
      <c r="G59" s="106"/>
      <c r="H59" s="142"/>
      <c r="I59" s="100" t="str">
        <f t="shared" si="4"/>
        <v/>
      </c>
      <c r="J59" s="101"/>
      <c r="K59" s="126" t="str">
        <f t="shared" si="3"/>
        <v/>
      </c>
      <c r="L59" s="105" t="str">
        <f t="shared" si="5"/>
        <v/>
      </c>
      <c r="M59" s="122" t="str">
        <f t="shared" si="6"/>
        <v/>
      </c>
      <c r="N59" s="557"/>
      <c r="O59" s="80"/>
      <c r="P59" s="160"/>
      <c r="Q59" s="34"/>
      <c r="R59" s="34"/>
      <c r="S59" s="159">
        <f>(S55-S58)/S55</f>
        <v>0.10083594566353186</v>
      </c>
      <c r="T59" s="34"/>
      <c r="U59" s="34"/>
      <c r="V59" s="34"/>
      <c r="W59" s="34"/>
      <c r="X59" s="34"/>
      <c r="Y59" s="34"/>
      <c r="Z59" s="34"/>
      <c r="AA59" s="34"/>
    </row>
    <row r="60" spans="1:27" x14ac:dyDescent="0.3">
      <c r="A60" s="34"/>
      <c r="B60" s="540">
        <v>46275</v>
      </c>
      <c r="C60" s="541"/>
      <c r="D60" s="95" t="s">
        <v>154</v>
      </c>
      <c r="E60" s="139"/>
      <c r="F60" s="140"/>
      <c r="G60" s="141"/>
      <c r="H60" s="142"/>
      <c r="I60" s="100" t="str">
        <f t="shared" si="4"/>
        <v/>
      </c>
      <c r="J60" s="101"/>
      <c r="K60" s="102" t="str">
        <f t="shared" si="3"/>
        <v/>
      </c>
      <c r="L60" s="97" t="str">
        <f t="shared" si="5"/>
        <v/>
      </c>
      <c r="M60" s="137" t="str">
        <f>IFERROR((K60/12),"")</f>
        <v/>
      </c>
      <c r="N60" s="548">
        <f>SUM(L60:L61)</f>
        <v>0</v>
      </c>
      <c r="O60" s="80"/>
      <c r="P60" s="170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x14ac:dyDescent="0.3">
      <c r="A61" s="34"/>
      <c r="B61" s="542"/>
      <c r="C61" s="543"/>
      <c r="D61" s="103" t="s">
        <v>164</v>
      </c>
      <c r="E61" s="125"/>
      <c r="F61" s="122"/>
      <c r="G61" s="106"/>
      <c r="H61" s="107"/>
      <c r="I61" s="100" t="str">
        <f t="shared" si="4"/>
        <v/>
      </c>
      <c r="J61" s="101"/>
      <c r="K61" s="108" t="str">
        <f t="shared" si="3"/>
        <v/>
      </c>
      <c r="L61" s="105" t="str">
        <f t="shared" si="5"/>
        <v/>
      </c>
      <c r="M61" s="138" t="str">
        <f t="shared" si="6"/>
        <v/>
      </c>
      <c r="N61" s="549"/>
      <c r="O61" s="80"/>
      <c r="P61" s="170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x14ac:dyDescent="0.3">
      <c r="A62" s="34"/>
      <c r="B62" s="540">
        <v>46276</v>
      </c>
      <c r="C62" s="541"/>
      <c r="D62" s="95" t="s">
        <v>154</v>
      </c>
      <c r="E62" s="139"/>
      <c r="F62" s="140"/>
      <c r="G62" s="141"/>
      <c r="H62" s="142"/>
      <c r="I62" s="100" t="str">
        <f t="shared" si="4"/>
        <v/>
      </c>
      <c r="J62" s="101"/>
      <c r="K62" s="102" t="str">
        <f t="shared" ref="K62:K63" si="19">IFERROR((F62*I62*J62),"")</f>
        <v/>
      </c>
      <c r="L62" s="97" t="str">
        <f t="shared" ref="L62:L63" si="20">IFERROR(((F62*I62)*J62)*(1-H62),"")</f>
        <v/>
      </c>
      <c r="M62" s="137" t="str">
        <f t="shared" ref="M62:M63" si="21">IFERROR((K62/12),"")</f>
        <v/>
      </c>
      <c r="N62" s="548">
        <f>SUM(L62:L63)</f>
        <v>0</v>
      </c>
      <c r="O62" s="80"/>
      <c r="P62" s="170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x14ac:dyDescent="0.3">
      <c r="A63" s="34"/>
      <c r="B63" s="542"/>
      <c r="C63" s="543"/>
      <c r="D63" s="103" t="s">
        <v>164</v>
      </c>
      <c r="E63" s="125"/>
      <c r="F63" s="122"/>
      <c r="G63" s="106"/>
      <c r="H63" s="107"/>
      <c r="I63" s="100" t="str">
        <f t="shared" si="4"/>
        <v/>
      </c>
      <c r="J63" s="101"/>
      <c r="K63" s="108" t="str">
        <f t="shared" si="19"/>
        <v/>
      </c>
      <c r="L63" s="105" t="str">
        <f t="shared" si="20"/>
        <v/>
      </c>
      <c r="M63" s="138" t="str">
        <f t="shared" si="21"/>
        <v/>
      </c>
      <c r="N63" s="549"/>
      <c r="O63" s="80"/>
      <c r="P63" s="170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x14ac:dyDescent="0.3">
      <c r="A64" s="34"/>
      <c r="B64" s="540">
        <v>46277</v>
      </c>
      <c r="C64" s="541"/>
      <c r="D64" s="95" t="s">
        <v>154</v>
      </c>
      <c r="E64" s="139"/>
      <c r="F64" s="140"/>
      <c r="G64" s="141"/>
      <c r="H64" s="142"/>
      <c r="I64" s="100" t="str">
        <f t="shared" si="4"/>
        <v/>
      </c>
      <c r="J64" s="101"/>
      <c r="K64" s="102" t="str">
        <f t="shared" ref="K64:K65" si="22">IFERROR((F64*I64*J64),"")</f>
        <v/>
      </c>
      <c r="L64" s="97" t="str">
        <f t="shared" ref="L64:L65" si="23">IFERROR(((F64*I64)*J64)*(1-H64),"")</f>
        <v/>
      </c>
      <c r="M64" s="137" t="str">
        <f t="shared" ref="M64:M65" si="24">IFERROR((K64/12),"")</f>
        <v/>
      </c>
      <c r="N64" s="548">
        <f>SUM(L64:L65)</f>
        <v>0</v>
      </c>
      <c r="O64" s="80"/>
      <c r="P64" s="170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x14ac:dyDescent="0.3">
      <c r="A65" s="34"/>
      <c r="B65" s="542"/>
      <c r="C65" s="543"/>
      <c r="D65" s="103" t="s">
        <v>164</v>
      </c>
      <c r="E65" s="125"/>
      <c r="F65" s="122"/>
      <c r="G65" s="106"/>
      <c r="H65" s="107"/>
      <c r="I65" s="100" t="str">
        <f t="shared" si="4"/>
        <v/>
      </c>
      <c r="J65" s="101"/>
      <c r="K65" s="108" t="str">
        <f t="shared" si="22"/>
        <v/>
      </c>
      <c r="L65" s="105" t="str">
        <f t="shared" si="23"/>
        <v/>
      </c>
      <c r="M65" s="138" t="str">
        <f t="shared" si="24"/>
        <v/>
      </c>
      <c r="N65" s="549"/>
      <c r="O65" s="80"/>
      <c r="P65" s="170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x14ac:dyDescent="0.3">
      <c r="A66" s="34"/>
      <c r="B66" s="540">
        <v>46278</v>
      </c>
      <c r="C66" s="541"/>
      <c r="D66" s="95" t="s">
        <v>154</v>
      </c>
      <c r="E66" s="139"/>
      <c r="F66" s="140"/>
      <c r="G66" s="141"/>
      <c r="H66" s="142"/>
      <c r="I66" s="100" t="str">
        <f t="shared" si="4"/>
        <v/>
      </c>
      <c r="J66" s="101"/>
      <c r="K66" s="102" t="str">
        <f t="shared" ref="K66:K67" si="25">IFERROR((F66*I66*J66),"")</f>
        <v/>
      </c>
      <c r="L66" s="97" t="str">
        <f t="shared" ref="L66:L67" si="26">IFERROR(((F66*I66)*J66)*(1-H66),"")</f>
        <v/>
      </c>
      <c r="M66" s="137" t="str">
        <f t="shared" ref="M66:M67" si="27">IFERROR((K66/12),"")</f>
        <v/>
      </c>
      <c r="N66" s="548">
        <f>SUM(L66:L67)</f>
        <v>0</v>
      </c>
      <c r="O66" s="80"/>
      <c r="P66" s="170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x14ac:dyDescent="0.3">
      <c r="A67" s="34"/>
      <c r="B67" s="542"/>
      <c r="C67" s="543"/>
      <c r="D67" s="103" t="s">
        <v>164</v>
      </c>
      <c r="E67" s="125"/>
      <c r="F67" s="122"/>
      <c r="G67" s="106"/>
      <c r="H67" s="107"/>
      <c r="I67" s="100" t="str">
        <f t="shared" si="4"/>
        <v/>
      </c>
      <c r="J67" s="101"/>
      <c r="K67" s="108" t="str">
        <f t="shared" si="25"/>
        <v/>
      </c>
      <c r="L67" s="105" t="str">
        <f t="shared" si="26"/>
        <v/>
      </c>
      <c r="M67" s="138" t="str">
        <f t="shared" si="27"/>
        <v/>
      </c>
      <c r="N67" s="549"/>
      <c r="O67" s="80"/>
      <c r="P67" s="170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x14ac:dyDescent="0.3">
      <c r="A68" s="34"/>
      <c r="B68" s="540">
        <v>46279</v>
      </c>
      <c r="C68" s="541"/>
      <c r="D68" s="95" t="s">
        <v>154</v>
      </c>
      <c r="E68" s="139"/>
      <c r="F68" s="140"/>
      <c r="G68" s="141"/>
      <c r="H68" s="142"/>
      <c r="I68" s="100" t="str">
        <f t="shared" si="4"/>
        <v/>
      </c>
      <c r="J68" s="101"/>
      <c r="K68" s="102" t="str">
        <f t="shared" ref="K68:K75" si="28">IFERROR((F68*I68*J68),"")</f>
        <v/>
      </c>
      <c r="L68" s="97" t="str">
        <f t="shared" ref="L68:L75" si="29">IFERROR(((F68*I68)*J68)*(1-H68),"")</f>
        <v/>
      </c>
      <c r="M68" s="137" t="str">
        <f t="shared" ref="M68:M75" si="30">IFERROR((K68/12),"")</f>
        <v/>
      </c>
      <c r="N68" s="548">
        <f t="shared" ref="N68" si="31">SUM(L68:L69)</f>
        <v>0</v>
      </c>
      <c r="O68" s="80"/>
      <c r="P68" s="170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x14ac:dyDescent="0.3">
      <c r="A69" s="34"/>
      <c r="B69" s="542"/>
      <c r="C69" s="543"/>
      <c r="D69" s="103" t="s">
        <v>164</v>
      </c>
      <c r="E69" s="125"/>
      <c r="F69" s="122"/>
      <c r="G69" s="106"/>
      <c r="H69" s="107"/>
      <c r="I69" s="100" t="str">
        <f t="shared" si="4"/>
        <v/>
      </c>
      <c r="J69" s="101"/>
      <c r="K69" s="108" t="str">
        <f t="shared" si="28"/>
        <v/>
      </c>
      <c r="L69" s="105" t="str">
        <f t="shared" si="29"/>
        <v/>
      </c>
      <c r="M69" s="138" t="str">
        <f t="shared" si="30"/>
        <v/>
      </c>
      <c r="N69" s="549"/>
      <c r="O69" s="80"/>
      <c r="P69" s="170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x14ac:dyDescent="0.3">
      <c r="A70" s="34"/>
      <c r="B70" s="540">
        <v>46280</v>
      </c>
      <c r="C70" s="541"/>
      <c r="D70" s="95" t="s">
        <v>154</v>
      </c>
      <c r="E70" s="139"/>
      <c r="F70" s="140"/>
      <c r="G70" s="141"/>
      <c r="H70" s="142"/>
      <c r="I70" s="100" t="str">
        <f t="shared" si="4"/>
        <v/>
      </c>
      <c r="J70" s="101"/>
      <c r="K70" s="102" t="str">
        <f t="shared" si="28"/>
        <v/>
      </c>
      <c r="L70" s="97" t="str">
        <f t="shared" si="29"/>
        <v/>
      </c>
      <c r="M70" s="137" t="str">
        <f t="shared" si="30"/>
        <v/>
      </c>
      <c r="N70" s="548">
        <f t="shared" ref="N70" si="32">SUM(L70:L71)</f>
        <v>0</v>
      </c>
      <c r="O70" s="80"/>
      <c r="P70" s="170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x14ac:dyDescent="0.3">
      <c r="A71" s="34"/>
      <c r="B71" s="542"/>
      <c r="C71" s="543"/>
      <c r="D71" s="103" t="s">
        <v>164</v>
      </c>
      <c r="E71" s="125"/>
      <c r="F71" s="122"/>
      <c r="G71" s="106"/>
      <c r="H71" s="107"/>
      <c r="I71" s="100" t="str">
        <f t="shared" si="4"/>
        <v/>
      </c>
      <c r="J71" s="101"/>
      <c r="K71" s="108" t="str">
        <f t="shared" si="28"/>
        <v/>
      </c>
      <c r="L71" s="105" t="str">
        <f t="shared" si="29"/>
        <v/>
      </c>
      <c r="M71" s="138" t="str">
        <f t="shared" si="30"/>
        <v/>
      </c>
      <c r="N71" s="549"/>
      <c r="O71" s="80"/>
      <c r="P71" s="170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x14ac:dyDescent="0.3">
      <c r="A72" s="34"/>
      <c r="B72" s="540">
        <v>46281</v>
      </c>
      <c r="C72" s="541"/>
      <c r="D72" s="95" t="s">
        <v>154</v>
      </c>
      <c r="E72" s="139"/>
      <c r="F72" s="140"/>
      <c r="G72" s="141"/>
      <c r="H72" s="142"/>
      <c r="I72" s="100" t="str">
        <f t="shared" si="4"/>
        <v/>
      </c>
      <c r="J72" s="101"/>
      <c r="K72" s="102" t="str">
        <f t="shared" si="28"/>
        <v/>
      </c>
      <c r="L72" s="97" t="str">
        <f t="shared" si="29"/>
        <v/>
      </c>
      <c r="M72" s="137" t="str">
        <f t="shared" si="30"/>
        <v/>
      </c>
      <c r="N72" s="548">
        <f t="shared" ref="N72" si="33">SUM(L72:L73)</f>
        <v>0</v>
      </c>
      <c r="O72" s="80"/>
      <c r="P72" s="170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x14ac:dyDescent="0.3">
      <c r="A73" s="34"/>
      <c r="B73" s="542"/>
      <c r="C73" s="543"/>
      <c r="D73" s="103" t="s">
        <v>164</v>
      </c>
      <c r="E73" s="125"/>
      <c r="F73" s="122"/>
      <c r="G73" s="106"/>
      <c r="H73" s="107"/>
      <c r="I73" s="100" t="str">
        <f t="shared" si="4"/>
        <v/>
      </c>
      <c r="J73" s="101"/>
      <c r="K73" s="108" t="str">
        <f t="shared" si="28"/>
        <v/>
      </c>
      <c r="L73" s="105" t="str">
        <f t="shared" si="29"/>
        <v/>
      </c>
      <c r="M73" s="138" t="str">
        <f t="shared" si="30"/>
        <v/>
      </c>
      <c r="N73" s="549"/>
      <c r="O73" s="80"/>
      <c r="P73" s="170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x14ac:dyDescent="0.3">
      <c r="A74" s="34"/>
      <c r="B74" s="540">
        <v>46282</v>
      </c>
      <c r="C74" s="541"/>
      <c r="D74" s="95" t="s">
        <v>154</v>
      </c>
      <c r="E74" s="139"/>
      <c r="F74" s="140"/>
      <c r="G74" s="141"/>
      <c r="H74" s="142"/>
      <c r="I74" s="100" t="str">
        <f t="shared" si="4"/>
        <v/>
      </c>
      <c r="J74" s="101"/>
      <c r="K74" s="102" t="str">
        <f t="shared" si="28"/>
        <v/>
      </c>
      <c r="L74" s="97" t="str">
        <f t="shared" si="29"/>
        <v/>
      </c>
      <c r="M74" s="137" t="str">
        <f t="shared" si="30"/>
        <v/>
      </c>
      <c r="N74" s="548">
        <f t="shared" ref="N74" si="34">SUM(L74:L75)</f>
        <v>0</v>
      </c>
      <c r="O74" s="80"/>
      <c r="P74" s="170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x14ac:dyDescent="0.3">
      <c r="A75" s="34"/>
      <c r="B75" s="542"/>
      <c r="C75" s="543"/>
      <c r="D75" s="103" t="s">
        <v>164</v>
      </c>
      <c r="E75" s="125"/>
      <c r="F75" s="122"/>
      <c r="G75" s="106"/>
      <c r="H75" s="107"/>
      <c r="I75" s="100" t="str">
        <f t="shared" si="4"/>
        <v/>
      </c>
      <c r="J75" s="101"/>
      <c r="K75" s="108" t="str">
        <f t="shared" si="28"/>
        <v/>
      </c>
      <c r="L75" s="105" t="str">
        <f t="shared" si="29"/>
        <v/>
      </c>
      <c r="M75" s="138" t="str">
        <f t="shared" si="30"/>
        <v/>
      </c>
      <c r="N75" s="549"/>
      <c r="O75" s="80"/>
      <c r="P75" s="170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x14ac:dyDescent="0.3">
      <c r="A76" s="34"/>
      <c r="B76" s="540">
        <v>46283</v>
      </c>
      <c r="C76" s="541"/>
      <c r="D76" s="95" t="s">
        <v>154</v>
      </c>
      <c r="E76" s="139"/>
      <c r="F76" s="140"/>
      <c r="G76" s="141"/>
      <c r="H76" s="142"/>
      <c r="I76" s="100" t="str">
        <f t="shared" si="4"/>
        <v/>
      </c>
      <c r="J76" s="101"/>
      <c r="K76" s="102" t="str">
        <f t="shared" ref="K76:K79" si="35">IFERROR((F76*I76*J76),"")</f>
        <v/>
      </c>
      <c r="L76" s="97" t="str">
        <f>IFERROR(((F76*I76)*J76)*(1-H76),"")</f>
        <v/>
      </c>
      <c r="M76" s="137" t="str">
        <f t="shared" ref="M76:M79" si="36">IFERROR((K76/12),"")</f>
        <v/>
      </c>
      <c r="N76" s="548">
        <f>SUM(L76:L77)</f>
        <v>0</v>
      </c>
      <c r="O76" s="80"/>
      <c r="P76" s="170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x14ac:dyDescent="0.3">
      <c r="A77" s="34"/>
      <c r="B77" s="542"/>
      <c r="C77" s="543"/>
      <c r="D77" s="103" t="s">
        <v>164</v>
      </c>
      <c r="E77" s="125"/>
      <c r="F77" s="122"/>
      <c r="G77" s="106"/>
      <c r="H77" s="107"/>
      <c r="I77" s="100" t="str">
        <f t="shared" si="4"/>
        <v/>
      </c>
      <c r="J77" s="101"/>
      <c r="K77" s="108" t="str">
        <f t="shared" si="35"/>
        <v/>
      </c>
      <c r="L77" s="105" t="str">
        <f t="shared" ref="L77:L79" si="37">IFERROR(((F77*I77)*J77)*(1-H77),"")</f>
        <v/>
      </c>
      <c r="M77" s="138" t="str">
        <f t="shared" si="36"/>
        <v/>
      </c>
      <c r="N77" s="549"/>
      <c r="O77" s="80"/>
      <c r="P77" s="170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x14ac:dyDescent="0.3">
      <c r="A78" s="34"/>
      <c r="B78" s="540">
        <v>46284</v>
      </c>
      <c r="C78" s="541"/>
      <c r="D78" s="95" t="s">
        <v>154</v>
      </c>
      <c r="E78" s="139"/>
      <c r="F78" s="140"/>
      <c r="G78" s="141"/>
      <c r="H78" s="142"/>
      <c r="I78" s="100" t="str">
        <f t="shared" si="4"/>
        <v/>
      </c>
      <c r="J78" s="101"/>
      <c r="K78" s="102" t="str">
        <f t="shared" si="35"/>
        <v/>
      </c>
      <c r="L78" s="97" t="str">
        <f t="shared" si="37"/>
        <v/>
      </c>
      <c r="M78" s="137" t="str">
        <f t="shared" si="36"/>
        <v/>
      </c>
      <c r="N78" s="548">
        <f t="shared" ref="N78" si="38">SUM(L78:L79)</f>
        <v>0</v>
      </c>
      <c r="O78" s="80"/>
      <c r="P78" s="170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x14ac:dyDescent="0.3">
      <c r="A79" s="34"/>
      <c r="B79" s="542"/>
      <c r="C79" s="543"/>
      <c r="D79" s="103" t="s">
        <v>164</v>
      </c>
      <c r="E79" s="125"/>
      <c r="F79" s="122"/>
      <c r="G79" s="106"/>
      <c r="H79" s="107"/>
      <c r="I79" s="100" t="str">
        <f t="shared" si="4"/>
        <v/>
      </c>
      <c r="J79" s="101"/>
      <c r="K79" s="108" t="str">
        <f t="shared" si="35"/>
        <v/>
      </c>
      <c r="L79" s="105" t="str">
        <f t="shared" si="37"/>
        <v/>
      </c>
      <c r="M79" s="138" t="str">
        <f t="shared" si="36"/>
        <v/>
      </c>
      <c r="N79" s="549"/>
      <c r="O79" s="80"/>
      <c r="P79" s="170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x14ac:dyDescent="0.3">
      <c r="A80" s="34"/>
      <c r="B80" s="540">
        <v>46285</v>
      </c>
      <c r="C80" s="541"/>
      <c r="D80" s="95" t="s">
        <v>154</v>
      </c>
      <c r="E80" s="139"/>
      <c r="F80" s="140"/>
      <c r="G80" s="141"/>
      <c r="H80" s="142"/>
      <c r="I80" s="100" t="str">
        <f t="shared" si="4"/>
        <v/>
      </c>
      <c r="J80" s="101"/>
      <c r="K80" s="102" t="str">
        <f t="shared" ref="K80:K83" si="39">IFERROR((F80*I80*J80),"")</f>
        <v/>
      </c>
      <c r="L80" s="97" t="str">
        <f t="shared" ref="L80:L83" si="40">IFERROR(((F80*I80)*J80)*(1-H80),"")</f>
        <v/>
      </c>
      <c r="M80" s="137" t="str">
        <f t="shared" ref="M80:M83" si="41">IFERROR((K80/12),"")</f>
        <v/>
      </c>
      <c r="N80" s="548">
        <f t="shared" ref="N80" si="42">SUM(L80:L81)</f>
        <v>0</v>
      </c>
      <c r="O80" s="80"/>
      <c r="P80" s="170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x14ac:dyDescent="0.3">
      <c r="A81" s="34"/>
      <c r="B81" s="542"/>
      <c r="C81" s="543"/>
      <c r="D81" s="103" t="s">
        <v>164</v>
      </c>
      <c r="E81" s="125"/>
      <c r="F81" s="122"/>
      <c r="G81" s="106"/>
      <c r="H81" s="107"/>
      <c r="I81" s="100" t="str">
        <f t="shared" si="4"/>
        <v/>
      </c>
      <c r="J81" s="101"/>
      <c r="K81" s="108" t="str">
        <f t="shared" si="39"/>
        <v/>
      </c>
      <c r="L81" s="105" t="str">
        <f t="shared" si="40"/>
        <v/>
      </c>
      <c r="M81" s="138" t="str">
        <f t="shared" si="41"/>
        <v/>
      </c>
      <c r="N81" s="549"/>
      <c r="O81" s="80"/>
      <c r="P81" s="170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x14ac:dyDescent="0.3">
      <c r="A82" s="34"/>
      <c r="B82" s="540">
        <v>46286</v>
      </c>
      <c r="C82" s="541"/>
      <c r="D82" s="95" t="s">
        <v>154</v>
      </c>
      <c r="E82" s="139"/>
      <c r="F82" s="140"/>
      <c r="G82" s="141"/>
      <c r="H82" s="142"/>
      <c r="I82" s="100" t="str">
        <f t="shared" si="4"/>
        <v/>
      </c>
      <c r="J82" s="101"/>
      <c r="K82" s="102" t="str">
        <f t="shared" si="39"/>
        <v/>
      </c>
      <c r="L82" s="97" t="str">
        <f t="shared" si="40"/>
        <v/>
      </c>
      <c r="M82" s="137" t="str">
        <f t="shared" si="41"/>
        <v/>
      </c>
      <c r="N82" s="548">
        <f t="shared" ref="N82" si="43">SUM(L82:L83)</f>
        <v>0</v>
      </c>
      <c r="O82" s="80"/>
      <c r="P82" s="170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x14ac:dyDescent="0.3">
      <c r="A83" s="34"/>
      <c r="B83" s="542"/>
      <c r="C83" s="543"/>
      <c r="D83" s="103" t="s">
        <v>164</v>
      </c>
      <c r="E83" s="125"/>
      <c r="F83" s="122"/>
      <c r="G83" s="106"/>
      <c r="H83" s="107"/>
      <c r="I83" s="100" t="str">
        <f t="shared" si="4"/>
        <v/>
      </c>
      <c r="J83" s="101"/>
      <c r="K83" s="108" t="str">
        <f t="shared" si="39"/>
        <v/>
      </c>
      <c r="L83" s="105" t="str">
        <f t="shared" si="40"/>
        <v/>
      </c>
      <c r="M83" s="138" t="str">
        <f t="shared" si="41"/>
        <v/>
      </c>
      <c r="N83" s="549"/>
      <c r="O83" s="80"/>
      <c r="P83" s="170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x14ac:dyDescent="0.3">
      <c r="A84" s="34"/>
      <c r="B84" s="540">
        <v>46287</v>
      </c>
      <c r="C84" s="541"/>
      <c r="D84" s="95" t="s">
        <v>154</v>
      </c>
      <c r="E84" s="139"/>
      <c r="F84" s="140"/>
      <c r="G84" s="141"/>
      <c r="H84" s="142"/>
      <c r="I84" s="100" t="str">
        <f t="shared" si="4"/>
        <v/>
      </c>
      <c r="J84" s="101"/>
      <c r="K84" s="102" t="str">
        <f t="shared" ref="K84:K85" si="44">IFERROR((F84*I84*J84),"")</f>
        <v/>
      </c>
      <c r="L84" s="97" t="str">
        <f t="shared" ref="L84:L85" si="45">IFERROR(((F84*I84)*J84)*(1-H84),"")</f>
        <v/>
      </c>
      <c r="M84" s="137" t="str">
        <f t="shared" ref="M84:M85" si="46">IFERROR((K84/12),"")</f>
        <v/>
      </c>
      <c r="N84" s="548">
        <f t="shared" ref="N84" si="47">SUM(L84:L85)</f>
        <v>0</v>
      </c>
      <c r="O84" s="80"/>
      <c r="P84" s="170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x14ac:dyDescent="0.3">
      <c r="A85" s="34"/>
      <c r="B85" s="542"/>
      <c r="C85" s="543"/>
      <c r="D85" s="103" t="s">
        <v>164</v>
      </c>
      <c r="E85" s="125"/>
      <c r="F85" s="122"/>
      <c r="G85" s="106"/>
      <c r="H85" s="107"/>
      <c r="I85" s="100" t="str">
        <f t="shared" si="4"/>
        <v/>
      </c>
      <c r="J85" s="101"/>
      <c r="K85" s="108" t="str">
        <f t="shared" si="44"/>
        <v/>
      </c>
      <c r="L85" s="105" t="str">
        <f t="shared" si="45"/>
        <v/>
      </c>
      <c r="M85" s="138" t="str">
        <f t="shared" si="46"/>
        <v/>
      </c>
      <c r="N85" s="549"/>
      <c r="O85" s="80"/>
      <c r="P85" s="170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x14ac:dyDescent="0.3">
      <c r="A86" s="34"/>
      <c r="B86" s="563" t="s">
        <v>209</v>
      </c>
      <c r="C86" s="564"/>
      <c r="D86" s="146"/>
      <c r="E86" s="147"/>
      <c r="F86" s="148">
        <f>AVERAGE(F6:F85)</f>
        <v>232.46666666666667</v>
      </c>
      <c r="G86" s="149"/>
      <c r="H86" s="150">
        <f>AVERAGE(H6:H83)</f>
        <v>0.11933333333333337</v>
      </c>
      <c r="I86" s="151" t="str">
        <f t="shared" si="4"/>
        <v/>
      </c>
      <c r="J86" s="152"/>
      <c r="K86" s="153">
        <f>AVERAGE(K6:K67)</f>
        <v>161.35866666666666</v>
      </c>
      <c r="L86" s="148">
        <f>AVERAGE(L6:L79)</f>
        <v>143.00594000000004</v>
      </c>
      <c r="M86" s="154">
        <f>AVERAGE(M6:M16)</f>
        <v>12.786250000000001</v>
      </c>
      <c r="N86" s="155">
        <f>AVERAGE(N6:N83)</f>
        <v>55.002284615384632</v>
      </c>
      <c r="O86" s="80"/>
      <c r="P86" s="34"/>
      <c r="Q86" s="34"/>
      <c r="R86" s="34"/>
      <c r="S86" s="160"/>
      <c r="T86" s="34"/>
      <c r="U86" s="34"/>
      <c r="V86" s="34"/>
      <c r="W86" s="34"/>
      <c r="X86" s="34"/>
      <c r="Y86" s="34"/>
      <c r="Z86" s="34"/>
      <c r="AA86" s="34"/>
    </row>
    <row r="87" spans="1:27" x14ac:dyDescent="0.3">
      <c r="A87" s="34"/>
      <c r="B87" s="565" t="s">
        <v>59</v>
      </c>
      <c r="C87" s="566"/>
      <c r="D87" s="174"/>
      <c r="E87" s="174"/>
      <c r="F87" s="156">
        <f>SUM(F6:F83)</f>
        <v>3487</v>
      </c>
      <c r="G87" s="174"/>
      <c r="H87" s="157"/>
      <c r="I87" s="157"/>
      <c r="J87" s="174"/>
      <c r="K87" s="175"/>
      <c r="L87" s="176"/>
      <c r="M87" s="174"/>
      <c r="N87" s="158">
        <f>SUM(N6:N85)</f>
        <v>2145.0891000000006</v>
      </c>
      <c r="O87" s="80"/>
      <c r="P87" s="34"/>
      <c r="Q87" s="160"/>
      <c r="R87" s="160"/>
      <c r="S87" s="159"/>
      <c r="T87" s="34"/>
      <c r="U87" s="34"/>
      <c r="V87" s="34"/>
      <c r="W87" s="34"/>
      <c r="X87" s="34"/>
      <c r="Y87" s="34"/>
      <c r="Z87" s="34"/>
      <c r="AA87" s="34"/>
    </row>
    <row r="88" spans="1:27" x14ac:dyDescent="0.3">
      <c r="D88" s="2"/>
      <c r="F88" s="16"/>
      <c r="H88" s="19"/>
      <c r="I88" s="21"/>
    </row>
    <row r="89" spans="1:27" x14ac:dyDescent="0.3">
      <c r="K89" s="3"/>
    </row>
    <row r="90" spans="1:27" x14ac:dyDescent="0.3">
      <c r="F90" s="17"/>
      <c r="I90" s="17"/>
    </row>
  </sheetData>
  <mergeCells count="87"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</mergeCells>
  <dataValidations count="1">
    <dataValidation type="list" allowBlank="1" showInputMessage="1" showErrorMessage="1" sqref="G6:G86" xr:uid="{00000000-0002-0000-0500-000000000000}">
      <formula1>$S$6:$S$10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8AE4B"/>
  </sheetPr>
  <dimension ref="A1:AL212"/>
  <sheetViews>
    <sheetView showGridLines="0" workbookViewId="0"/>
  </sheetViews>
  <sheetFormatPr defaultRowHeight="14.4" x14ac:dyDescent="0.3"/>
  <cols>
    <col min="1" max="1" width="8.88671875" style="1"/>
    <col min="2" max="2" width="8.44140625" style="1" customWidth="1"/>
    <col min="3" max="3" width="11.5546875" style="1" customWidth="1"/>
    <col min="4" max="4" width="42.44140625" style="1" customWidth="1"/>
    <col min="5" max="5" width="13.77734375" style="1" customWidth="1"/>
    <col min="6" max="6" width="22.6640625" style="1" customWidth="1"/>
    <col min="7" max="7" width="11.6640625" style="1" customWidth="1"/>
    <col min="8" max="8" width="9.21875" style="23" customWidth="1"/>
    <col min="9" max="9" width="9.5546875" style="23" customWidth="1"/>
    <col min="10" max="10" width="11.21875" style="23" customWidth="1"/>
    <col min="11" max="11" width="12" style="23" customWidth="1"/>
    <col min="12" max="12" width="11.77734375" style="23" customWidth="1"/>
    <col min="13" max="13" width="14.44140625" style="23" customWidth="1"/>
    <col min="14" max="14" width="8.88671875" style="1"/>
    <col min="15" max="15" width="17.44140625" style="1" customWidth="1"/>
    <col min="16" max="16" width="8.88671875" style="1"/>
    <col min="17" max="17" width="8.88671875" style="1" customWidth="1"/>
    <col min="18" max="18" width="22" style="1" customWidth="1"/>
    <col min="19" max="19" width="11.44140625" style="1" customWidth="1"/>
    <col min="20" max="21" width="8.88671875" style="1"/>
    <col min="22" max="22" width="8" style="1" customWidth="1"/>
    <col min="23" max="24" width="8.88671875" style="1"/>
    <col min="25" max="25" width="26.44140625" style="1" customWidth="1"/>
    <col min="26" max="26" width="10.6640625" style="1" customWidth="1"/>
    <col min="27" max="30" width="8.88671875" style="1"/>
    <col min="31" max="31" width="8.88671875" style="5"/>
    <col min="32" max="16384" width="8.88671875" style="1"/>
  </cols>
  <sheetData>
    <row r="1" spans="1:3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86">
        <v>1</v>
      </c>
      <c r="AE1" s="86">
        <v>4.7E-2</v>
      </c>
      <c r="AF1" s="34"/>
      <c r="AG1" s="34"/>
      <c r="AH1" s="34"/>
      <c r="AI1" s="34"/>
      <c r="AJ1" s="34"/>
      <c r="AK1" s="34"/>
    </row>
    <row r="2" spans="1:37" ht="24" customHeight="1" x14ac:dyDescent="0.3">
      <c r="A2" s="34"/>
      <c r="B2" s="544" t="s">
        <v>210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401">
        <v>2</v>
      </c>
      <c r="AE2" s="401">
        <v>9.9000000000000005E-2</v>
      </c>
      <c r="AF2" s="397"/>
      <c r="AG2" s="397"/>
      <c r="AH2" s="397"/>
      <c r="AI2" s="397"/>
      <c r="AJ2" s="397"/>
      <c r="AK2" s="397"/>
    </row>
    <row r="3" spans="1:37" ht="18" customHeight="1" x14ac:dyDescent="0.3">
      <c r="A3" s="34"/>
      <c r="B3" s="569" t="s">
        <v>211</v>
      </c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1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402">
        <v>3</v>
      </c>
      <c r="AE3" s="402">
        <v>0.16</v>
      </c>
      <c r="AF3" s="369"/>
      <c r="AG3" s="369"/>
      <c r="AH3" s="369"/>
      <c r="AI3" s="369"/>
      <c r="AJ3" s="369"/>
      <c r="AK3" s="369"/>
    </row>
    <row r="4" spans="1:37" x14ac:dyDescent="0.3">
      <c r="A4" s="34"/>
      <c r="B4" s="177"/>
      <c r="C4" s="177"/>
      <c r="D4" s="177"/>
      <c r="E4" s="177"/>
      <c r="F4" s="177"/>
      <c r="G4" s="177"/>
      <c r="H4" s="178"/>
      <c r="I4" s="178"/>
      <c r="J4" s="178"/>
      <c r="K4" s="178"/>
      <c r="L4" s="178"/>
      <c r="M4" s="178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86">
        <v>4</v>
      </c>
      <c r="AE4" s="86">
        <v>0.16700000000000001</v>
      </c>
      <c r="AF4" s="34"/>
      <c r="AG4" s="34"/>
      <c r="AH4" s="34"/>
      <c r="AI4" s="34"/>
      <c r="AJ4" s="34"/>
      <c r="AK4" s="34"/>
    </row>
    <row r="5" spans="1:37" x14ac:dyDescent="0.3">
      <c r="A5" s="34"/>
      <c r="B5" s="177"/>
      <c r="C5" s="177"/>
      <c r="D5" s="177"/>
      <c r="E5" s="177"/>
      <c r="F5" s="177"/>
      <c r="G5" s="177"/>
      <c r="H5" s="178"/>
      <c r="I5" s="178"/>
      <c r="J5" s="178"/>
      <c r="K5" s="178"/>
      <c r="L5" s="178"/>
      <c r="M5" s="178"/>
      <c r="N5" s="34"/>
      <c r="O5" s="161">
        <f>1.42*0.95</f>
        <v>1.349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86">
        <v>5</v>
      </c>
      <c r="AE5" s="80">
        <v>0.17799999999999999</v>
      </c>
      <c r="AF5" s="34"/>
      <c r="AG5" s="34"/>
      <c r="AH5" s="34"/>
      <c r="AI5" s="34"/>
      <c r="AJ5" s="34"/>
      <c r="AK5" s="34"/>
    </row>
    <row r="6" spans="1:37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86">
        <v>6</v>
      </c>
      <c r="AE6" s="80">
        <v>0.17899999999999999</v>
      </c>
      <c r="AF6" s="34"/>
      <c r="AG6" s="34"/>
      <c r="AH6" s="34"/>
      <c r="AI6" s="34"/>
      <c r="AJ6" s="34"/>
      <c r="AK6" s="34"/>
    </row>
    <row r="7" spans="1:37" ht="22.05" customHeight="1" x14ac:dyDescent="0.3">
      <c r="A7" s="34"/>
      <c r="B7" s="370" t="s">
        <v>72</v>
      </c>
      <c r="C7" s="370" t="s">
        <v>74</v>
      </c>
      <c r="D7" s="370" t="s">
        <v>212</v>
      </c>
      <c r="E7" s="370" t="s">
        <v>213</v>
      </c>
      <c r="F7" s="370" t="s">
        <v>214</v>
      </c>
      <c r="G7" s="370" t="s">
        <v>215</v>
      </c>
      <c r="H7" s="370" t="s">
        <v>216</v>
      </c>
      <c r="I7" s="370" t="s">
        <v>217</v>
      </c>
      <c r="J7" s="370" t="s">
        <v>218</v>
      </c>
      <c r="K7" s="370" t="s">
        <v>219</v>
      </c>
      <c r="L7" s="370" t="s">
        <v>220</v>
      </c>
      <c r="M7" s="370" t="s">
        <v>66</v>
      </c>
      <c r="N7" s="34"/>
      <c r="O7" s="34"/>
      <c r="P7" s="34"/>
      <c r="Q7" s="532" t="s">
        <v>71</v>
      </c>
      <c r="R7" s="532"/>
      <c r="S7" s="532"/>
      <c r="T7" s="532"/>
      <c r="U7" s="532"/>
      <c r="V7" s="532"/>
      <c r="W7" s="34"/>
      <c r="X7" s="34"/>
      <c r="Y7" s="34"/>
      <c r="Z7" s="34"/>
      <c r="AA7" s="34"/>
      <c r="AB7" s="34"/>
      <c r="AC7" s="34"/>
      <c r="AD7" s="86">
        <v>7</v>
      </c>
      <c r="AE7" s="80">
        <v>0.21</v>
      </c>
      <c r="AF7" s="34"/>
      <c r="AG7" s="34"/>
      <c r="AH7" s="34"/>
      <c r="AI7" s="34"/>
      <c r="AJ7" s="34"/>
      <c r="AK7" s="34"/>
    </row>
    <row r="8" spans="1:37" ht="22.05" customHeight="1" x14ac:dyDescent="0.3">
      <c r="A8" s="34"/>
      <c r="B8" s="86">
        <v>1</v>
      </c>
      <c r="C8" s="78">
        <v>46174</v>
      </c>
      <c r="D8" s="86" t="s">
        <v>221</v>
      </c>
      <c r="E8" s="86" t="s">
        <v>222</v>
      </c>
      <c r="F8" s="86" t="s">
        <v>223</v>
      </c>
      <c r="G8" s="86"/>
      <c r="H8" s="180">
        <v>41</v>
      </c>
      <c r="I8" s="180">
        <v>1.35</v>
      </c>
      <c r="J8" s="181">
        <f>H8*I8</f>
        <v>55.35</v>
      </c>
      <c r="K8" s="181">
        <f>I8*G8</f>
        <v>0</v>
      </c>
      <c r="L8" s="180">
        <v>1.0269999999999999</v>
      </c>
      <c r="M8" s="181">
        <f>L8*J8</f>
        <v>56.844449999999995</v>
      </c>
      <c r="N8" s="435" t="s">
        <v>65</v>
      </c>
      <c r="O8" s="161">
        <f>MEDIAN(L8:L39)</f>
        <v>1.1160000000000001</v>
      </c>
      <c r="P8" s="34"/>
      <c r="Q8" s="371" t="s">
        <v>72</v>
      </c>
      <c r="R8" s="371" t="s">
        <v>73</v>
      </c>
      <c r="S8" s="371" t="s">
        <v>74</v>
      </c>
      <c r="T8" s="371" t="s">
        <v>75</v>
      </c>
      <c r="U8" s="371" t="s">
        <v>76</v>
      </c>
      <c r="V8" s="371" t="s">
        <v>77</v>
      </c>
      <c r="W8" s="34"/>
      <c r="X8" s="34"/>
      <c r="Y8" s="392"/>
      <c r="Z8" s="392"/>
      <c r="AA8" s="392"/>
      <c r="AB8" s="34"/>
      <c r="AC8" s="34"/>
      <c r="AD8" s="86">
        <v>8</v>
      </c>
      <c r="AE8" s="86">
        <v>0.21199999999999999</v>
      </c>
      <c r="AF8" s="34"/>
      <c r="AG8" s="34"/>
      <c r="AH8" s="34"/>
      <c r="AI8" s="34"/>
      <c r="AJ8" s="34"/>
      <c r="AK8" s="34"/>
    </row>
    <row r="9" spans="1:37" ht="22.05" customHeight="1" x14ac:dyDescent="0.3">
      <c r="A9" s="34"/>
      <c r="B9" s="86">
        <v>2</v>
      </c>
      <c r="C9" s="78">
        <v>46174</v>
      </c>
      <c r="D9" s="86" t="s">
        <v>224</v>
      </c>
      <c r="E9" s="86" t="s">
        <v>225</v>
      </c>
      <c r="F9" s="86" t="s">
        <v>226</v>
      </c>
      <c r="G9" s="86"/>
      <c r="H9" s="180">
        <v>16</v>
      </c>
      <c r="I9" s="180">
        <v>1.35</v>
      </c>
      <c r="J9" s="181">
        <f t="shared" ref="J9:J12" si="0">H9*I9</f>
        <v>21.6</v>
      </c>
      <c r="K9" s="181">
        <f t="shared" ref="K9:K12" si="1">I9*G9</f>
        <v>0</v>
      </c>
      <c r="L9" s="180">
        <v>1.228</v>
      </c>
      <c r="M9" s="181">
        <f t="shared" ref="M9:M39" si="2">L9*J9</f>
        <v>26.524800000000003</v>
      </c>
      <c r="N9" s="436" t="s">
        <v>227</v>
      </c>
      <c r="O9" s="183">
        <f>AVERAGE(L8:L39)</f>
        <v>1.7894999999999999</v>
      </c>
      <c r="P9" s="34"/>
      <c r="Q9" s="86">
        <v>1</v>
      </c>
      <c r="R9" s="80" t="s">
        <v>78</v>
      </c>
      <c r="S9" s="76">
        <v>46197</v>
      </c>
      <c r="T9" s="80">
        <v>0.54600000000000004</v>
      </c>
      <c r="U9" s="80"/>
      <c r="V9" s="80"/>
      <c r="W9" s="34"/>
      <c r="X9" s="34"/>
      <c r="Y9" s="433" t="s">
        <v>228</v>
      </c>
      <c r="Z9" s="393">
        <f>AVERAGE(T9:T261)</f>
        <v>0.89901503759398493</v>
      </c>
      <c r="AA9" s="393"/>
      <c r="AB9" s="34"/>
      <c r="AC9" s="34"/>
      <c r="AD9" s="86">
        <v>9</v>
      </c>
      <c r="AE9" s="86">
        <v>0.23100000000000001</v>
      </c>
      <c r="AF9" s="34"/>
      <c r="AG9" s="34"/>
      <c r="AH9" s="34"/>
      <c r="AI9" s="34"/>
      <c r="AJ9" s="34"/>
      <c r="AK9" s="34"/>
    </row>
    <row r="10" spans="1:37" ht="22.05" customHeight="1" x14ac:dyDescent="0.3">
      <c r="A10" s="34"/>
      <c r="B10" s="86">
        <v>3</v>
      </c>
      <c r="C10" s="78">
        <v>46175</v>
      </c>
      <c r="D10" s="86" t="s">
        <v>229</v>
      </c>
      <c r="E10" s="86" t="s">
        <v>230</v>
      </c>
      <c r="F10" s="86" t="s">
        <v>231</v>
      </c>
      <c r="G10" s="86"/>
      <c r="H10" s="180">
        <v>93</v>
      </c>
      <c r="I10" s="180">
        <v>1.35</v>
      </c>
      <c r="J10" s="181">
        <f t="shared" si="0"/>
        <v>125.55000000000001</v>
      </c>
      <c r="K10" s="181">
        <f t="shared" si="1"/>
        <v>0</v>
      </c>
      <c r="L10" s="185">
        <v>0.6</v>
      </c>
      <c r="M10" s="181">
        <f t="shared" si="2"/>
        <v>75.33</v>
      </c>
      <c r="N10" s="34"/>
      <c r="O10" s="34"/>
      <c r="P10" s="34"/>
      <c r="Q10" s="86">
        <v>2</v>
      </c>
      <c r="R10" s="80" t="s">
        <v>80</v>
      </c>
      <c r="S10" s="76">
        <v>46197</v>
      </c>
      <c r="T10" s="80">
        <v>0.57599999999999996</v>
      </c>
      <c r="U10" s="80"/>
      <c r="V10" s="80"/>
      <c r="W10" s="34"/>
      <c r="X10" s="34"/>
      <c r="Y10" s="433" t="s">
        <v>65</v>
      </c>
      <c r="Z10" s="393">
        <f>MEDIAN(T9:T330)</f>
        <v>0.66200000000000003</v>
      </c>
      <c r="AA10" s="392"/>
      <c r="AB10" s="34"/>
      <c r="AC10" s="34"/>
      <c r="AD10" s="86">
        <v>10</v>
      </c>
      <c r="AE10" s="86">
        <v>0.24</v>
      </c>
      <c r="AF10" s="34"/>
      <c r="AG10" s="34"/>
      <c r="AH10" s="34"/>
      <c r="AI10" s="34"/>
      <c r="AJ10" s="34"/>
      <c r="AK10" s="34"/>
    </row>
    <row r="11" spans="1:37" ht="22.05" customHeight="1" x14ac:dyDescent="0.3">
      <c r="A11" s="34"/>
      <c r="B11" s="86">
        <v>4</v>
      </c>
      <c r="C11" s="78">
        <v>46175</v>
      </c>
      <c r="D11" s="86" t="s">
        <v>232</v>
      </c>
      <c r="E11" s="86" t="s">
        <v>233</v>
      </c>
      <c r="F11" s="86" t="s">
        <v>223</v>
      </c>
      <c r="G11" s="86"/>
      <c r="H11" s="180">
        <v>40</v>
      </c>
      <c r="I11" s="180">
        <v>1.35</v>
      </c>
      <c r="J11" s="181">
        <f t="shared" si="0"/>
        <v>54</v>
      </c>
      <c r="K11" s="181">
        <f t="shared" si="1"/>
        <v>0</v>
      </c>
      <c r="L11" s="180">
        <v>1.0269999999999999</v>
      </c>
      <c r="M11" s="181">
        <f t="shared" si="2"/>
        <v>55.457999999999998</v>
      </c>
      <c r="N11" s="34"/>
      <c r="O11" s="182"/>
      <c r="P11" s="34"/>
      <c r="Q11" s="86">
        <v>3</v>
      </c>
      <c r="R11" s="80" t="s">
        <v>82</v>
      </c>
      <c r="S11" s="76">
        <v>46197</v>
      </c>
      <c r="T11" s="80">
        <v>0.83899999999999997</v>
      </c>
      <c r="U11" s="80"/>
      <c r="V11" s="80"/>
      <c r="W11" s="34"/>
      <c r="X11" s="34"/>
      <c r="Y11" s="433" t="s">
        <v>64</v>
      </c>
      <c r="Z11" s="393">
        <f>MIN(T9:T353)</f>
        <v>4.7E-2</v>
      </c>
      <c r="AA11" s="392"/>
      <c r="AB11" s="34"/>
      <c r="AC11" s="34"/>
      <c r="AD11" s="86">
        <v>11</v>
      </c>
      <c r="AE11" s="86">
        <v>0.24199999999999999</v>
      </c>
      <c r="AF11" s="34"/>
      <c r="AG11" s="34"/>
      <c r="AH11" s="34"/>
      <c r="AI11" s="34"/>
      <c r="AJ11" s="34"/>
      <c r="AK11" s="34"/>
    </row>
    <row r="12" spans="1:37" ht="22.05" customHeight="1" x14ac:dyDescent="0.3">
      <c r="A12" s="34"/>
      <c r="B12" s="86">
        <v>5</v>
      </c>
      <c r="C12" s="78">
        <v>46175</v>
      </c>
      <c r="D12" s="86" t="s">
        <v>234</v>
      </c>
      <c r="E12" s="86" t="s">
        <v>235</v>
      </c>
      <c r="F12" s="86" t="s">
        <v>226</v>
      </c>
      <c r="G12" s="86"/>
      <c r="H12" s="180">
        <v>13</v>
      </c>
      <c r="I12" s="180">
        <v>1.35</v>
      </c>
      <c r="J12" s="181">
        <f t="shared" si="0"/>
        <v>17.55</v>
      </c>
      <c r="K12" s="181">
        <f t="shared" si="1"/>
        <v>0</v>
      </c>
      <c r="L12" s="180">
        <v>1.228</v>
      </c>
      <c r="M12" s="181">
        <f t="shared" si="2"/>
        <v>21.551400000000001</v>
      </c>
      <c r="N12" s="34"/>
      <c r="O12" s="34"/>
      <c r="P12" s="34"/>
      <c r="Q12" s="86">
        <v>4</v>
      </c>
      <c r="R12" s="80" t="s">
        <v>84</v>
      </c>
      <c r="S12" s="76">
        <v>46197</v>
      </c>
      <c r="T12" s="80">
        <v>2.0110000000000001</v>
      </c>
      <c r="U12" s="80"/>
      <c r="V12" s="80"/>
      <c r="W12" s="34"/>
      <c r="X12" s="34"/>
      <c r="Y12" s="433" t="s">
        <v>62</v>
      </c>
      <c r="Z12" s="393">
        <f>MAX(T9:T242)</f>
        <v>4.383</v>
      </c>
      <c r="AA12" s="392"/>
      <c r="AB12" s="34"/>
      <c r="AC12" s="34"/>
      <c r="AD12" s="86">
        <v>12</v>
      </c>
      <c r="AE12" s="86">
        <v>0.252</v>
      </c>
      <c r="AF12" s="34"/>
      <c r="AG12" s="34"/>
      <c r="AH12" s="34"/>
      <c r="AI12" s="34"/>
      <c r="AJ12" s="34"/>
      <c r="AK12" s="34"/>
    </row>
    <row r="13" spans="1:37" ht="22.05" customHeight="1" x14ac:dyDescent="0.3">
      <c r="A13" s="34"/>
      <c r="B13" s="86">
        <v>6</v>
      </c>
      <c r="C13" s="78">
        <v>46249</v>
      </c>
      <c r="D13" s="86"/>
      <c r="E13" s="86" t="s">
        <v>236</v>
      </c>
      <c r="F13" s="86" t="s">
        <v>236</v>
      </c>
      <c r="G13" s="86">
        <v>200</v>
      </c>
      <c r="H13" s="180">
        <v>310</v>
      </c>
      <c r="I13" s="180">
        <v>1.39</v>
      </c>
      <c r="J13" s="181">
        <f>H13*I13</f>
        <v>430.9</v>
      </c>
      <c r="K13" s="181">
        <f t="shared" ref="K13:K22" si="3">I13*G13</f>
        <v>278</v>
      </c>
      <c r="L13" s="180">
        <v>1.1220000000000001</v>
      </c>
      <c r="M13" s="181">
        <f t="shared" si="2"/>
        <v>483.46980000000002</v>
      </c>
      <c r="N13" s="34"/>
      <c r="O13" s="34"/>
      <c r="P13" s="34"/>
      <c r="Q13" s="86">
        <v>5</v>
      </c>
      <c r="R13" s="80" t="s">
        <v>86</v>
      </c>
      <c r="S13" s="76">
        <v>46197</v>
      </c>
      <c r="T13" s="80">
        <v>0.94399999999999995</v>
      </c>
      <c r="U13" s="80"/>
      <c r="V13" s="80"/>
      <c r="W13" s="34"/>
      <c r="X13" s="34"/>
      <c r="Y13" s="392" t="s">
        <v>237</v>
      </c>
      <c r="Z13" s="394">
        <f>((Z9-Z10)/(Z9+Z10)/2)</f>
        <v>7.5916961683886008E-2</v>
      </c>
      <c r="AA13" s="393"/>
      <c r="AB13" s="34"/>
      <c r="AC13" s="34"/>
      <c r="AD13" s="86">
        <v>13</v>
      </c>
      <c r="AE13" s="86">
        <v>0.253</v>
      </c>
      <c r="AF13" s="34"/>
      <c r="AG13" s="34"/>
      <c r="AH13" s="34"/>
      <c r="AI13" s="34"/>
      <c r="AJ13" s="34"/>
      <c r="AK13" s="34"/>
    </row>
    <row r="14" spans="1:37" ht="22.05" customHeight="1" x14ac:dyDescent="0.3">
      <c r="A14" s="34"/>
      <c r="B14" s="86">
        <v>7</v>
      </c>
      <c r="C14" s="78">
        <v>46250</v>
      </c>
      <c r="D14" s="86"/>
      <c r="E14" s="86" t="s">
        <v>238</v>
      </c>
      <c r="F14" s="86" t="s">
        <v>238</v>
      </c>
      <c r="G14" s="86">
        <v>220</v>
      </c>
      <c r="H14" s="180">
        <v>190</v>
      </c>
      <c r="I14" s="180">
        <v>1.39</v>
      </c>
      <c r="J14" s="181">
        <f>H14*I14</f>
        <v>264.09999999999997</v>
      </c>
      <c r="K14" s="181">
        <f t="shared" si="3"/>
        <v>305.79999999999995</v>
      </c>
      <c r="L14" s="180">
        <v>1.1220000000000001</v>
      </c>
      <c r="M14" s="181">
        <f t="shared" si="2"/>
        <v>296.3202</v>
      </c>
      <c r="N14" s="34"/>
      <c r="O14" s="161">
        <f>MEDIAN(L8:L22)</f>
        <v>1.1100000000000001</v>
      </c>
      <c r="P14" s="34"/>
      <c r="Q14" s="86">
        <v>6</v>
      </c>
      <c r="R14" s="80" t="s">
        <v>88</v>
      </c>
      <c r="S14" s="76">
        <v>46197</v>
      </c>
      <c r="T14" s="80">
        <v>0.70199999999999996</v>
      </c>
      <c r="U14" s="80"/>
      <c r="V14" s="80"/>
      <c r="W14" s="34"/>
      <c r="X14" s="34"/>
      <c r="Y14" s="392" t="s">
        <v>239</v>
      </c>
      <c r="Z14" s="393">
        <f>Z9-Z10</f>
        <v>0.2370150375939849</v>
      </c>
      <c r="AA14" s="392"/>
      <c r="AB14" s="34"/>
      <c r="AC14" s="34"/>
      <c r="AD14" s="86">
        <v>14</v>
      </c>
      <c r="AE14" s="86">
        <v>0.30399999999999999</v>
      </c>
      <c r="AF14" s="34"/>
      <c r="AG14" s="34"/>
      <c r="AH14" s="34"/>
      <c r="AI14" s="34"/>
      <c r="AJ14" s="34"/>
      <c r="AK14" s="34"/>
    </row>
    <row r="15" spans="1:37" x14ac:dyDescent="0.3">
      <c r="A15" s="34"/>
      <c r="B15" s="86">
        <v>8</v>
      </c>
      <c r="C15" s="78">
        <v>46251</v>
      </c>
      <c r="D15" s="86"/>
      <c r="E15" s="86"/>
      <c r="F15" s="86" t="s">
        <v>223</v>
      </c>
      <c r="G15" s="86">
        <v>210</v>
      </c>
      <c r="H15" s="180">
        <v>34</v>
      </c>
      <c r="I15" s="180">
        <v>1.39</v>
      </c>
      <c r="J15" s="181">
        <f>H15*I15</f>
        <v>47.26</v>
      </c>
      <c r="K15" s="181">
        <f t="shared" si="3"/>
        <v>291.89999999999998</v>
      </c>
      <c r="L15" s="180">
        <v>1.02</v>
      </c>
      <c r="M15" s="181">
        <f t="shared" si="2"/>
        <v>48.205199999999998</v>
      </c>
      <c r="N15" s="183"/>
      <c r="O15" s="34"/>
      <c r="P15" s="34"/>
      <c r="Q15" s="86">
        <v>7</v>
      </c>
      <c r="R15" s="80" t="s">
        <v>90</v>
      </c>
      <c r="S15" s="76">
        <v>46197</v>
      </c>
      <c r="T15" s="80">
        <v>3.2160000000000002</v>
      </c>
      <c r="U15" s="80"/>
      <c r="V15" s="80"/>
      <c r="W15" s="34"/>
      <c r="X15" s="34"/>
      <c r="Y15" s="34"/>
      <c r="Z15" s="34"/>
      <c r="AA15" s="34"/>
      <c r="AB15" s="34"/>
      <c r="AC15" s="34"/>
      <c r="AD15" s="86">
        <v>15</v>
      </c>
      <c r="AE15" s="86">
        <v>0.308</v>
      </c>
      <c r="AF15" s="34"/>
      <c r="AG15" s="34"/>
      <c r="AH15" s="34"/>
      <c r="AI15" s="34"/>
      <c r="AJ15" s="34"/>
      <c r="AK15" s="34"/>
    </row>
    <row r="16" spans="1:37" x14ac:dyDescent="0.3">
      <c r="A16" s="34"/>
      <c r="B16" s="86">
        <v>9</v>
      </c>
      <c r="C16" s="78">
        <v>46252</v>
      </c>
      <c r="D16" s="180"/>
      <c r="E16" s="86"/>
      <c r="F16" s="86" t="s">
        <v>223</v>
      </c>
      <c r="G16" s="86">
        <v>30</v>
      </c>
      <c r="H16" s="180">
        <v>64</v>
      </c>
      <c r="I16" s="180">
        <v>1.39</v>
      </c>
      <c r="J16" s="181">
        <f>H16*I16</f>
        <v>88.96</v>
      </c>
      <c r="K16" s="181">
        <f t="shared" si="3"/>
        <v>41.699999999999996</v>
      </c>
      <c r="L16" s="186">
        <v>1.02</v>
      </c>
      <c r="M16" s="181">
        <f t="shared" si="2"/>
        <v>90.739199999999997</v>
      </c>
      <c r="N16" s="34"/>
      <c r="O16" s="34"/>
      <c r="P16" s="34"/>
      <c r="Q16" s="86">
        <v>8</v>
      </c>
      <c r="R16" s="80" t="s">
        <v>92</v>
      </c>
      <c r="S16" s="76">
        <v>46197</v>
      </c>
      <c r="T16" s="80">
        <v>0.56200000000000006</v>
      </c>
      <c r="U16" s="80"/>
      <c r="V16" s="80"/>
      <c r="W16" s="34"/>
      <c r="X16" s="34"/>
      <c r="Y16" s="34"/>
      <c r="Z16" s="34"/>
      <c r="AA16" s="34"/>
      <c r="AB16" s="34"/>
      <c r="AC16" s="34"/>
      <c r="AD16" s="86">
        <v>16</v>
      </c>
      <c r="AE16" s="86">
        <v>0.31</v>
      </c>
      <c r="AF16" s="34"/>
      <c r="AG16" s="34"/>
      <c r="AH16" s="34"/>
      <c r="AI16" s="34"/>
      <c r="AJ16" s="34"/>
      <c r="AK16" s="34"/>
    </row>
    <row r="17" spans="1:38" x14ac:dyDescent="0.3">
      <c r="A17" s="34"/>
      <c r="B17" s="86">
        <v>10</v>
      </c>
      <c r="C17" s="78">
        <v>46253</v>
      </c>
      <c r="D17" s="86"/>
      <c r="E17" s="86"/>
      <c r="F17" s="86" t="s">
        <v>223</v>
      </c>
      <c r="G17" s="86">
        <v>60</v>
      </c>
      <c r="H17" s="180">
        <v>62</v>
      </c>
      <c r="I17" s="180">
        <v>1.39</v>
      </c>
      <c r="J17" s="181">
        <f t="shared" ref="J17:J39" si="4">H17*I17</f>
        <v>86.179999999999993</v>
      </c>
      <c r="K17" s="181">
        <f t="shared" si="3"/>
        <v>83.399999999999991</v>
      </c>
      <c r="L17" s="180">
        <v>0.93500000000000005</v>
      </c>
      <c r="M17" s="181">
        <f t="shared" si="2"/>
        <v>80.578299999999999</v>
      </c>
      <c r="N17" s="34"/>
      <c r="O17" s="34"/>
      <c r="P17" s="34"/>
      <c r="Q17" s="86">
        <v>9</v>
      </c>
      <c r="R17" s="80" t="s">
        <v>94</v>
      </c>
      <c r="S17" s="76">
        <v>46197</v>
      </c>
      <c r="T17" s="80">
        <v>0.79</v>
      </c>
      <c r="U17" s="80"/>
      <c r="V17" s="80"/>
      <c r="W17" s="34"/>
      <c r="X17" s="34"/>
      <c r="Y17" s="34"/>
      <c r="Z17" s="183"/>
      <c r="AA17" s="34"/>
      <c r="AB17" s="34"/>
      <c r="AC17" s="34"/>
      <c r="AD17" s="86">
        <v>17</v>
      </c>
      <c r="AE17" s="86">
        <v>0.318</v>
      </c>
      <c r="AF17" s="34"/>
      <c r="AG17" s="34"/>
      <c r="AH17" s="34"/>
      <c r="AI17" s="34"/>
      <c r="AJ17" s="34"/>
      <c r="AK17" s="34"/>
    </row>
    <row r="18" spans="1:38" x14ac:dyDescent="0.3">
      <c r="A18" s="34"/>
      <c r="B18" s="86">
        <v>11</v>
      </c>
      <c r="C18" s="78">
        <v>46254</v>
      </c>
      <c r="D18" s="86"/>
      <c r="E18" s="86"/>
      <c r="F18" s="86" t="s">
        <v>223</v>
      </c>
      <c r="G18" s="86">
        <v>60</v>
      </c>
      <c r="H18" s="180">
        <v>108</v>
      </c>
      <c r="I18" s="180">
        <v>1.39</v>
      </c>
      <c r="J18" s="181">
        <f t="shared" si="4"/>
        <v>150.11999999999998</v>
      </c>
      <c r="K18" s="181">
        <f t="shared" si="3"/>
        <v>83.399999999999991</v>
      </c>
      <c r="L18" s="180">
        <v>1.1100000000000001</v>
      </c>
      <c r="M18" s="181">
        <f t="shared" si="2"/>
        <v>166.63319999999999</v>
      </c>
      <c r="N18" s="161">
        <v>1358</v>
      </c>
      <c r="O18" s="34"/>
      <c r="P18" s="34"/>
      <c r="Q18" s="86">
        <v>10</v>
      </c>
      <c r="R18" s="80" t="s">
        <v>96</v>
      </c>
      <c r="S18" s="76">
        <v>46197</v>
      </c>
      <c r="T18" s="80">
        <v>1.583</v>
      </c>
      <c r="U18" s="80"/>
      <c r="V18" s="80"/>
      <c r="W18" s="34"/>
      <c r="X18" s="34"/>
      <c r="Y18" s="34"/>
      <c r="Z18" s="34"/>
      <c r="AA18" s="34"/>
      <c r="AB18" s="34"/>
      <c r="AC18" s="34"/>
      <c r="AD18" s="86">
        <v>18</v>
      </c>
      <c r="AE18" s="86">
        <v>0.32300000000000001</v>
      </c>
      <c r="AF18" s="34"/>
      <c r="AG18" s="34"/>
      <c r="AH18" s="34"/>
      <c r="AI18" s="34"/>
      <c r="AJ18" s="34"/>
      <c r="AK18" s="34"/>
    </row>
    <row r="19" spans="1:38" x14ac:dyDescent="0.3">
      <c r="A19" s="34"/>
      <c r="B19" s="86">
        <v>12</v>
      </c>
      <c r="C19" s="78">
        <v>46255</v>
      </c>
      <c r="D19" s="86"/>
      <c r="E19" s="86"/>
      <c r="F19" s="86" t="s">
        <v>223</v>
      </c>
      <c r="G19" s="86">
        <v>150</v>
      </c>
      <c r="H19" s="180">
        <v>130</v>
      </c>
      <c r="I19" s="180">
        <v>1.39</v>
      </c>
      <c r="J19" s="181">
        <f>H19*I19</f>
        <v>180.7</v>
      </c>
      <c r="K19" s="181">
        <f t="shared" si="3"/>
        <v>208.49999999999997</v>
      </c>
      <c r="L19" s="180">
        <v>12.308999999999999</v>
      </c>
      <c r="M19" s="181">
        <f t="shared" si="2"/>
        <v>2224.2362999999996</v>
      </c>
      <c r="N19" s="34"/>
      <c r="O19" s="34"/>
      <c r="P19" s="34"/>
      <c r="Q19" s="86">
        <v>11</v>
      </c>
      <c r="R19" s="80" t="s">
        <v>98</v>
      </c>
      <c r="S19" s="76">
        <v>46181</v>
      </c>
      <c r="T19" s="80">
        <v>1.9630000000000001</v>
      </c>
      <c r="U19" s="80"/>
      <c r="V19" s="80"/>
      <c r="W19" s="34"/>
      <c r="X19" s="34"/>
      <c r="Y19" s="34"/>
      <c r="Z19" s="34"/>
      <c r="AA19" s="34"/>
      <c r="AB19" s="34"/>
      <c r="AC19" s="34"/>
      <c r="AD19" s="86">
        <v>19</v>
      </c>
      <c r="AE19" s="86">
        <v>0.32600000000000001</v>
      </c>
      <c r="AF19" s="34"/>
      <c r="AG19" s="34"/>
      <c r="AH19" s="34"/>
      <c r="AI19" s="34"/>
      <c r="AJ19" s="34"/>
      <c r="AK19" s="34"/>
    </row>
    <row r="20" spans="1:38" x14ac:dyDescent="0.3">
      <c r="A20" s="34"/>
      <c r="B20" s="86">
        <v>13</v>
      </c>
      <c r="C20" s="78">
        <v>46257</v>
      </c>
      <c r="D20" s="86"/>
      <c r="E20" s="86"/>
      <c r="F20" s="86" t="s">
        <v>223</v>
      </c>
      <c r="G20" s="86">
        <v>110</v>
      </c>
      <c r="H20" s="180">
        <v>94</v>
      </c>
      <c r="I20" s="180">
        <v>1.39</v>
      </c>
      <c r="J20" s="181">
        <f t="shared" si="4"/>
        <v>130.66</v>
      </c>
      <c r="K20" s="181">
        <f t="shared" si="3"/>
        <v>152.89999999999998</v>
      </c>
      <c r="L20" s="180">
        <v>0.86</v>
      </c>
      <c r="M20" s="181">
        <f t="shared" si="2"/>
        <v>112.3676</v>
      </c>
      <c r="N20" s="34"/>
      <c r="O20" s="161">
        <f>N18*1.39</f>
        <v>1887.62</v>
      </c>
      <c r="P20" s="34"/>
      <c r="Q20" s="86">
        <v>12</v>
      </c>
      <c r="R20" s="80" t="s">
        <v>100</v>
      </c>
      <c r="S20" s="76">
        <v>46181</v>
      </c>
      <c r="T20" s="80">
        <v>0.73499999999999999</v>
      </c>
      <c r="U20" s="80"/>
      <c r="V20" s="80"/>
      <c r="W20" s="34"/>
      <c r="X20" s="34"/>
      <c r="Y20" s="34"/>
      <c r="Z20" s="34"/>
      <c r="AA20" s="34"/>
      <c r="AB20" s="34"/>
      <c r="AC20" s="34"/>
      <c r="AD20" s="86">
        <v>20</v>
      </c>
      <c r="AE20" s="80">
        <v>0.33600000000000002</v>
      </c>
      <c r="AF20" s="34"/>
      <c r="AG20" s="34"/>
      <c r="AH20" s="34"/>
      <c r="AI20" s="34"/>
      <c r="AJ20" s="34"/>
      <c r="AK20" s="34"/>
    </row>
    <row r="21" spans="1:38" x14ac:dyDescent="0.3">
      <c r="A21" s="34"/>
      <c r="B21" s="86">
        <v>14</v>
      </c>
      <c r="C21" s="78">
        <v>46261</v>
      </c>
      <c r="D21" s="86"/>
      <c r="E21" s="86"/>
      <c r="F21" s="86" t="s">
        <v>223</v>
      </c>
      <c r="G21" s="86">
        <v>100</v>
      </c>
      <c r="H21" s="180">
        <v>310</v>
      </c>
      <c r="I21" s="187">
        <v>1.3</v>
      </c>
      <c r="J21" s="181">
        <f t="shared" si="4"/>
        <v>403</v>
      </c>
      <c r="K21" s="181">
        <f t="shared" si="3"/>
        <v>130</v>
      </c>
      <c r="L21" s="180">
        <v>1.2969999999999999</v>
      </c>
      <c r="M21" s="181">
        <f t="shared" si="2"/>
        <v>522.69099999999992</v>
      </c>
      <c r="N21" s="34"/>
      <c r="O21" s="34"/>
      <c r="P21" s="34"/>
      <c r="Q21" s="86">
        <v>13</v>
      </c>
      <c r="R21" s="80" t="s">
        <v>102</v>
      </c>
      <c r="S21" s="76">
        <v>46181</v>
      </c>
      <c r="T21" s="80">
        <v>0.34799999999999998</v>
      </c>
      <c r="U21" s="80"/>
      <c r="V21" s="80"/>
      <c r="W21" s="34"/>
      <c r="X21" s="34"/>
      <c r="Y21" s="34"/>
      <c r="Z21" s="34"/>
      <c r="AA21" s="34"/>
      <c r="AB21" s="34"/>
      <c r="AC21" s="34"/>
      <c r="AD21" s="86">
        <v>21</v>
      </c>
      <c r="AE21" s="86">
        <v>0.33700000000000002</v>
      </c>
      <c r="AF21" s="34"/>
      <c r="AG21" s="34"/>
      <c r="AH21" s="34"/>
      <c r="AI21" s="34"/>
      <c r="AJ21" s="34"/>
      <c r="AK21" s="34"/>
    </row>
    <row r="22" spans="1:38" x14ac:dyDescent="0.3">
      <c r="A22" s="34"/>
      <c r="B22" s="86">
        <v>15</v>
      </c>
      <c r="C22" s="76">
        <v>46262</v>
      </c>
      <c r="D22" s="80"/>
      <c r="E22" s="80"/>
      <c r="F22" s="86" t="s">
        <v>223</v>
      </c>
      <c r="G22" s="86">
        <v>280</v>
      </c>
      <c r="H22" s="180">
        <v>56</v>
      </c>
      <c r="I22" s="187">
        <v>1.3</v>
      </c>
      <c r="J22" s="181">
        <f t="shared" si="4"/>
        <v>72.8</v>
      </c>
      <c r="K22" s="181">
        <f t="shared" si="3"/>
        <v>364</v>
      </c>
      <c r="L22" s="180">
        <v>1.4970000000000001</v>
      </c>
      <c r="M22" s="181">
        <f t="shared" si="2"/>
        <v>108.9816</v>
      </c>
      <c r="N22" s="34"/>
      <c r="O22" s="161">
        <f>366*1.39</f>
        <v>508.73999999999995</v>
      </c>
      <c r="P22" s="34"/>
      <c r="Q22" s="86">
        <v>14</v>
      </c>
      <c r="R22" s="80" t="s">
        <v>104</v>
      </c>
      <c r="S22" s="76">
        <v>46181</v>
      </c>
      <c r="T22" s="80">
        <v>1.2929999999999999</v>
      </c>
      <c r="U22" s="80"/>
      <c r="V22" s="80"/>
      <c r="W22" s="34"/>
      <c r="X22" s="34"/>
      <c r="Y22" s="34"/>
      <c r="Z22" s="34"/>
      <c r="AA22" s="34"/>
      <c r="AB22" s="34"/>
      <c r="AC22" s="34"/>
      <c r="AD22" s="86">
        <v>22</v>
      </c>
      <c r="AE22" s="86">
        <v>0.34</v>
      </c>
      <c r="AF22" s="34"/>
      <c r="AG22" s="34"/>
      <c r="AH22" s="34"/>
      <c r="AI22" s="34"/>
      <c r="AJ22" s="34"/>
      <c r="AK22" s="34"/>
    </row>
    <row r="23" spans="1:38" x14ac:dyDescent="0.3">
      <c r="A23" s="34"/>
      <c r="B23" s="86">
        <v>16</v>
      </c>
      <c r="C23" s="76">
        <v>46263</v>
      </c>
      <c r="D23" s="188"/>
      <c r="E23" s="188"/>
      <c r="F23" s="188"/>
      <c r="G23" s="189"/>
      <c r="H23" s="189"/>
      <c r="I23" s="189"/>
      <c r="J23" s="189"/>
      <c r="K23" s="189"/>
      <c r="L23" s="171"/>
      <c r="M23" s="181">
        <f t="shared" si="2"/>
        <v>0</v>
      </c>
      <c r="N23" s="34"/>
      <c r="O23" s="34"/>
      <c r="P23" s="34"/>
      <c r="Q23" s="86">
        <v>15</v>
      </c>
      <c r="R23" s="80" t="s">
        <v>106</v>
      </c>
      <c r="S23" s="76">
        <v>46181</v>
      </c>
      <c r="T23" s="80">
        <v>0.43</v>
      </c>
      <c r="U23" s="80"/>
      <c r="V23" s="80"/>
      <c r="W23" s="34"/>
      <c r="X23" s="34"/>
      <c r="Y23" s="34"/>
      <c r="Z23" s="34"/>
      <c r="AA23" s="34"/>
      <c r="AB23" s="34"/>
      <c r="AC23" s="34"/>
      <c r="AD23" s="86">
        <v>23</v>
      </c>
      <c r="AE23" s="86">
        <v>0.34399999999999997</v>
      </c>
      <c r="AF23" s="34"/>
      <c r="AG23" s="34"/>
      <c r="AH23" s="34"/>
      <c r="AI23" s="34"/>
      <c r="AJ23" s="34"/>
      <c r="AK23" s="34"/>
    </row>
    <row r="24" spans="1:38" x14ac:dyDescent="0.3">
      <c r="A24" s="34"/>
      <c r="B24" s="86">
        <v>17</v>
      </c>
      <c r="C24" s="76">
        <v>46264</v>
      </c>
      <c r="D24" s="80"/>
      <c r="E24" s="80"/>
      <c r="F24" s="80"/>
      <c r="G24" s="80"/>
      <c r="H24" s="171"/>
      <c r="I24" s="180">
        <v>1.35</v>
      </c>
      <c r="J24" s="181">
        <f t="shared" si="4"/>
        <v>0</v>
      </c>
      <c r="K24" s="181"/>
      <c r="L24" s="171"/>
      <c r="M24" s="181">
        <f t="shared" si="2"/>
        <v>0</v>
      </c>
      <c r="N24" s="34"/>
      <c r="O24" s="34"/>
      <c r="P24" s="34"/>
      <c r="Q24" s="86">
        <v>16</v>
      </c>
      <c r="R24" s="80" t="s">
        <v>108</v>
      </c>
      <c r="S24" s="76">
        <v>46180</v>
      </c>
      <c r="T24" s="80">
        <v>0.55800000000000005</v>
      </c>
      <c r="U24" s="80"/>
      <c r="V24" s="80"/>
      <c r="W24" s="34"/>
      <c r="X24" s="34"/>
      <c r="Y24" s="34"/>
      <c r="Z24" s="34"/>
      <c r="AA24" s="34"/>
      <c r="AB24" s="34"/>
      <c r="AC24" s="34"/>
      <c r="AD24" s="86">
        <v>24</v>
      </c>
      <c r="AE24" s="86">
        <v>0.34799999999999998</v>
      </c>
      <c r="AF24" s="34"/>
      <c r="AG24" s="34"/>
      <c r="AH24" s="34"/>
      <c r="AI24" s="34"/>
      <c r="AJ24" s="34"/>
      <c r="AK24" s="34"/>
    </row>
    <row r="25" spans="1:38" x14ac:dyDescent="0.3">
      <c r="A25" s="34"/>
      <c r="B25" s="86">
        <v>18</v>
      </c>
      <c r="C25" s="76">
        <v>46265</v>
      </c>
      <c r="D25" s="80"/>
      <c r="E25" s="80"/>
      <c r="F25" s="80" t="s">
        <v>223</v>
      </c>
      <c r="G25" s="80"/>
      <c r="H25" s="171">
        <v>23</v>
      </c>
      <c r="I25" s="180">
        <v>1.3</v>
      </c>
      <c r="J25" s="181">
        <f t="shared" si="4"/>
        <v>29.900000000000002</v>
      </c>
      <c r="K25" s="181"/>
      <c r="L25" s="171">
        <v>1.23</v>
      </c>
      <c r="M25" s="181">
        <f t="shared" si="2"/>
        <v>36.777000000000001</v>
      </c>
      <c r="N25" s="34"/>
      <c r="O25" s="34"/>
      <c r="P25" s="34"/>
      <c r="Q25" s="86">
        <v>17</v>
      </c>
      <c r="R25" s="80" t="s">
        <v>110</v>
      </c>
      <c r="S25" s="76">
        <v>46180</v>
      </c>
      <c r="T25" s="80">
        <v>0.60399999999999998</v>
      </c>
      <c r="U25" s="80"/>
      <c r="V25" s="80"/>
      <c r="W25" s="34"/>
      <c r="X25" s="34"/>
      <c r="Y25" s="34"/>
      <c r="Z25" s="34"/>
      <c r="AA25" s="34"/>
      <c r="AB25" s="34"/>
      <c r="AC25" s="34"/>
      <c r="AD25" s="86">
        <v>25</v>
      </c>
      <c r="AE25" s="86">
        <v>0.35099999999999998</v>
      </c>
      <c r="AF25" s="34"/>
      <c r="AG25" s="34"/>
      <c r="AH25" s="34"/>
      <c r="AI25" s="34"/>
      <c r="AJ25" s="34"/>
      <c r="AK25" s="34"/>
    </row>
    <row r="26" spans="1:38" x14ac:dyDescent="0.3">
      <c r="A26" s="34"/>
      <c r="B26" s="86">
        <v>19</v>
      </c>
      <c r="C26" s="80"/>
      <c r="D26" s="80"/>
      <c r="E26" s="80"/>
      <c r="F26" s="80"/>
      <c r="G26" s="80"/>
      <c r="H26" s="171"/>
      <c r="I26" s="180">
        <v>1.35</v>
      </c>
      <c r="J26" s="181">
        <f t="shared" si="4"/>
        <v>0</v>
      </c>
      <c r="K26" s="181"/>
      <c r="L26" s="171"/>
      <c r="M26" s="181">
        <f t="shared" si="2"/>
        <v>0</v>
      </c>
      <c r="N26" s="34"/>
      <c r="O26" s="34"/>
      <c r="P26" s="34"/>
      <c r="Q26" s="86">
        <v>18</v>
      </c>
      <c r="R26" s="80" t="s">
        <v>112</v>
      </c>
      <c r="S26" s="76">
        <v>46180</v>
      </c>
      <c r="T26" s="80">
        <v>4.383</v>
      </c>
      <c r="U26" s="80"/>
      <c r="V26" s="80"/>
      <c r="W26" s="34"/>
      <c r="X26" s="34"/>
      <c r="Y26" s="34"/>
      <c r="Z26" s="34"/>
      <c r="AA26" s="34"/>
      <c r="AB26" s="34"/>
      <c r="AC26" s="34"/>
      <c r="AD26" s="86">
        <v>26</v>
      </c>
      <c r="AE26" s="86">
        <v>0.35099999999999998</v>
      </c>
      <c r="AF26" s="34"/>
      <c r="AG26" s="34"/>
      <c r="AH26" s="34"/>
      <c r="AI26" s="34"/>
      <c r="AJ26" s="34"/>
      <c r="AK26" s="34"/>
      <c r="AL26" s="3"/>
    </row>
    <row r="27" spans="1:38" x14ac:dyDescent="0.3">
      <c r="A27" s="34"/>
      <c r="B27" s="86">
        <v>20</v>
      </c>
      <c r="C27" s="80"/>
      <c r="D27" s="80"/>
      <c r="E27" s="80"/>
      <c r="F27" s="80"/>
      <c r="G27" s="80"/>
      <c r="H27" s="171"/>
      <c r="I27" s="180">
        <v>1.35</v>
      </c>
      <c r="J27" s="181">
        <f t="shared" si="4"/>
        <v>0</v>
      </c>
      <c r="K27" s="181"/>
      <c r="L27" s="171"/>
      <c r="M27" s="181">
        <f t="shared" si="2"/>
        <v>0</v>
      </c>
      <c r="N27" s="34"/>
      <c r="O27" s="161">
        <f>4/7</f>
        <v>0.5714285714285714</v>
      </c>
      <c r="P27" s="34"/>
      <c r="Q27" s="86">
        <v>19</v>
      </c>
      <c r="R27" s="80" t="s">
        <v>113</v>
      </c>
      <c r="S27" s="76">
        <v>46180</v>
      </c>
      <c r="T27" s="80">
        <v>3.2330000000000001</v>
      </c>
      <c r="U27" s="80"/>
      <c r="V27" s="80"/>
      <c r="W27" s="34"/>
      <c r="X27" s="34"/>
      <c r="Y27" s="34"/>
      <c r="Z27" s="34"/>
      <c r="AA27" s="34"/>
      <c r="AB27" s="34"/>
      <c r="AC27" s="34"/>
      <c r="AD27" s="86">
        <v>27</v>
      </c>
      <c r="AE27" s="86">
        <v>0.35099999999999998</v>
      </c>
      <c r="AF27" s="34"/>
      <c r="AG27" s="34"/>
      <c r="AH27" s="34"/>
      <c r="AI27" s="34"/>
      <c r="AJ27" s="34"/>
      <c r="AK27" s="34"/>
    </row>
    <row r="28" spans="1:38" x14ac:dyDescent="0.3">
      <c r="A28" s="34"/>
      <c r="B28" s="86">
        <v>21</v>
      </c>
      <c r="C28" s="80"/>
      <c r="D28" s="80"/>
      <c r="E28" s="80"/>
      <c r="F28" s="80"/>
      <c r="G28" s="80"/>
      <c r="H28" s="171"/>
      <c r="I28" s="180">
        <v>1.35</v>
      </c>
      <c r="J28" s="181">
        <f t="shared" si="4"/>
        <v>0</v>
      </c>
      <c r="K28" s="181"/>
      <c r="L28" s="171"/>
      <c r="M28" s="181">
        <f t="shared" si="2"/>
        <v>0</v>
      </c>
      <c r="N28" s="34"/>
      <c r="O28" s="161">
        <f>3/7</f>
        <v>0.42857142857142855</v>
      </c>
      <c r="P28" s="34"/>
      <c r="Q28" s="86">
        <v>20</v>
      </c>
      <c r="R28" s="80" t="s">
        <v>114</v>
      </c>
      <c r="S28" s="76">
        <v>46180</v>
      </c>
      <c r="T28" s="80">
        <v>1.635</v>
      </c>
      <c r="U28" s="80"/>
      <c r="V28" s="80"/>
      <c r="W28" s="34"/>
      <c r="X28" s="34"/>
      <c r="Y28" s="34"/>
      <c r="Z28" s="34"/>
      <c r="AA28" s="34"/>
      <c r="AB28" s="34"/>
      <c r="AC28" s="34"/>
      <c r="AD28" s="86">
        <v>28</v>
      </c>
      <c r="AE28" s="86">
        <v>0.35399999999999998</v>
      </c>
      <c r="AF28" s="34"/>
      <c r="AG28" s="34"/>
      <c r="AH28" s="34"/>
      <c r="AI28" s="34"/>
      <c r="AJ28" s="34"/>
      <c r="AK28" s="34"/>
    </row>
    <row r="29" spans="1:38" x14ac:dyDescent="0.3">
      <c r="A29" s="34"/>
      <c r="B29" s="86">
        <v>22</v>
      </c>
      <c r="C29" s="80"/>
      <c r="D29" s="80"/>
      <c r="E29" s="80"/>
      <c r="F29" s="80"/>
      <c r="G29" s="80"/>
      <c r="H29" s="171"/>
      <c r="I29" s="180">
        <v>1.35</v>
      </c>
      <c r="J29" s="181">
        <f t="shared" si="4"/>
        <v>0</v>
      </c>
      <c r="K29" s="181"/>
      <c r="L29" s="171"/>
      <c r="M29" s="181">
        <f t="shared" si="2"/>
        <v>0</v>
      </c>
      <c r="N29" s="34"/>
      <c r="O29" s="34"/>
      <c r="P29" s="34"/>
      <c r="Q29" s="86">
        <v>21</v>
      </c>
      <c r="R29" s="80" t="s">
        <v>115</v>
      </c>
      <c r="S29" s="76">
        <v>46180</v>
      </c>
      <c r="T29" s="80">
        <v>1.2390000000000001</v>
      </c>
      <c r="U29" s="80"/>
      <c r="V29" s="80"/>
      <c r="W29" s="34"/>
      <c r="X29" s="34"/>
      <c r="Y29" s="34"/>
      <c r="Z29" s="34"/>
      <c r="AA29" s="34"/>
      <c r="AB29" s="34"/>
      <c r="AC29" s="34"/>
      <c r="AD29" s="86">
        <v>29</v>
      </c>
      <c r="AE29" s="86">
        <v>0.35699999999999998</v>
      </c>
      <c r="AF29" s="34"/>
      <c r="AG29" s="34"/>
      <c r="AH29" s="34"/>
      <c r="AI29" s="34"/>
      <c r="AJ29" s="34"/>
      <c r="AK29" s="34"/>
    </row>
    <row r="30" spans="1:38" x14ac:dyDescent="0.3">
      <c r="A30" s="34"/>
      <c r="B30" s="86">
        <v>23</v>
      </c>
      <c r="C30" s="80"/>
      <c r="D30" s="80"/>
      <c r="E30" s="80"/>
      <c r="F30" s="80"/>
      <c r="G30" s="80"/>
      <c r="H30" s="171"/>
      <c r="I30" s="180">
        <v>1.35</v>
      </c>
      <c r="J30" s="181">
        <f t="shared" si="4"/>
        <v>0</v>
      </c>
      <c r="K30" s="181"/>
      <c r="L30" s="171"/>
      <c r="M30" s="181">
        <f t="shared" si="2"/>
        <v>0</v>
      </c>
      <c r="N30" s="34"/>
      <c r="O30" s="34"/>
      <c r="P30" s="34"/>
      <c r="Q30" s="86">
        <v>22</v>
      </c>
      <c r="R30" s="80" t="s">
        <v>116</v>
      </c>
      <c r="S30" s="76">
        <v>46180</v>
      </c>
      <c r="T30" s="80">
        <v>0.84699999999999998</v>
      </c>
      <c r="U30" s="80"/>
      <c r="V30" s="80"/>
      <c r="W30" s="34"/>
      <c r="X30" s="34"/>
      <c r="Y30" s="34"/>
      <c r="Z30" s="34"/>
      <c r="AA30" s="34"/>
      <c r="AB30" s="34"/>
      <c r="AC30" s="34"/>
      <c r="AD30" s="86">
        <v>30</v>
      </c>
      <c r="AE30" s="80">
        <v>0.35799999999999998</v>
      </c>
      <c r="AF30" s="34"/>
      <c r="AG30" s="34"/>
      <c r="AH30" s="34"/>
      <c r="AI30" s="34"/>
      <c r="AJ30" s="34"/>
      <c r="AK30" s="34"/>
    </row>
    <row r="31" spans="1:38" x14ac:dyDescent="0.3">
      <c r="A31" s="34"/>
      <c r="B31" s="86">
        <v>24</v>
      </c>
      <c r="C31" s="80"/>
      <c r="D31" s="80"/>
      <c r="E31" s="80"/>
      <c r="F31" s="80"/>
      <c r="G31" s="80"/>
      <c r="H31" s="171"/>
      <c r="I31" s="180">
        <v>1.35</v>
      </c>
      <c r="J31" s="181">
        <f t="shared" si="4"/>
        <v>0</v>
      </c>
      <c r="K31" s="181"/>
      <c r="L31" s="171"/>
      <c r="M31" s="181">
        <f t="shared" si="2"/>
        <v>0</v>
      </c>
      <c r="N31" s="34"/>
      <c r="O31" s="34"/>
      <c r="P31" s="34"/>
      <c r="Q31" s="86">
        <v>23</v>
      </c>
      <c r="R31" s="80" t="s">
        <v>108</v>
      </c>
      <c r="S31" s="76">
        <v>46176</v>
      </c>
      <c r="T31" s="80">
        <v>2.72</v>
      </c>
      <c r="U31" s="80"/>
      <c r="V31" s="80"/>
      <c r="W31" s="34"/>
      <c r="X31" s="34"/>
      <c r="Y31" s="34"/>
      <c r="Z31" s="34"/>
      <c r="AA31" s="34"/>
      <c r="AB31" s="34"/>
      <c r="AC31" s="34"/>
      <c r="AD31" s="86">
        <v>31</v>
      </c>
      <c r="AE31" s="86">
        <v>0.38800000000000001</v>
      </c>
      <c r="AF31" s="34"/>
      <c r="AG31" s="34"/>
      <c r="AH31" s="34"/>
      <c r="AI31" s="34"/>
      <c r="AJ31" s="34"/>
      <c r="AK31" s="34"/>
    </row>
    <row r="32" spans="1:38" x14ac:dyDescent="0.3">
      <c r="A32" s="34"/>
      <c r="B32" s="86">
        <v>25</v>
      </c>
      <c r="C32" s="80"/>
      <c r="D32" s="80"/>
      <c r="E32" s="80"/>
      <c r="F32" s="80"/>
      <c r="G32" s="80"/>
      <c r="H32" s="171"/>
      <c r="I32" s="180">
        <v>1.35</v>
      </c>
      <c r="J32" s="181">
        <f t="shared" si="4"/>
        <v>0</v>
      </c>
      <c r="K32" s="181"/>
      <c r="L32" s="171"/>
      <c r="M32" s="181">
        <f t="shared" si="2"/>
        <v>0</v>
      </c>
      <c r="N32" s="34"/>
      <c r="O32" s="34"/>
      <c r="P32" s="34"/>
      <c r="Q32" s="86">
        <v>24</v>
      </c>
      <c r="R32" s="80" t="s">
        <v>110</v>
      </c>
      <c r="S32" s="76">
        <v>46176</v>
      </c>
      <c r="T32" s="80">
        <v>0.57599999999999996</v>
      </c>
      <c r="U32" s="80"/>
      <c r="V32" s="80"/>
      <c r="W32" s="34"/>
      <c r="X32" s="34"/>
      <c r="Y32" s="34"/>
      <c r="Z32" s="34"/>
      <c r="AA32" s="34"/>
      <c r="AB32" s="34"/>
      <c r="AC32" s="34"/>
      <c r="AD32" s="86">
        <v>32</v>
      </c>
      <c r="AE32" s="80">
        <v>0.38800000000000001</v>
      </c>
      <c r="AF32" s="34"/>
      <c r="AG32" s="34"/>
      <c r="AH32" s="34"/>
      <c r="AI32" s="34"/>
      <c r="AJ32" s="34"/>
      <c r="AK32" s="34"/>
    </row>
    <row r="33" spans="1:38" x14ac:dyDescent="0.3">
      <c r="A33" s="34"/>
      <c r="B33" s="86">
        <v>26</v>
      </c>
      <c r="C33" s="80"/>
      <c r="D33" s="80"/>
      <c r="E33" s="80"/>
      <c r="F33" s="80"/>
      <c r="G33" s="80"/>
      <c r="H33" s="171"/>
      <c r="I33" s="180">
        <v>1.35</v>
      </c>
      <c r="J33" s="181">
        <f t="shared" si="4"/>
        <v>0</v>
      </c>
      <c r="K33" s="181"/>
      <c r="L33" s="171"/>
      <c r="M33" s="181">
        <f t="shared" si="2"/>
        <v>0</v>
      </c>
      <c r="N33" s="34"/>
      <c r="O33" s="34"/>
      <c r="P33" s="34"/>
      <c r="Q33" s="86">
        <v>25</v>
      </c>
      <c r="R33" s="80" t="s">
        <v>112</v>
      </c>
      <c r="S33" s="76">
        <v>46176</v>
      </c>
      <c r="T33" s="80">
        <v>0.66300000000000003</v>
      </c>
      <c r="U33" s="80"/>
      <c r="V33" s="80"/>
      <c r="W33" s="34"/>
      <c r="X33" s="34"/>
      <c r="Y33" s="34"/>
      <c r="Z33" s="34"/>
      <c r="AA33" s="34"/>
      <c r="AB33" s="34"/>
      <c r="AC33" s="34"/>
      <c r="AD33" s="86">
        <v>33</v>
      </c>
      <c r="AE33" s="86">
        <v>0.40699999999999997</v>
      </c>
      <c r="AF33" s="34"/>
      <c r="AG33" s="34"/>
      <c r="AH33" s="34"/>
      <c r="AI33" s="34"/>
      <c r="AJ33" s="34"/>
      <c r="AK33" s="34"/>
    </row>
    <row r="34" spans="1:38" x14ac:dyDescent="0.3">
      <c r="A34" s="34"/>
      <c r="B34" s="86">
        <v>27</v>
      </c>
      <c r="C34" s="80"/>
      <c r="D34" s="80"/>
      <c r="E34" s="80"/>
      <c r="F34" s="80"/>
      <c r="G34" s="80"/>
      <c r="H34" s="171"/>
      <c r="I34" s="180">
        <v>1.35</v>
      </c>
      <c r="J34" s="181">
        <f t="shared" si="4"/>
        <v>0</v>
      </c>
      <c r="K34" s="181"/>
      <c r="L34" s="171"/>
      <c r="M34" s="181">
        <f t="shared" si="2"/>
        <v>0</v>
      </c>
      <c r="N34" s="34"/>
      <c r="O34" s="34"/>
      <c r="P34" s="34"/>
      <c r="Q34" s="86">
        <v>26</v>
      </c>
      <c r="R34" s="80" t="s">
        <v>113</v>
      </c>
      <c r="S34" s="76">
        <v>46176</v>
      </c>
      <c r="T34" s="80">
        <v>1.8220000000000001</v>
      </c>
      <c r="U34" s="80"/>
      <c r="V34" s="80"/>
      <c r="W34" s="34"/>
      <c r="X34" s="34"/>
      <c r="Y34" s="34"/>
      <c r="Z34" s="34"/>
      <c r="AA34" s="34"/>
      <c r="AB34" s="34"/>
      <c r="AC34" s="34"/>
      <c r="AD34" s="86">
        <v>34</v>
      </c>
      <c r="AE34" s="80">
        <v>0.42</v>
      </c>
      <c r="AF34" s="34"/>
      <c r="AG34" s="34"/>
      <c r="AH34" s="34"/>
      <c r="AI34" s="34"/>
      <c r="AJ34" s="34"/>
      <c r="AK34" s="34"/>
    </row>
    <row r="35" spans="1:38" x14ac:dyDescent="0.3">
      <c r="A35" s="34"/>
      <c r="B35" s="86">
        <v>28</v>
      </c>
      <c r="C35" s="80"/>
      <c r="D35" s="80"/>
      <c r="E35" s="80"/>
      <c r="F35" s="80"/>
      <c r="G35" s="80"/>
      <c r="H35" s="171"/>
      <c r="I35" s="180">
        <v>1.35</v>
      </c>
      <c r="J35" s="181">
        <f t="shared" si="4"/>
        <v>0</v>
      </c>
      <c r="K35" s="181"/>
      <c r="L35" s="171"/>
      <c r="M35" s="181">
        <f t="shared" si="2"/>
        <v>0</v>
      </c>
      <c r="N35" s="34"/>
      <c r="O35" s="34"/>
      <c r="P35" s="34"/>
      <c r="Q35" s="86">
        <v>27</v>
      </c>
      <c r="R35" s="80" t="s">
        <v>114</v>
      </c>
      <c r="S35" s="76">
        <v>46176</v>
      </c>
      <c r="T35" s="80">
        <v>0.79700000000000004</v>
      </c>
      <c r="U35" s="80"/>
      <c r="V35" s="80"/>
      <c r="W35" s="34"/>
      <c r="X35" s="34"/>
      <c r="Y35" s="34"/>
      <c r="Z35" s="34"/>
      <c r="AA35" s="34"/>
      <c r="AB35" s="34"/>
      <c r="AC35" s="34"/>
      <c r="AD35" s="86">
        <v>35</v>
      </c>
      <c r="AE35" s="86">
        <v>0.42199999999999999</v>
      </c>
      <c r="AF35" s="34"/>
      <c r="AG35" s="34"/>
      <c r="AH35" s="34"/>
      <c r="AI35" s="34"/>
      <c r="AJ35" s="34"/>
      <c r="AK35" s="34"/>
    </row>
    <row r="36" spans="1:38" x14ac:dyDescent="0.3">
      <c r="A36" s="34"/>
      <c r="B36" s="86">
        <v>29</v>
      </c>
      <c r="C36" s="80"/>
      <c r="D36" s="80"/>
      <c r="E36" s="80"/>
      <c r="F36" s="80"/>
      <c r="G36" s="80"/>
      <c r="H36" s="171"/>
      <c r="I36" s="180">
        <v>1.35</v>
      </c>
      <c r="J36" s="181">
        <f t="shared" si="4"/>
        <v>0</v>
      </c>
      <c r="K36" s="181"/>
      <c r="L36" s="171"/>
      <c r="M36" s="181">
        <f t="shared" si="2"/>
        <v>0</v>
      </c>
      <c r="N36" s="34"/>
      <c r="O36" s="34"/>
      <c r="P36" s="34"/>
      <c r="Q36" s="86">
        <v>28</v>
      </c>
      <c r="R36" s="80" t="s">
        <v>115</v>
      </c>
      <c r="S36" s="76">
        <v>46176</v>
      </c>
      <c r="T36" s="80">
        <v>1.3919999999999999</v>
      </c>
      <c r="U36" s="80"/>
      <c r="V36" s="80"/>
      <c r="W36" s="34"/>
      <c r="X36" s="34"/>
      <c r="Y36" s="34"/>
      <c r="Z36" s="34"/>
      <c r="AA36" s="34"/>
      <c r="AB36" s="34"/>
      <c r="AC36" s="34"/>
      <c r="AD36" s="86">
        <v>36</v>
      </c>
      <c r="AE36" s="86">
        <v>0.43</v>
      </c>
      <c r="AF36" s="34"/>
      <c r="AG36" s="34"/>
      <c r="AH36" s="34"/>
      <c r="AI36" s="34"/>
      <c r="AJ36" s="34"/>
      <c r="AK36" s="34"/>
    </row>
    <row r="37" spans="1:38" x14ac:dyDescent="0.3">
      <c r="A37" s="34"/>
      <c r="B37" s="86">
        <v>30</v>
      </c>
      <c r="C37" s="80"/>
      <c r="D37" s="80"/>
      <c r="E37" s="80"/>
      <c r="F37" s="80"/>
      <c r="G37" s="80"/>
      <c r="H37" s="171"/>
      <c r="I37" s="180">
        <v>1.35</v>
      </c>
      <c r="J37" s="181">
        <f t="shared" si="4"/>
        <v>0</v>
      </c>
      <c r="K37" s="181"/>
      <c r="L37" s="171"/>
      <c r="M37" s="181">
        <f t="shared" si="2"/>
        <v>0</v>
      </c>
      <c r="N37" s="34"/>
      <c r="O37" s="34"/>
      <c r="P37" s="34"/>
      <c r="Q37" s="86">
        <v>29</v>
      </c>
      <c r="R37" s="80" t="s">
        <v>116</v>
      </c>
      <c r="S37" s="76">
        <v>46176</v>
      </c>
      <c r="T37" s="80">
        <v>0.70699999999999996</v>
      </c>
      <c r="U37" s="80"/>
      <c r="V37" s="80"/>
      <c r="W37" s="34"/>
      <c r="X37" s="34"/>
      <c r="Y37" s="34"/>
      <c r="Z37" s="34"/>
      <c r="AA37" s="34"/>
      <c r="AB37" s="34"/>
      <c r="AC37" s="34"/>
      <c r="AD37" s="86">
        <v>37</v>
      </c>
      <c r="AE37" s="86">
        <v>0.438</v>
      </c>
      <c r="AF37" s="34"/>
      <c r="AG37" s="34"/>
      <c r="AH37" s="34"/>
      <c r="AI37" s="34"/>
      <c r="AJ37" s="34"/>
      <c r="AK37" s="34"/>
    </row>
    <row r="38" spans="1:38" x14ac:dyDescent="0.3">
      <c r="A38" s="34"/>
      <c r="B38" s="86">
        <v>31</v>
      </c>
      <c r="C38" s="80"/>
      <c r="D38" s="80"/>
      <c r="E38" s="80"/>
      <c r="F38" s="80"/>
      <c r="G38" s="80"/>
      <c r="H38" s="171"/>
      <c r="I38" s="180">
        <v>1.35</v>
      </c>
      <c r="J38" s="181">
        <f t="shared" si="4"/>
        <v>0</v>
      </c>
      <c r="K38" s="181"/>
      <c r="L38" s="171"/>
      <c r="M38" s="181">
        <f t="shared" si="2"/>
        <v>0</v>
      </c>
      <c r="N38" s="34"/>
      <c r="O38" s="34"/>
      <c r="P38" s="34"/>
      <c r="Q38" s="86">
        <v>30</v>
      </c>
      <c r="R38" s="80" t="s">
        <v>118</v>
      </c>
      <c r="S38" s="76">
        <v>46176</v>
      </c>
      <c r="T38" s="80">
        <v>1.552</v>
      </c>
      <c r="U38" s="80"/>
      <c r="V38" s="80"/>
      <c r="W38" s="34"/>
      <c r="X38" s="34"/>
      <c r="Y38" s="34"/>
      <c r="Z38" s="34"/>
      <c r="AA38" s="34"/>
      <c r="AB38" s="34"/>
      <c r="AC38" s="34"/>
      <c r="AD38" s="86">
        <v>38</v>
      </c>
      <c r="AE38" s="86">
        <v>0.45400000000000001</v>
      </c>
      <c r="AF38" s="34"/>
      <c r="AG38" s="34"/>
      <c r="AH38" s="34"/>
      <c r="AI38" s="34"/>
      <c r="AJ38" s="34"/>
      <c r="AK38" s="34"/>
    </row>
    <row r="39" spans="1:38" x14ac:dyDescent="0.3">
      <c r="A39" s="34"/>
      <c r="B39" s="86">
        <v>32</v>
      </c>
      <c r="C39" s="80"/>
      <c r="D39" s="80"/>
      <c r="E39" s="80"/>
      <c r="F39" s="80"/>
      <c r="G39" s="80"/>
      <c r="H39" s="171"/>
      <c r="I39" s="180">
        <v>1.35</v>
      </c>
      <c r="J39" s="181">
        <f t="shared" si="4"/>
        <v>0</v>
      </c>
      <c r="K39" s="181"/>
      <c r="L39" s="171"/>
      <c r="M39" s="181">
        <f t="shared" si="2"/>
        <v>0</v>
      </c>
      <c r="N39" s="34"/>
      <c r="O39" s="34"/>
      <c r="P39" s="34"/>
      <c r="Q39" s="86">
        <v>31</v>
      </c>
      <c r="R39" s="80" t="s">
        <v>119</v>
      </c>
      <c r="S39" s="76">
        <v>46176</v>
      </c>
      <c r="T39" s="80">
        <v>0.76500000000000001</v>
      </c>
      <c r="U39" s="80"/>
      <c r="V39" s="80"/>
      <c r="W39" s="34"/>
      <c r="X39" s="34"/>
      <c r="Y39" s="34"/>
      <c r="Z39" s="34"/>
      <c r="AA39" s="34"/>
      <c r="AB39" s="34"/>
      <c r="AC39" s="34"/>
      <c r="AD39" s="86">
        <v>39</v>
      </c>
      <c r="AE39" s="86">
        <v>0.45500000000000002</v>
      </c>
      <c r="AF39" s="34"/>
      <c r="AG39" s="572" t="s">
        <v>240</v>
      </c>
      <c r="AH39" s="573"/>
      <c r="AI39" s="573"/>
      <c r="AJ39" s="573"/>
      <c r="AK39" s="573"/>
      <c r="AL39" s="574"/>
    </row>
    <row r="40" spans="1:38" x14ac:dyDescent="0.3">
      <c r="A40" s="34"/>
      <c r="B40" s="403" t="s">
        <v>60</v>
      </c>
      <c r="C40" s="403"/>
      <c r="D40" s="403"/>
      <c r="E40" s="403"/>
      <c r="F40" s="403"/>
      <c r="G40" s="403"/>
      <c r="H40" s="384"/>
      <c r="I40" s="384"/>
      <c r="J40" s="384"/>
      <c r="K40" s="384"/>
      <c r="L40" s="404">
        <f>AVERAGE(L8:L22)</f>
        <v>1.8267999999999998</v>
      </c>
      <c r="M40" s="405">
        <f>SUM(M8:M39)</f>
        <v>4406.7080500000002</v>
      </c>
      <c r="N40" s="190"/>
      <c r="O40" s="191"/>
      <c r="P40" s="34"/>
      <c r="Q40" s="86">
        <v>32</v>
      </c>
      <c r="R40" s="80" t="s">
        <v>120</v>
      </c>
      <c r="S40" s="76">
        <v>46176</v>
      </c>
      <c r="T40" s="80">
        <v>1.2350000000000001</v>
      </c>
      <c r="U40" s="80"/>
      <c r="V40" s="80"/>
      <c r="W40" s="34"/>
      <c r="X40" s="34"/>
      <c r="Y40" s="34"/>
      <c r="Z40" s="34"/>
      <c r="AA40" s="34"/>
      <c r="AB40" s="34"/>
      <c r="AC40" s="34"/>
      <c r="AD40" s="86">
        <v>40</v>
      </c>
      <c r="AE40" s="86">
        <v>0.45800000000000002</v>
      </c>
      <c r="AF40" s="34"/>
      <c r="AG40" s="575"/>
      <c r="AH40" s="576"/>
      <c r="AI40" s="576"/>
      <c r="AJ40" s="576"/>
      <c r="AK40" s="576"/>
      <c r="AL40" s="577"/>
    </row>
    <row r="41" spans="1:38" x14ac:dyDescent="0.3">
      <c r="A41" s="34"/>
      <c r="B41" s="437" t="s">
        <v>59</v>
      </c>
      <c r="C41" s="379"/>
      <c r="D41" s="379"/>
      <c r="E41" s="379"/>
      <c r="F41" s="379"/>
      <c r="G41" s="379">
        <f>SUM(G8:G39)</f>
        <v>1420</v>
      </c>
      <c r="H41" s="406">
        <f>SUM(H8:H39)</f>
        <v>1584</v>
      </c>
      <c r="I41" s="406"/>
      <c r="J41" s="407">
        <f>SUM(J8:J39)</f>
        <v>2158.6300000000006</v>
      </c>
      <c r="K41" s="407">
        <f>SUM(K8:K39)</f>
        <v>1939.6</v>
      </c>
      <c r="L41" s="408">
        <f>MEDIAN(L8:L22)</f>
        <v>1.1100000000000001</v>
      </c>
      <c r="M41" s="407">
        <f>L41*J41</f>
        <v>2396.0793000000008</v>
      </c>
      <c r="N41" s="172"/>
      <c r="O41" s="34"/>
      <c r="P41" s="34"/>
      <c r="Q41" s="79">
        <v>33</v>
      </c>
      <c r="R41" s="79" t="s">
        <v>121</v>
      </c>
      <c r="S41" s="78">
        <v>46251</v>
      </c>
      <c r="T41" s="86">
        <v>1.0349999999999999</v>
      </c>
      <c r="U41" s="79"/>
      <c r="V41" s="79"/>
      <c r="W41" s="34"/>
      <c r="X41" s="34"/>
      <c r="Y41" s="34"/>
      <c r="Z41" s="34"/>
      <c r="AA41" s="34"/>
      <c r="AB41" s="34"/>
      <c r="AC41" s="34"/>
      <c r="AD41" s="86">
        <v>41</v>
      </c>
      <c r="AE41" s="80">
        <v>0.48799999999999999</v>
      </c>
      <c r="AF41" s="34"/>
      <c r="AG41" s="192">
        <v>1</v>
      </c>
      <c r="AH41" s="182">
        <v>0.81</v>
      </c>
      <c r="AI41" s="34"/>
      <c r="AJ41" s="161">
        <v>1</v>
      </c>
      <c r="AK41" s="193">
        <v>1.6</v>
      </c>
      <c r="AL41" s="24"/>
    </row>
    <row r="42" spans="1:38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194"/>
      <c r="M42" s="34"/>
      <c r="N42" s="34"/>
      <c r="O42" s="34"/>
      <c r="P42" s="34"/>
      <c r="Q42" s="79">
        <v>34</v>
      </c>
      <c r="R42" s="79" t="s">
        <v>122</v>
      </c>
      <c r="S42" s="78">
        <v>46251</v>
      </c>
      <c r="T42" s="86">
        <v>0.52600000000000002</v>
      </c>
      <c r="U42" s="79"/>
      <c r="V42" s="79"/>
      <c r="W42" s="34"/>
      <c r="X42" s="34"/>
      <c r="Y42" s="159"/>
      <c r="Z42" s="34"/>
      <c r="AA42" s="34"/>
      <c r="AB42" s="34"/>
      <c r="AC42" s="34"/>
      <c r="AD42" s="86">
        <v>42</v>
      </c>
      <c r="AE42" s="86">
        <v>0.48899999999999999</v>
      </c>
      <c r="AF42" s="34"/>
      <c r="AG42" s="192">
        <v>2</v>
      </c>
      <c r="AH42" s="182">
        <v>0.81</v>
      </c>
      <c r="AI42" s="34"/>
      <c r="AJ42" s="161">
        <v>2</v>
      </c>
      <c r="AK42" s="193">
        <v>1.6</v>
      </c>
      <c r="AL42" s="24"/>
    </row>
    <row r="43" spans="1:38" ht="36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179" t="s">
        <v>241</v>
      </c>
      <c r="M43" s="187">
        <f>M40/J41</f>
        <v>2.0414374163242424</v>
      </c>
      <c r="N43" s="34"/>
      <c r="O43" s="34"/>
      <c r="P43" s="34"/>
      <c r="Q43" s="79">
        <v>35</v>
      </c>
      <c r="R43" s="79" t="s">
        <v>123</v>
      </c>
      <c r="S43" s="78">
        <v>46251</v>
      </c>
      <c r="T43" s="86">
        <v>0.81599999999999995</v>
      </c>
      <c r="U43" s="79"/>
      <c r="V43" s="79"/>
      <c r="W43" s="34"/>
      <c r="X43" s="34"/>
      <c r="Y43" s="34"/>
      <c r="Z43" s="34"/>
      <c r="AA43" s="34"/>
      <c r="AB43" s="34"/>
      <c r="AC43" s="34"/>
      <c r="AD43" s="86">
        <v>43</v>
      </c>
      <c r="AE43" s="86">
        <v>0.501</v>
      </c>
      <c r="AF43" s="34"/>
      <c r="AG43" s="192">
        <v>3</v>
      </c>
      <c r="AH43" s="182">
        <v>0.81</v>
      </c>
      <c r="AI43" s="34"/>
      <c r="AJ43" s="161">
        <v>3</v>
      </c>
      <c r="AK43" s="193">
        <v>1.6</v>
      </c>
      <c r="AL43" s="24"/>
    </row>
    <row r="44" spans="1:38" x14ac:dyDescent="0.3">
      <c r="A44" s="34"/>
      <c r="B44" s="34"/>
      <c r="C44" s="34"/>
      <c r="D44" s="34"/>
      <c r="E44" s="34"/>
      <c r="F44" s="34"/>
      <c r="G44" s="34"/>
      <c r="H44" s="34"/>
      <c r="I44" s="195"/>
      <c r="J44" s="195"/>
      <c r="K44" s="195"/>
      <c r="L44" s="194"/>
      <c r="M44" s="34"/>
      <c r="N44" s="34"/>
      <c r="O44" s="34"/>
      <c r="P44" s="34"/>
      <c r="Q44" s="79">
        <v>36</v>
      </c>
      <c r="R44" s="79" t="s">
        <v>124</v>
      </c>
      <c r="S44" s="78">
        <v>46251</v>
      </c>
      <c r="T44" s="86">
        <v>0.34399999999999997</v>
      </c>
      <c r="U44" s="79"/>
      <c r="V44" s="79"/>
      <c r="W44" s="34"/>
      <c r="X44" s="34"/>
      <c r="Y44" s="34"/>
      <c r="Z44" s="34"/>
      <c r="AA44" s="34"/>
      <c r="AB44" s="34"/>
      <c r="AC44" s="34"/>
      <c r="AD44" s="86">
        <v>44</v>
      </c>
      <c r="AE44" s="86">
        <v>0.502</v>
      </c>
      <c r="AF44" s="34"/>
      <c r="AG44" s="192">
        <v>4</v>
      </c>
      <c r="AH44" s="182">
        <v>0.81</v>
      </c>
      <c r="AI44" s="34"/>
      <c r="AJ44" s="161">
        <v>4</v>
      </c>
      <c r="AK44" s="193">
        <v>1.6</v>
      </c>
      <c r="AL44" s="24"/>
    </row>
    <row r="45" spans="1:38" x14ac:dyDescent="0.3">
      <c r="A45" s="34"/>
      <c r="B45" s="34"/>
      <c r="C45" s="34"/>
      <c r="D45" s="34"/>
      <c r="E45" s="34"/>
      <c r="F45" s="34"/>
      <c r="G45" s="34"/>
      <c r="H45" s="34"/>
      <c r="I45" s="195"/>
      <c r="J45" s="34"/>
      <c r="K45" s="34"/>
      <c r="L45" s="34"/>
      <c r="M45" s="34"/>
      <c r="N45" s="34"/>
      <c r="O45" s="34"/>
      <c r="P45" s="34"/>
      <c r="Q45" s="79">
        <v>37</v>
      </c>
      <c r="R45" s="79" t="s">
        <v>125</v>
      </c>
      <c r="S45" s="78">
        <v>46251</v>
      </c>
      <c r="T45" s="86">
        <v>0.30399999999999999</v>
      </c>
      <c r="U45" s="79"/>
      <c r="V45" s="79"/>
      <c r="W45" s="34"/>
      <c r="X45" s="34"/>
      <c r="Y45" s="34"/>
      <c r="Z45" s="34"/>
      <c r="AA45" s="34"/>
      <c r="AB45" s="34"/>
      <c r="AC45" s="34"/>
      <c r="AD45" s="86">
        <v>45</v>
      </c>
      <c r="AE45" s="86">
        <v>0.50600000000000001</v>
      </c>
      <c r="AF45" s="34"/>
      <c r="AG45" s="192">
        <v>5</v>
      </c>
      <c r="AH45" s="182">
        <v>0.81</v>
      </c>
      <c r="AI45" s="34"/>
      <c r="AJ45" s="161">
        <v>5</v>
      </c>
      <c r="AK45" s="193">
        <v>1.6</v>
      </c>
      <c r="AL45" s="24"/>
    </row>
    <row r="46" spans="1:38" x14ac:dyDescent="0.3">
      <c r="A46" s="34"/>
      <c r="B46" s="34"/>
      <c r="C46" s="34"/>
      <c r="D46" s="34"/>
      <c r="E46" s="34"/>
      <c r="F46" s="34"/>
      <c r="G46" s="34"/>
      <c r="H46" s="34"/>
      <c r="I46" s="34"/>
      <c r="J46" s="195"/>
      <c r="K46" s="34"/>
      <c r="L46" s="34"/>
      <c r="M46" s="34"/>
      <c r="N46" s="34"/>
      <c r="O46" s="34"/>
      <c r="P46" s="34"/>
      <c r="Q46" s="79">
        <v>38</v>
      </c>
      <c r="R46" s="79" t="s">
        <v>126</v>
      </c>
      <c r="S46" s="78">
        <v>46251</v>
      </c>
      <c r="T46" s="86">
        <v>0.74399999999999999</v>
      </c>
      <c r="U46" s="79"/>
      <c r="V46" s="79"/>
      <c r="W46" s="34"/>
      <c r="X46" s="34"/>
      <c r="Y46" s="34"/>
      <c r="Z46" s="34"/>
      <c r="AA46" s="34"/>
      <c r="AB46" s="34"/>
      <c r="AC46" s="34"/>
      <c r="AD46" s="86">
        <v>46</v>
      </c>
      <c r="AE46" s="86">
        <v>0.52600000000000002</v>
      </c>
      <c r="AF46" s="34"/>
      <c r="AG46" s="192">
        <v>6</v>
      </c>
      <c r="AH46" s="182">
        <v>0.81</v>
      </c>
      <c r="AI46" s="34"/>
      <c r="AJ46" s="161">
        <v>6</v>
      </c>
      <c r="AK46" s="193">
        <v>1.6</v>
      </c>
      <c r="AL46" s="24"/>
    </row>
    <row r="47" spans="1:38" x14ac:dyDescent="0.3">
      <c r="A47" s="34"/>
      <c r="B47" s="161" t="s">
        <v>242</v>
      </c>
      <c r="C47" s="78">
        <v>46245</v>
      </c>
      <c r="D47" s="86" t="s">
        <v>243</v>
      </c>
      <c r="E47" s="86" t="s">
        <v>244</v>
      </c>
      <c r="F47" s="86"/>
      <c r="G47" s="86"/>
      <c r="H47" s="180">
        <v>271</v>
      </c>
      <c r="I47" s="180">
        <v>1.35</v>
      </c>
      <c r="J47" s="181">
        <f>H47*I47</f>
        <v>365.85</v>
      </c>
      <c r="K47" s="196"/>
      <c r="L47" s="34"/>
      <c r="M47" s="195"/>
      <c r="N47" s="34"/>
      <c r="O47" s="34"/>
      <c r="P47" s="34"/>
      <c r="Q47" s="79">
        <v>39</v>
      </c>
      <c r="R47" s="79" t="s">
        <v>127</v>
      </c>
      <c r="S47" s="78">
        <v>46251</v>
      </c>
      <c r="T47" s="86">
        <v>0.56299999999999994</v>
      </c>
      <c r="U47" s="79"/>
      <c r="V47" s="79"/>
      <c r="W47" s="34"/>
      <c r="X47" s="34"/>
      <c r="Y47" s="34"/>
      <c r="Z47" s="34"/>
      <c r="AA47" s="34"/>
      <c r="AB47" s="34"/>
      <c r="AC47" s="34"/>
      <c r="AD47" s="86">
        <v>47</v>
      </c>
      <c r="AE47" s="80">
        <v>0.53800000000000003</v>
      </c>
      <c r="AF47" s="34"/>
      <c r="AG47" s="192">
        <v>7</v>
      </c>
      <c r="AH47" s="182">
        <v>0.81</v>
      </c>
      <c r="AI47" s="34"/>
      <c r="AJ47" s="161">
        <v>7</v>
      </c>
      <c r="AK47" s="193">
        <v>1.6</v>
      </c>
      <c r="AL47" s="24"/>
    </row>
    <row r="48" spans="1:38" x14ac:dyDescent="0.3">
      <c r="A48" s="34"/>
      <c r="B48" s="34"/>
      <c r="C48" s="34"/>
      <c r="D48" s="34"/>
      <c r="E48" s="34"/>
      <c r="F48" s="34"/>
      <c r="G48" s="34"/>
      <c r="H48" s="34"/>
      <c r="I48" s="34"/>
      <c r="J48" s="195"/>
      <c r="K48" s="34"/>
      <c r="L48" s="34"/>
      <c r="M48" s="34"/>
      <c r="N48" s="34"/>
      <c r="O48" s="34"/>
      <c r="P48" s="34"/>
      <c r="Q48" s="79">
        <v>40</v>
      </c>
      <c r="R48" s="79" t="s">
        <v>128</v>
      </c>
      <c r="S48" s="78">
        <v>46251</v>
      </c>
      <c r="T48" s="86">
        <v>0.438</v>
      </c>
      <c r="U48" s="79"/>
      <c r="V48" s="79"/>
      <c r="W48" s="34"/>
      <c r="X48" s="34"/>
      <c r="Y48" s="34"/>
      <c r="Z48" s="34"/>
      <c r="AA48" s="34"/>
      <c r="AB48" s="34"/>
      <c r="AC48" s="34"/>
      <c r="AD48" s="86">
        <v>48</v>
      </c>
      <c r="AE48" s="86">
        <v>0.54600000000000004</v>
      </c>
      <c r="AF48" s="34"/>
      <c r="AG48" s="192">
        <v>8</v>
      </c>
      <c r="AH48" s="182">
        <v>0.81</v>
      </c>
      <c r="AI48" s="34"/>
      <c r="AJ48" s="161">
        <v>8</v>
      </c>
      <c r="AK48" s="193">
        <v>1.6</v>
      </c>
      <c r="AL48" s="24"/>
    </row>
    <row r="49" spans="1:38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79">
        <v>41</v>
      </c>
      <c r="R49" s="79" t="s">
        <v>129</v>
      </c>
      <c r="S49" s="78">
        <v>46251</v>
      </c>
      <c r="T49" s="86">
        <v>0.45800000000000002</v>
      </c>
      <c r="U49" s="79"/>
      <c r="V49" s="79"/>
      <c r="W49" s="34"/>
      <c r="X49" s="34"/>
      <c r="Y49" s="34"/>
      <c r="Z49" s="34"/>
      <c r="AA49" s="34"/>
      <c r="AB49" s="34"/>
      <c r="AC49" s="34"/>
      <c r="AD49" s="86">
        <v>49</v>
      </c>
      <c r="AE49" s="86">
        <v>0.55500000000000005</v>
      </c>
      <c r="AF49" s="34"/>
      <c r="AG49" s="192">
        <v>9</v>
      </c>
      <c r="AH49" s="182">
        <v>0.81</v>
      </c>
      <c r="AI49" s="34"/>
      <c r="AJ49" s="161">
        <v>9</v>
      </c>
      <c r="AK49" s="193">
        <v>1.6</v>
      </c>
      <c r="AL49" s="24"/>
    </row>
    <row r="50" spans="1:38" x14ac:dyDescent="0.3">
      <c r="A50" s="34"/>
      <c r="B50" s="34"/>
      <c r="C50" s="34"/>
      <c r="D50" s="34"/>
      <c r="E50" s="34"/>
      <c r="F50" s="34"/>
      <c r="G50" s="86">
        <v>41</v>
      </c>
      <c r="H50" s="34"/>
      <c r="I50" s="34"/>
      <c r="J50" s="195"/>
      <c r="K50" s="34"/>
      <c r="L50" s="34"/>
      <c r="M50" s="34"/>
      <c r="N50" s="34"/>
      <c r="O50" s="34"/>
      <c r="P50" s="34"/>
      <c r="Q50" s="79">
        <v>42</v>
      </c>
      <c r="R50" s="79" t="s">
        <v>97</v>
      </c>
      <c r="S50" s="78">
        <v>46252</v>
      </c>
      <c r="T50" s="86">
        <v>0.55800000000000005</v>
      </c>
      <c r="U50" s="79"/>
      <c r="V50" s="79"/>
      <c r="W50" s="34"/>
      <c r="X50" s="34"/>
      <c r="Y50" s="34"/>
      <c r="Z50" s="34"/>
      <c r="AA50" s="34"/>
      <c r="AB50" s="34"/>
      <c r="AC50" s="34"/>
      <c r="AD50" s="86">
        <v>50</v>
      </c>
      <c r="AE50" s="86">
        <v>0.55600000000000005</v>
      </c>
      <c r="AF50" s="34"/>
      <c r="AG50" s="192">
        <v>10</v>
      </c>
      <c r="AH50" s="182">
        <v>0.81</v>
      </c>
      <c r="AI50" s="34"/>
      <c r="AJ50" s="161">
        <v>10</v>
      </c>
      <c r="AK50" s="193">
        <v>1.6</v>
      </c>
      <c r="AL50" s="24"/>
    </row>
    <row r="51" spans="1:38" x14ac:dyDescent="0.3">
      <c r="A51" s="34"/>
      <c r="B51" s="34"/>
      <c r="C51" s="34"/>
      <c r="D51" s="34"/>
      <c r="E51" s="34"/>
      <c r="F51" s="34"/>
      <c r="G51" s="86">
        <v>16</v>
      </c>
      <c r="H51" s="34"/>
      <c r="I51" s="34"/>
      <c r="J51" s="34"/>
      <c r="K51" s="34"/>
      <c r="L51" s="34"/>
      <c r="M51" s="34"/>
      <c r="N51" s="34"/>
      <c r="O51" s="34"/>
      <c r="P51" s="34"/>
      <c r="Q51" s="79">
        <v>43</v>
      </c>
      <c r="R51" s="79" t="s">
        <v>99</v>
      </c>
      <c r="S51" s="78">
        <v>46252</v>
      </c>
      <c r="T51" s="86">
        <v>0.501</v>
      </c>
      <c r="U51" s="79"/>
      <c r="V51" s="79"/>
      <c r="W51" s="34"/>
      <c r="X51" s="34"/>
      <c r="Y51" s="34"/>
      <c r="Z51" s="34"/>
      <c r="AA51" s="34"/>
      <c r="AB51" s="34"/>
      <c r="AC51" s="34"/>
      <c r="AD51" s="86">
        <v>51</v>
      </c>
      <c r="AE51" s="86">
        <v>0.55800000000000005</v>
      </c>
      <c r="AF51" s="34"/>
      <c r="AG51" s="192">
        <v>11</v>
      </c>
      <c r="AH51" s="182">
        <v>0.81</v>
      </c>
      <c r="AI51" s="34"/>
      <c r="AJ51" s="161">
        <v>11</v>
      </c>
      <c r="AK51" s="193">
        <v>1.6</v>
      </c>
      <c r="AL51" s="24"/>
    </row>
    <row r="52" spans="1:38" x14ac:dyDescent="0.3">
      <c r="A52" s="34"/>
      <c r="B52" s="34"/>
      <c r="C52" s="34"/>
      <c r="D52" s="34"/>
      <c r="E52" s="34"/>
      <c r="F52" s="34"/>
      <c r="G52" s="86">
        <v>93</v>
      </c>
      <c r="H52" s="34"/>
      <c r="I52" s="195"/>
      <c r="J52" s="34"/>
      <c r="K52" s="34"/>
      <c r="L52" s="34"/>
      <c r="M52" s="34"/>
      <c r="N52" s="34"/>
      <c r="O52" s="34"/>
      <c r="P52" s="34"/>
      <c r="Q52" s="79">
        <v>44</v>
      </c>
      <c r="R52" s="79" t="s">
        <v>101</v>
      </c>
      <c r="S52" s="78">
        <v>46252</v>
      </c>
      <c r="T52" s="86">
        <v>1.25</v>
      </c>
      <c r="U52" s="79"/>
      <c r="V52" s="79"/>
      <c r="W52" s="34"/>
      <c r="X52" s="34"/>
      <c r="Y52" s="34"/>
      <c r="Z52" s="34"/>
      <c r="AA52" s="34"/>
      <c r="AB52" s="34"/>
      <c r="AC52" s="34"/>
      <c r="AD52" s="86">
        <v>52</v>
      </c>
      <c r="AE52" s="86">
        <v>0.55800000000000005</v>
      </c>
      <c r="AF52" s="34"/>
      <c r="AG52" s="192">
        <v>12</v>
      </c>
      <c r="AH52" s="182">
        <v>0.81</v>
      </c>
      <c r="AI52" s="34"/>
      <c r="AJ52" s="161">
        <v>12</v>
      </c>
      <c r="AK52" s="193">
        <v>1.6</v>
      </c>
      <c r="AL52" s="24"/>
    </row>
    <row r="53" spans="1:38" x14ac:dyDescent="0.3">
      <c r="A53" s="34"/>
      <c r="B53" s="34"/>
      <c r="C53" s="34"/>
      <c r="D53" s="34"/>
      <c r="E53" s="34"/>
      <c r="F53" s="34"/>
      <c r="G53" s="86">
        <v>40</v>
      </c>
      <c r="H53" s="197">
        <f>1800+1000</f>
        <v>2800</v>
      </c>
      <c r="I53" s="34"/>
      <c r="J53" s="34"/>
      <c r="K53" s="34"/>
      <c r="L53" s="34"/>
      <c r="M53" s="34"/>
      <c r="N53" s="34"/>
      <c r="O53" s="34"/>
      <c r="P53" s="34"/>
      <c r="Q53" s="79">
        <v>45</v>
      </c>
      <c r="R53" s="79" t="s">
        <v>107</v>
      </c>
      <c r="S53" s="77">
        <v>46253</v>
      </c>
      <c r="T53" s="79">
        <v>0.35099999999999998</v>
      </c>
      <c r="U53" s="79"/>
      <c r="V53" s="79"/>
      <c r="W53" s="34"/>
      <c r="X53" s="34"/>
      <c r="Y53" s="34"/>
      <c r="Z53" s="34"/>
      <c r="AA53" s="34"/>
      <c r="AB53" s="34"/>
      <c r="AC53" s="34"/>
      <c r="AD53" s="86">
        <v>53</v>
      </c>
      <c r="AE53" s="86">
        <v>0.56200000000000006</v>
      </c>
      <c r="AF53" s="34"/>
      <c r="AG53" s="192">
        <v>13</v>
      </c>
      <c r="AH53" s="182">
        <v>0.81</v>
      </c>
      <c r="AI53" s="34"/>
      <c r="AJ53" s="161">
        <v>13</v>
      </c>
      <c r="AK53" s="193">
        <v>1.6</v>
      </c>
      <c r="AL53" s="24"/>
    </row>
    <row r="54" spans="1:38" x14ac:dyDescent="0.3">
      <c r="A54" s="34"/>
      <c r="B54" s="34"/>
      <c r="C54" s="34"/>
      <c r="D54" s="34"/>
      <c r="E54" s="34"/>
      <c r="F54" s="34"/>
      <c r="G54" s="86">
        <v>13</v>
      </c>
      <c r="H54" s="34"/>
      <c r="I54" s="34"/>
      <c r="J54" s="34"/>
      <c r="K54" s="34"/>
      <c r="L54" s="34"/>
      <c r="M54" s="34"/>
      <c r="N54" s="34"/>
      <c r="O54" s="34"/>
      <c r="P54" s="34"/>
      <c r="Q54" s="79">
        <v>46</v>
      </c>
      <c r="R54" s="79" t="s">
        <v>130</v>
      </c>
      <c r="S54" s="77">
        <v>46253</v>
      </c>
      <c r="T54" s="79">
        <v>2.028</v>
      </c>
      <c r="U54" s="79"/>
      <c r="V54" s="79"/>
      <c r="W54" s="34"/>
      <c r="X54" s="34"/>
      <c r="Y54" s="34"/>
      <c r="Z54" s="34"/>
      <c r="AA54" s="34"/>
      <c r="AB54" s="34"/>
      <c r="AC54" s="34"/>
      <c r="AD54" s="86">
        <v>54</v>
      </c>
      <c r="AE54" s="86">
        <v>0.56299999999999994</v>
      </c>
      <c r="AF54" s="34"/>
      <c r="AG54" s="192">
        <v>14</v>
      </c>
      <c r="AH54" s="182">
        <v>0.81</v>
      </c>
      <c r="AI54" s="34"/>
      <c r="AJ54" s="161">
        <v>14</v>
      </c>
      <c r="AK54" s="193">
        <v>1.6</v>
      </c>
      <c r="AL54" s="24"/>
    </row>
    <row r="55" spans="1:38" x14ac:dyDescent="0.3">
      <c r="A55" s="34"/>
      <c r="B55" s="34"/>
      <c r="C55" s="34"/>
      <c r="D55" s="34"/>
      <c r="E55" s="34"/>
      <c r="F55" s="34"/>
      <c r="G55" s="86">
        <v>190</v>
      </c>
      <c r="H55" s="34"/>
      <c r="I55" s="34"/>
      <c r="J55" s="34"/>
      <c r="K55" s="34"/>
      <c r="L55" s="34"/>
      <c r="M55" s="34"/>
      <c r="N55" s="34"/>
      <c r="O55" s="34"/>
      <c r="P55" s="34"/>
      <c r="Q55" s="79">
        <v>47</v>
      </c>
      <c r="R55" s="79" t="s">
        <v>109</v>
      </c>
      <c r="S55" s="77">
        <v>46253</v>
      </c>
      <c r="T55" s="79">
        <v>1.8380000000000001</v>
      </c>
      <c r="U55" s="79"/>
      <c r="V55" s="79"/>
      <c r="W55" s="34"/>
      <c r="X55" s="34"/>
      <c r="Y55" s="34"/>
      <c r="Z55" s="34"/>
      <c r="AA55" s="34"/>
      <c r="AB55" s="34"/>
      <c r="AC55" s="34"/>
      <c r="AD55" s="86">
        <v>55</v>
      </c>
      <c r="AE55" s="86">
        <v>0.57399999999999995</v>
      </c>
      <c r="AF55" s="34"/>
      <c r="AG55" s="192">
        <v>15</v>
      </c>
      <c r="AH55" s="182">
        <v>0.81</v>
      </c>
      <c r="AI55" s="34"/>
      <c r="AJ55" s="161">
        <v>15</v>
      </c>
      <c r="AK55" s="193">
        <v>1.6</v>
      </c>
      <c r="AL55" s="24"/>
    </row>
    <row r="56" spans="1:38" x14ac:dyDescent="0.3">
      <c r="A56" s="34"/>
      <c r="B56" s="34"/>
      <c r="C56" s="34"/>
      <c r="D56" s="34"/>
      <c r="E56" s="34"/>
      <c r="F56" s="34"/>
      <c r="G56" s="86">
        <v>220</v>
      </c>
      <c r="H56" s="34"/>
      <c r="I56" s="34"/>
      <c r="J56" s="34"/>
      <c r="K56" s="34"/>
      <c r="L56" s="34"/>
      <c r="M56" s="34"/>
      <c r="N56" s="34"/>
      <c r="O56" s="34"/>
      <c r="P56" s="34"/>
      <c r="Q56" s="79">
        <v>48</v>
      </c>
      <c r="R56" s="79" t="s">
        <v>131</v>
      </c>
      <c r="S56" s="77">
        <v>46253</v>
      </c>
      <c r="T56" s="79">
        <v>1.3220000000000001</v>
      </c>
      <c r="U56" s="79"/>
      <c r="V56" s="79"/>
      <c r="W56" s="34"/>
      <c r="X56" s="34"/>
      <c r="Y56" s="34"/>
      <c r="Z56" s="34"/>
      <c r="AA56" s="34"/>
      <c r="AB56" s="34"/>
      <c r="AC56" s="34"/>
      <c r="AD56" s="86">
        <v>56</v>
      </c>
      <c r="AE56" s="86">
        <v>0.57599999999999996</v>
      </c>
      <c r="AF56" s="34"/>
      <c r="AG56" s="192">
        <v>16</v>
      </c>
      <c r="AH56" s="182">
        <v>0.81</v>
      </c>
      <c r="AI56" s="34"/>
      <c r="AJ56" s="161">
        <v>16</v>
      </c>
      <c r="AK56" s="193">
        <v>1.6</v>
      </c>
      <c r="AL56" s="24"/>
    </row>
    <row r="57" spans="1:38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79">
        <v>49</v>
      </c>
      <c r="R57" s="79" t="s">
        <v>111</v>
      </c>
      <c r="S57" s="77">
        <v>46253</v>
      </c>
      <c r="T57" s="79">
        <v>0.65100000000000002</v>
      </c>
      <c r="U57" s="79"/>
      <c r="V57" s="79"/>
      <c r="W57" s="34"/>
      <c r="X57" s="34"/>
      <c r="Y57" s="34"/>
      <c r="Z57" s="34"/>
      <c r="AA57" s="34"/>
      <c r="AB57" s="34"/>
      <c r="AC57" s="34"/>
      <c r="AD57" s="86">
        <v>57</v>
      </c>
      <c r="AE57" s="86">
        <v>0.57599999999999996</v>
      </c>
      <c r="AF57" s="34"/>
      <c r="AG57" s="192">
        <v>17</v>
      </c>
      <c r="AH57" s="182">
        <v>0.81</v>
      </c>
      <c r="AI57" s="34"/>
      <c r="AJ57" s="161">
        <v>17</v>
      </c>
      <c r="AK57" s="193">
        <v>1.6</v>
      </c>
      <c r="AL57" s="24"/>
    </row>
    <row r="58" spans="1:38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79">
        <v>50</v>
      </c>
      <c r="R58" s="79" t="s">
        <v>132</v>
      </c>
      <c r="S58" s="77">
        <v>46253</v>
      </c>
      <c r="T58" s="79">
        <v>0.50600000000000001</v>
      </c>
      <c r="U58" s="79"/>
      <c r="V58" s="79"/>
      <c r="W58" s="34"/>
      <c r="X58" s="34"/>
      <c r="Y58" s="34"/>
      <c r="Z58" s="34"/>
      <c r="AA58" s="34"/>
      <c r="AB58" s="34"/>
      <c r="AC58" s="34"/>
      <c r="AD58" s="86">
        <v>58</v>
      </c>
      <c r="AE58" s="86">
        <v>0.60399999999999998</v>
      </c>
      <c r="AF58" s="34"/>
      <c r="AG58" s="192">
        <v>18</v>
      </c>
      <c r="AH58" s="182">
        <v>0.81</v>
      </c>
      <c r="AI58" s="34"/>
      <c r="AJ58" s="161">
        <v>18</v>
      </c>
      <c r="AK58" s="193">
        <v>1.6</v>
      </c>
      <c r="AL58" s="24"/>
    </row>
    <row r="59" spans="1:38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79">
        <v>51</v>
      </c>
      <c r="R59" s="79" t="s">
        <v>79</v>
      </c>
      <c r="S59" s="77">
        <v>46253</v>
      </c>
      <c r="T59" s="79">
        <v>0.67300000000000004</v>
      </c>
      <c r="U59" s="79"/>
      <c r="V59" s="79"/>
      <c r="W59" s="34"/>
      <c r="X59" s="34"/>
      <c r="Y59" s="34"/>
      <c r="Z59" s="34"/>
      <c r="AA59" s="34"/>
      <c r="AB59" s="34"/>
      <c r="AC59" s="34"/>
      <c r="AD59" s="86">
        <v>59</v>
      </c>
      <c r="AE59" s="86">
        <v>0.60399999999999998</v>
      </c>
      <c r="AF59" s="34"/>
      <c r="AG59" s="192">
        <v>19</v>
      </c>
      <c r="AH59" s="182">
        <v>0.81</v>
      </c>
      <c r="AI59" s="34"/>
      <c r="AJ59" s="161">
        <v>19</v>
      </c>
      <c r="AK59" s="193">
        <v>1.6</v>
      </c>
      <c r="AL59" s="24"/>
    </row>
    <row r="60" spans="1:38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79">
        <v>52</v>
      </c>
      <c r="R60" s="79" t="s">
        <v>81</v>
      </c>
      <c r="S60" s="77">
        <v>46253</v>
      </c>
      <c r="T60" s="79">
        <v>0.66200000000000003</v>
      </c>
      <c r="U60" s="79"/>
      <c r="V60" s="79"/>
      <c r="W60" s="34"/>
      <c r="X60" s="34"/>
      <c r="Y60" s="34"/>
      <c r="Z60" s="34"/>
      <c r="AA60" s="34"/>
      <c r="AB60" s="34"/>
      <c r="AC60" s="34"/>
      <c r="AD60" s="86">
        <v>60</v>
      </c>
      <c r="AE60" s="80">
        <v>0.61099999999999999</v>
      </c>
      <c r="AF60" s="34"/>
      <c r="AG60" s="192">
        <v>20</v>
      </c>
      <c r="AH60" s="182">
        <v>0.81</v>
      </c>
      <c r="AI60" s="34"/>
      <c r="AJ60" s="161">
        <v>20</v>
      </c>
      <c r="AK60" s="193">
        <v>1.6</v>
      </c>
      <c r="AL60" s="24"/>
    </row>
    <row r="61" spans="1:38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79">
        <v>53</v>
      </c>
      <c r="R61" s="79" t="s">
        <v>83</v>
      </c>
      <c r="S61" s="77">
        <v>46253</v>
      </c>
      <c r="T61" s="79">
        <v>0.55500000000000005</v>
      </c>
      <c r="U61" s="79"/>
      <c r="V61" s="79"/>
      <c r="W61" s="34"/>
      <c r="X61" s="34"/>
      <c r="Y61" s="34"/>
      <c r="Z61" s="34"/>
      <c r="AA61" s="34"/>
      <c r="AB61" s="34"/>
      <c r="AC61" s="34"/>
      <c r="AD61" s="86">
        <v>61</v>
      </c>
      <c r="AE61" s="80">
        <v>0.61299999999999999</v>
      </c>
      <c r="AF61" s="34"/>
      <c r="AG61" s="192">
        <v>21</v>
      </c>
      <c r="AH61" s="182">
        <v>0.81</v>
      </c>
      <c r="AI61" s="34"/>
      <c r="AJ61" s="161">
        <v>21</v>
      </c>
      <c r="AK61" s="193">
        <v>1.6</v>
      </c>
      <c r="AL61" s="24"/>
    </row>
    <row r="62" spans="1:38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79">
        <v>54</v>
      </c>
      <c r="R62" s="79" t="s">
        <v>85</v>
      </c>
      <c r="S62" s="77">
        <v>46253</v>
      </c>
      <c r="T62" s="79">
        <v>0.81299999999999994</v>
      </c>
      <c r="U62" s="79"/>
      <c r="V62" s="79"/>
      <c r="W62" s="34"/>
      <c r="X62" s="34"/>
      <c r="Y62" s="34"/>
      <c r="Z62" s="34"/>
      <c r="AA62" s="34"/>
      <c r="AB62" s="34"/>
      <c r="AC62" s="34"/>
      <c r="AD62" s="86">
        <v>62</v>
      </c>
      <c r="AE62" s="80">
        <v>0.61299999999999999</v>
      </c>
      <c r="AF62" s="34"/>
      <c r="AG62" s="192">
        <v>22</v>
      </c>
      <c r="AH62" s="182">
        <v>0.81</v>
      </c>
      <c r="AI62" s="34"/>
      <c r="AJ62" s="161">
        <v>22</v>
      </c>
      <c r="AK62" s="193">
        <v>1.6</v>
      </c>
      <c r="AL62" s="24"/>
    </row>
    <row r="63" spans="1:38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79">
        <v>55</v>
      </c>
      <c r="R63" s="79" t="s">
        <v>87</v>
      </c>
      <c r="S63" s="77">
        <v>46253</v>
      </c>
      <c r="T63" s="79">
        <v>1.147</v>
      </c>
      <c r="U63" s="79"/>
      <c r="V63" s="79"/>
      <c r="W63" s="34"/>
      <c r="X63" s="34"/>
      <c r="Y63" s="34"/>
      <c r="Z63" s="34"/>
      <c r="AA63" s="34"/>
      <c r="AB63" s="34"/>
      <c r="AC63" s="34"/>
      <c r="AD63" s="86">
        <v>63</v>
      </c>
      <c r="AE63" s="86">
        <v>0.61599999999999999</v>
      </c>
      <c r="AF63" s="34"/>
      <c r="AG63" s="192">
        <v>23</v>
      </c>
      <c r="AH63" s="182">
        <v>0.81</v>
      </c>
      <c r="AI63" s="34"/>
      <c r="AJ63" s="161">
        <v>23</v>
      </c>
      <c r="AK63" s="193">
        <v>1.6</v>
      </c>
      <c r="AL63" s="24"/>
    </row>
    <row r="64" spans="1:38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79">
        <v>56</v>
      </c>
      <c r="R64" s="79" t="s">
        <v>89</v>
      </c>
      <c r="S64" s="77">
        <v>46253</v>
      </c>
      <c r="T64" s="79">
        <v>1.9410000000000001</v>
      </c>
      <c r="U64" s="79"/>
      <c r="V64" s="79"/>
      <c r="W64" s="34"/>
      <c r="X64" s="34"/>
      <c r="Y64" s="34"/>
      <c r="Z64" s="34"/>
      <c r="AA64" s="34"/>
      <c r="AB64" s="34"/>
      <c r="AC64" s="34"/>
      <c r="AD64" s="86">
        <v>64</v>
      </c>
      <c r="AE64" s="86">
        <v>0.63200000000000001</v>
      </c>
      <c r="AF64" s="34"/>
      <c r="AG64" s="192">
        <v>24</v>
      </c>
      <c r="AH64" s="182">
        <v>0.81</v>
      </c>
      <c r="AI64" s="34"/>
      <c r="AJ64" s="161">
        <v>24</v>
      </c>
      <c r="AK64" s="193">
        <v>1.6</v>
      </c>
      <c r="AL64" s="24"/>
    </row>
    <row r="65" spans="1:38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79">
        <v>57</v>
      </c>
      <c r="R65" s="79" t="s">
        <v>91</v>
      </c>
      <c r="S65" s="77">
        <v>46253</v>
      </c>
      <c r="T65" s="79">
        <v>0.48899999999999999</v>
      </c>
      <c r="U65" s="79"/>
      <c r="V65" s="79"/>
      <c r="W65" s="34"/>
      <c r="X65" s="34"/>
      <c r="Y65" s="34"/>
      <c r="Z65" s="34"/>
      <c r="AA65" s="34"/>
      <c r="AB65" s="34"/>
      <c r="AC65" s="34"/>
      <c r="AD65" s="86">
        <v>65</v>
      </c>
      <c r="AE65" s="86">
        <v>0.63500000000000001</v>
      </c>
      <c r="AF65" s="34"/>
      <c r="AG65" s="192">
        <v>25</v>
      </c>
      <c r="AH65" s="182">
        <v>0.81</v>
      </c>
      <c r="AI65" s="34"/>
      <c r="AJ65" s="161">
        <v>25</v>
      </c>
      <c r="AK65" s="193">
        <v>1.6</v>
      </c>
      <c r="AL65" s="24"/>
    </row>
    <row r="66" spans="1:38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79">
        <v>58</v>
      </c>
      <c r="R66" s="79" t="s">
        <v>93</v>
      </c>
      <c r="S66" s="77">
        <v>46253</v>
      </c>
      <c r="T66" s="79">
        <v>0.55600000000000005</v>
      </c>
      <c r="U66" s="79"/>
      <c r="V66" s="79"/>
      <c r="W66" s="34"/>
      <c r="X66" s="34"/>
      <c r="Y66" s="34"/>
      <c r="Z66" s="34"/>
      <c r="AA66" s="34"/>
      <c r="AB66" s="34"/>
      <c r="AC66" s="34"/>
      <c r="AD66" s="86">
        <v>66</v>
      </c>
      <c r="AE66" s="86">
        <v>0.65100000000000002</v>
      </c>
      <c r="AF66" s="34"/>
      <c r="AG66" s="192">
        <v>26</v>
      </c>
      <c r="AH66" s="182">
        <v>0.81</v>
      </c>
      <c r="AI66" s="34"/>
      <c r="AJ66" s="161">
        <v>26</v>
      </c>
      <c r="AK66" s="193">
        <v>1.6</v>
      </c>
      <c r="AL66" s="24"/>
    </row>
    <row r="67" spans="1:38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79">
        <v>59</v>
      </c>
      <c r="R67" s="79" t="s">
        <v>95</v>
      </c>
      <c r="S67" s="77">
        <v>46253</v>
      </c>
      <c r="T67" s="80">
        <v>3.032</v>
      </c>
      <c r="U67" s="80"/>
      <c r="V67" s="80"/>
      <c r="W67" s="34"/>
      <c r="X67" s="34"/>
      <c r="Y67" s="34"/>
      <c r="Z67" s="34"/>
      <c r="AA67" s="34"/>
      <c r="AB67" s="34"/>
      <c r="AC67" s="34"/>
      <c r="AD67" s="86">
        <v>67</v>
      </c>
      <c r="AE67" s="86">
        <v>0.66200000000000003</v>
      </c>
      <c r="AF67" s="34"/>
      <c r="AG67" s="192">
        <v>27</v>
      </c>
      <c r="AH67" s="182">
        <v>0.81</v>
      </c>
      <c r="AI67" s="34"/>
      <c r="AJ67" s="161">
        <v>27</v>
      </c>
      <c r="AK67" s="193">
        <v>1.6</v>
      </c>
      <c r="AL67" s="24"/>
    </row>
    <row r="68" spans="1:38" x14ac:dyDescent="0.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79">
        <v>60</v>
      </c>
      <c r="R68" s="79" t="s">
        <v>97</v>
      </c>
      <c r="S68" s="77">
        <v>46253</v>
      </c>
      <c r="T68" s="80">
        <v>0.63200000000000001</v>
      </c>
      <c r="U68" s="80"/>
      <c r="V68" s="80"/>
      <c r="W68" s="34"/>
      <c r="X68" s="34"/>
      <c r="Y68" s="34"/>
      <c r="Z68" s="34"/>
      <c r="AA68" s="34"/>
      <c r="AB68" s="34"/>
      <c r="AC68" s="34"/>
      <c r="AD68" s="86">
        <v>68</v>
      </c>
      <c r="AE68" s="86">
        <v>0.66300000000000003</v>
      </c>
      <c r="AF68" s="34"/>
      <c r="AG68" s="192">
        <v>28</v>
      </c>
      <c r="AH68" s="182">
        <v>0.81</v>
      </c>
      <c r="AI68" s="34"/>
      <c r="AJ68" s="161">
        <v>28</v>
      </c>
      <c r="AK68" s="193">
        <v>1.6</v>
      </c>
      <c r="AL68" s="24"/>
    </row>
    <row r="69" spans="1:38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79">
        <v>61</v>
      </c>
      <c r="R69" s="79" t="s">
        <v>99</v>
      </c>
      <c r="S69" s="77">
        <v>46253</v>
      </c>
      <c r="T69" s="80">
        <v>1.0429999999999999</v>
      </c>
      <c r="U69" s="80"/>
      <c r="V69" s="80"/>
      <c r="W69" s="34"/>
      <c r="X69" s="34"/>
      <c r="Y69" s="34"/>
      <c r="Z69" s="34"/>
      <c r="AA69" s="34"/>
      <c r="AB69" s="34"/>
      <c r="AC69" s="34"/>
      <c r="AD69" s="86">
        <v>69</v>
      </c>
      <c r="AE69" s="86">
        <v>0.67300000000000004</v>
      </c>
      <c r="AF69" s="34"/>
      <c r="AG69" s="192">
        <v>29</v>
      </c>
      <c r="AH69" s="182">
        <v>0.81</v>
      </c>
      <c r="AI69" s="34"/>
      <c r="AJ69" s="161">
        <v>29</v>
      </c>
      <c r="AK69" s="193">
        <v>1.6</v>
      </c>
      <c r="AL69" s="24"/>
    </row>
    <row r="70" spans="1:38" x14ac:dyDescent="0.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79">
        <v>62</v>
      </c>
      <c r="R70" s="79" t="s">
        <v>101</v>
      </c>
      <c r="S70" s="77">
        <v>46253</v>
      </c>
      <c r="T70" s="80">
        <v>1.59</v>
      </c>
      <c r="U70" s="80"/>
      <c r="V70" s="80"/>
      <c r="W70" s="34"/>
      <c r="X70" s="34"/>
      <c r="Y70" s="34"/>
      <c r="Z70" s="34"/>
      <c r="AA70" s="34"/>
      <c r="AB70" s="34"/>
      <c r="AC70" s="34"/>
      <c r="AD70" s="86">
        <v>70</v>
      </c>
      <c r="AE70" s="86">
        <v>0.69599999999999995</v>
      </c>
      <c r="AF70" s="34"/>
      <c r="AG70" s="192">
        <v>30</v>
      </c>
      <c r="AH70" s="182">
        <v>0.81</v>
      </c>
      <c r="AI70" s="34"/>
      <c r="AJ70" s="161">
        <v>30</v>
      </c>
      <c r="AK70" s="193">
        <v>1.6</v>
      </c>
      <c r="AL70" s="24"/>
    </row>
    <row r="71" spans="1:38" x14ac:dyDescent="0.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79">
        <v>63</v>
      </c>
      <c r="R71" s="79" t="s">
        <v>103</v>
      </c>
      <c r="S71" s="77">
        <v>46253</v>
      </c>
      <c r="T71" s="80">
        <v>0.33700000000000002</v>
      </c>
      <c r="U71" s="80"/>
      <c r="V71" s="80"/>
      <c r="W71" s="34"/>
      <c r="X71" s="34"/>
      <c r="Y71" s="34"/>
      <c r="Z71" s="34"/>
      <c r="AA71" s="34"/>
      <c r="AB71" s="34"/>
      <c r="AC71" s="34"/>
      <c r="AD71" s="86">
        <v>71</v>
      </c>
      <c r="AE71" s="86">
        <v>0.70199999999999996</v>
      </c>
      <c r="AF71" s="34"/>
      <c r="AG71" s="192">
        <v>31</v>
      </c>
      <c r="AH71" s="182">
        <v>0.81</v>
      </c>
      <c r="AI71" s="34"/>
      <c r="AJ71" s="161">
        <v>31</v>
      </c>
      <c r="AK71" s="193">
        <v>1.6</v>
      </c>
      <c r="AL71" s="24"/>
    </row>
    <row r="72" spans="1:38" x14ac:dyDescent="0.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79">
        <v>64</v>
      </c>
      <c r="R72" s="79" t="s">
        <v>105</v>
      </c>
      <c r="S72" s="77">
        <v>46253</v>
      </c>
      <c r="T72" s="80">
        <v>0.252</v>
      </c>
      <c r="U72" s="80"/>
      <c r="V72" s="80"/>
      <c r="W72" s="34"/>
      <c r="X72" s="34"/>
      <c r="Y72" s="34"/>
      <c r="Z72" s="34"/>
      <c r="AA72" s="34"/>
      <c r="AB72" s="34"/>
      <c r="AC72" s="34"/>
      <c r="AD72" s="86">
        <v>72</v>
      </c>
      <c r="AE72" s="86">
        <v>0.70699999999999996</v>
      </c>
      <c r="AF72" s="34"/>
      <c r="AG72" s="192">
        <v>32</v>
      </c>
      <c r="AH72" s="182">
        <v>0.81</v>
      </c>
      <c r="AI72" s="34"/>
      <c r="AJ72" s="161">
        <v>32</v>
      </c>
      <c r="AK72" s="193">
        <v>1.6</v>
      </c>
      <c r="AL72" s="24"/>
    </row>
    <row r="73" spans="1:38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79">
        <v>65</v>
      </c>
      <c r="R73" s="79" t="s">
        <v>107</v>
      </c>
      <c r="S73" s="77">
        <v>46254</v>
      </c>
      <c r="T73" s="80">
        <v>0.90500000000000003</v>
      </c>
      <c r="U73" s="80"/>
      <c r="V73" s="80"/>
      <c r="W73" s="34"/>
      <c r="X73" s="34"/>
      <c r="Y73" s="34"/>
      <c r="Z73" s="34"/>
      <c r="AA73" s="34"/>
      <c r="AB73" s="34"/>
      <c r="AC73" s="34"/>
      <c r="AD73" s="86">
        <v>73</v>
      </c>
      <c r="AE73" s="86">
        <v>0.73199999999999998</v>
      </c>
      <c r="AF73" s="34"/>
      <c r="AG73" s="192">
        <v>33</v>
      </c>
      <c r="AH73" s="182">
        <v>0.81</v>
      </c>
      <c r="AI73" s="34"/>
      <c r="AJ73" s="161">
        <v>33</v>
      </c>
      <c r="AK73" s="193">
        <v>1.6</v>
      </c>
      <c r="AL73" s="24"/>
    </row>
    <row r="74" spans="1:38" x14ac:dyDescent="0.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79">
        <v>66</v>
      </c>
      <c r="R74" s="79" t="s">
        <v>109</v>
      </c>
      <c r="S74" s="77">
        <v>46254</v>
      </c>
      <c r="T74" s="80">
        <v>0.91200000000000003</v>
      </c>
      <c r="U74" s="80"/>
      <c r="V74" s="80"/>
      <c r="W74" s="34"/>
      <c r="X74" s="34"/>
      <c r="Y74" s="34"/>
      <c r="Z74" s="34"/>
      <c r="AA74" s="34"/>
      <c r="AB74" s="34"/>
      <c r="AC74" s="34"/>
      <c r="AD74" s="86">
        <v>74</v>
      </c>
      <c r="AE74" s="86">
        <v>0.73499999999999999</v>
      </c>
      <c r="AF74" s="34"/>
      <c r="AG74" s="192">
        <v>34</v>
      </c>
      <c r="AH74" s="182">
        <v>0.81</v>
      </c>
      <c r="AI74" s="34"/>
      <c r="AJ74" s="161">
        <v>34</v>
      </c>
      <c r="AK74" s="193">
        <v>1.6</v>
      </c>
      <c r="AL74" s="24"/>
    </row>
    <row r="75" spans="1:38" x14ac:dyDescent="0.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79">
        <v>67</v>
      </c>
      <c r="R75" s="79" t="s">
        <v>111</v>
      </c>
      <c r="S75" s="77">
        <v>46254</v>
      </c>
      <c r="T75" s="80">
        <v>0.21199999999999999</v>
      </c>
      <c r="U75" s="80"/>
      <c r="V75" s="80"/>
      <c r="W75" s="34"/>
      <c r="X75" s="34"/>
      <c r="Y75" s="34"/>
      <c r="Z75" s="34"/>
      <c r="AA75" s="34"/>
      <c r="AB75" s="34"/>
      <c r="AC75" s="34"/>
      <c r="AD75" s="86">
        <v>75</v>
      </c>
      <c r="AE75" s="86">
        <v>0.74399999999999999</v>
      </c>
      <c r="AF75" s="34"/>
      <c r="AG75" s="192">
        <v>35</v>
      </c>
      <c r="AH75" s="182">
        <v>0.81</v>
      </c>
      <c r="AI75" s="34"/>
      <c r="AJ75" s="161">
        <v>35</v>
      </c>
      <c r="AK75" s="193">
        <v>1.6</v>
      </c>
      <c r="AL75" s="24"/>
    </row>
    <row r="76" spans="1:38" x14ac:dyDescent="0.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79">
        <v>68</v>
      </c>
      <c r="R76" s="79" t="s">
        <v>79</v>
      </c>
      <c r="S76" s="77">
        <v>46254</v>
      </c>
      <c r="T76" s="80">
        <v>0.32300000000000001</v>
      </c>
      <c r="U76" s="80"/>
      <c r="V76" s="80"/>
      <c r="W76" s="34"/>
      <c r="X76" s="34"/>
      <c r="Y76" s="34"/>
      <c r="Z76" s="34"/>
      <c r="AA76" s="34"/>
      <c r="AB76" s="34"/>
      <c r="AC76" s="34"/>
      <c r="AD76" s="86">
        <v>76</v>
      </c>
      <c r="AE76" s="86">
        <v>0.751</v>
      </c>
      <c r="AF76" s="34"/>
      <c r="AG76" s="192">
        <v>36</v>
      </c>
      <c r="AH76" s="182">
        <v>0.81</v>
      </c>
      <c r="AI76" s="34"/>
      <c r="AJ76" s="161">
        <v>36</v>
      </c>
      <c r="AK76" s="193">
        <v>1.6</v>
      </c>
      <c r="AL76" s="24"/>
    </row>
    <row r="77" spans="1:38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79">
        <v>69</v>
      </c>
      <c r="R77" s="79" t="s">
        <v>83</v>
      </c>
      <c r="S77" s="77">
        <v>46254</v>
      </c>
      <c r="T77" s="80">
        <v>0.63500000000000001</v>
      </c>
      <c r="U77" s="80"/>
      <c r="V77" s="80"/>
      <c r="W77" s="34"/>
      <c r="X77" s="34"/>
      <c r="Y77" s="34"/>
      <c r="Z77" s="34"/>
      <c r="AA77" s="34"/>
      <c r="AB77" s="34"/>
      <c r="AC77" s="34"/>
      <c r="AD77" s="86">
        <v>77</v>
      </c>
      <c r="AE77" s="86">
        <v>0.76500000000000001</v>
      </c>
      <c r="AF77" s="34"/>
      <c r="AG77" s="192">
        <v>37</v>
      </c>
      <c r="AH77" s="182">
        <v>0.81</v>
      </c>
      <c r="AI77" s="34"/>
      <c r="AJ77" s="161">
        <v>37</v>
      </c>
      <c r="AK77" s="193">
        <v>1.6</v>
      </c>
      <c r="AL77" s="24"/>
    </row>
    <row r="78" spans="1:38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79">
        <v>70</v>
      </c>
      <c r="R78" s="79" t="s">
        <v>87</v>
      </c>
      <c r="S78" s="77">
        <v>46254</v>
      </c>
      <c r="T78" s="80">
        <v>0.45500000000000002</v>
      </c>
      <c r="U78" s="80"/>
      <c r="V78" s="80"/>
      <c r="W78" s="34"/>
      <c r="X78" s="34"/>
      <c r="Y78" s="34"/>
      <c r="Z78" s="34"/>
      <c r="AA78" s="34"/>
      <c r="AB78" s="34"/>
      <c r="AC78" s="34"/>
      <c r="AD78" s="86">
        <v>78</v>
      </c>
      <c r="AE78" s="86">
        <v>0.79</v>
      </c>
      <c r="AF78" s="34"/>
      <c r="AG78" s="192">
        <v>38</v>
      </c>
      <c r="AH78" s="182">
        <v>0.81</v>
      </c>
      <c r="AI78" s="34"/>
      <c r="AJ78" s="161">
        <v>38</v>
      </c>
      <c r="AK78" s="193">
        <v>1.6</v>
      </c>
      <c r="AL78" s="24"/>
    </row>
    <row r="79" spans="1:38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79">
        <v>71</v>
      </c>
      <c r="R79" s="79" t="s">
        <v>91</v>
      </c>
      <c r="S79" s="77">
        <v>46254</v>
      </c>
      <c r="T79" s="80">
        <v>9.9000000000000005E-2</v>
      </c>
      <c r="U79" s="80"/>
      <c r="V79" s="80"/>
      <c r="W79" s="34"/>
      <c r="X79" s="34"/>
      <c r="Y79" s="34"/>
      <c r="Z79" s="34"/>
      <c r="AA79" s="34"/>
      <c r="AB79" s="34"/>
      <c r="AC79" s="34"/>
      <c r="AD79" s="86">
        <v>79</v>
      </c>
      <c r="AE79" s="86">
        <v>0.79700000000000004</v>
      </c>
      <c r="AF79" s="34"/>
      <c r="AG79" s="192">
        <v>39</v>
      </c>
      <c r="AH79" s="182">
        <v>0.81</v>
      </c>
      <c r="AI79" s="34"/>
      <c r="AJ79" s="161">
        <v>39</v>
      </c>
      <c r="AK79" s="193">
        <v>1.6</v>
      </c>
      <c r="AL79" s="24"/>
    </row>
    <row r="80" spans="1:38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79">
        <v>72</v>
      </c>
      <c r="R80" s="79" t="s">
        <v>95</v>
      </c>
      <c r="S80" s="77">
        <v>46254</v>
      </c>
      <c r="T80" s="80">
        <v>0.69599999999999995</v>
      </c>
      <c r="U80" s="80"/>
      <c r="V80" s="80"/>
      <c r="W80" s="34"/>
      <c r="X80" s="34"/>
      <c r="Y80" s="34"/>
      <c r="Z80" s="34"/>
      <c r="AA80" s="34"/>
      <c r="AB80" s="34"/>
      <c r="AC80" s="34"/>
      <c r="AD80" s="86">
        <v>80</v>
      </c>
      <c r="AE80" s="86">
        <v>0.80200000000000005</v>
      </c>
      <c r="AF80" s="34"/>
      <c r="AG80" s="192">
        <v>40</v>
      </c>
      <c r="AH80" s="182">
        <v>0.81</v>
      </c>
      <c r="AI80" s="34"/>
      <c r="AJ80" s="161">
        <v>40</v>
      </c>
      <c r="AK80" s="193">
        <v>1.6</v>
      </c>
      <c r="AL80" s="24"/>
    </row>
    <row r="81" spans="1:38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79">
        <v>73</v>
      </c>
      <c r="R81" s="79" t="s">
        <v>99</v>
      </c>
      <c r="S81" s="77">
        <v>46254</v>
      </c>
      <c r="T81" s="80">
        <v>0.34</v>
      </c>
      <c r="U81" s="80"/>
      <c r="V81" s="80"/>
      <c r="W81" s="34"/>
      <c r="X81" s="34"/>
      <c r="Y81" s="34"/>
      <c r="Z81" s="34"/>
      <c r="AA81" s="34"/>
      <c r="AB81" s="34"/>
      <c r="AC81" s="34"/>
      <c r="AD81" s="86">
        <v>81</v>
      </c>
      <c r="AE81" s="86">
        <v>0.81299999999999994</v>
      </c>
      <c r="AF81" s="34"/>
      <c r="AG81" s="192">
        <v>41</v>
      </c>
      <c r="AH81" s="182">
        <v>0.81</v>
      </c>
      <c r="AI81" s="34"/>
      <c r="AJ81" s="161">
        <v>41</v>
      </c>
      <c r="AK81" s="193">
        <v>1.6</v>
      </c>
      <c r="AL81" s="24"/>
    </row>
    <row r="82" spans="1:38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79">
        <v>74</v>
      </c>
      <c r="R82" s="79" t="s">
        <v>103</v>
      </c>
      <c r="S82" s="77">
        <v>46254</v>
      </c>
      <c r="T82" s="80">
        <v>0.98199999999999998</v>
      </c>
      <c r="U82" s="80"/>
      <c r="V82" s="80"/>
      <c r="W82" s="34"/>
      <c r="X82" s="34"/>
      <c r="Y82" s="34"/>
      <c r="Z82" s="34"/>
      <c r="AA82" s="34"/>
      <c r="AB82" s="34"/>
      <c r="AC82" s="34"/>
      <c r="AD82" s="86">
        <v>82</v>
      </c>
      <c r="AE82" s="86">
        <v>0.81599999999999995</v>
      </c>
      <c r="AF82" s="34"/>
      <c r="AG82" s="192">
        <v>42</v>
      </c>
      <c r="AH82" s="182">
        <v>0.81</v>
      </c>
      <c r="AI82" s="34"/>
      <c r="AJ82" s="161">
        <v>42</v>
      </c>
      <c r="AK82" s="193">
        <v>1.6</v>
      </c>
      <c r="AL82" s="24"/>
    </row>
    <row r="83" spans="1:38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79">
        <v>75</v>
      </c>
      <c r="R83" s="79" t="s">
        <v>117</v>
      </c>
      <c r="S83" s="77">
        <v>46254</v>
      </c>
      <c r="T83" s="80">
        <v>1.0880000000000001</v>
      </c>
      <c r="U83" s="80"/>
      <c r="V83" s="80"/>
      <c r="W83" s="34"/>
      <c r="X83" s="34"/>
      <c r="Y83" s="34"/>
      <c r="Z83" s="34"/>
      <c r="AA83" s="34"/>
      <c r="AB83" s="34"/>
      <c r="AC83" s="34"/>
      <c r="AD83" s="86">
        <v>83</v>
      </c>
      <c r="AE83" s="80">
        <v>0.83599999999999997</v>
      </c>
      <c r="AF83" s="34"/>
      <c r="AG83" s="192">
        <v>43</v>
      </c>
      <c r="AH83" s="182">
        <v>0.81</v>
      </c>
      <c r="AI83" s="34"/>
      <c r="AJ83" s="161">
        <v>43</v>
      </c>
      <c r="AK83" s="193">
        <v>1.6</v>
      </c>
      <c r="AL83" s="24"/>
    </row>
    <row r="84" spans="1:38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79">
        <v>76</v>
      </c>
      <c r="R84" s="79" t="s">
        <v>107</v>
      </c>
      <c r="S84" s="77">
        <v>46255</v>
      </c>
      <c r="T84" s="80">
        <v>0.57399999999999995</v>
      </c>
      <c r="U84" s="80"/>
      <c r="V84" s="80"/>
      <c r="W84" s="34"/>
      <c r="X84" s="34"/>
      <c r="Y84" s="34"/>
      <c r="Z84" s="34"/>
      <c r="AA84" s="34"/>
      <c r="AB84" s="34"/>
      <c r="AC84" s="34"/>
      <c r="AD84" s="86">
        <v>84</v>
      </c>
      <c r="AE84" s="86">
        <v>0.83899999999999997</v>
      </c>
      <c r="AF84" s="34"/>
      <c r="AG84" s="192">
        <v>44</v>
      </c>
      <c r="AH84" s="182">
        <v>0.81</v>
      </c>
      <c r="AI84" s="34"/>
      <c r="AJ84" s="161">
        <v>44</v>
      </c>
      <c r="AK84" s="193">
        <v>1.6</v>
      </c>
      <c r="AL84" s="24"/>
    </row>
    <row r="85" spans="1:38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79">
        <v>77</v>
      </c>
      <c r="R85" s="79" t="s">
        <v>109</v>
      </c>
      <c r="S85" s="77">
        <v>46255</v>
      </c>
      <c r="T85" s="80">
        <v>0.35399999999999998</v>
      </c>
      <c r="U85" s="80"/>
      <c r="V85" s="80"/>
      <c r="W85" s="34"/>
      <c r="X85" s="34"/>
      <c r="Y85" s="34"/>
      <c r="Z85" s="34"/>
      <c r="AA85" s="34"/>
      <c r="AB85" s="34"/>
      <c r="AC85" s="34"/>
      <c r="AD85" s="86">
        <v>85</v>
      </c>
      <c r="AE85" s="86">
        <v>0.84699999999999998</v>
      </c>
      <c r="AF85" s="34"/>
      <c r="AG85" s="192">
        <v>45</v>
      </c>
      <c r="AH85" s="182">
        <v>0.81</v>
      </c>
      <c r="AI85" s="34"/>
      <c r="AJ85" s="161">
        <v>45</v>
      </c>
      <c r="AK85" s="193">
        <v>1.6</v>
      </c>
      <c r="AL85" s="24"/>
    </row>
    <row r="86" spans="1:38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79">
        <v>78</v>
      </c>
      <c r="R86" s="79" t="s">
        <v>111</v>
      </c>
      <c r="S86" s="77">
        <v>46255</v>
      </c>
      <c r="T86" s="80">
        <v>0.80200000000000005</v>
      </c>
      <c r="U86" s="80"/>
      <c r="V86" s="80"/>
      <c r="W86" s="34"/>
      <c r="X86" s="34"/>
      <c r="Y86" s="34"/>
      <c r="Z86" s="34"/>
      <c r="AA86" s="34"/>
      <c r="AB86" s="34"/>
      <c r="AC86" s="34"/>
      <c r="AD86" s="86">
        <v>86</v>
      </c>
      <c r="AE86" s="86">
        <v>0.86299999999999999</v>
      </c>
      <c r="AF86" s="34"/>
      <c r="AG86" s="192">
        <v>46</v>
      </c>
      <c r="AH86" s="182">
        <v>0.81</v>
      </c>
      <c r="AI86" s="34"/>
      <c r="AJ86" s="161">
        <v>46</v>
      </c>
      <c r="AK86" s="193">
        <v>1.6</v>
      </c>
      <c r="AL86" s="24"/>
    </row>
    <row r="87" spans="1:38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79">
        <v>79</v>
      </c>
      <c r="R87" s="79" t="s">
        <v>79</v>
      </c>
      <c r="S87" s="77">
        <v>46255</v>
      </c>
      <c r="T87" s="80">
        <v>0.16</v>
      </c>
      <c r="U87" s="80"/>
      <c r="V87" s="80"/>
      <c r="W87" s="34"/>
      <c r="X87" s="34"/>
      <c r="Y87" s="34"/>
      <c r="Z87" s="34"/>
      <c r="AA87" s="34"/>
      <c r="AB87" s="34"/>
      <c r="AC87" s="34"/>
      <c r="AD87" s="86">
        <v>87</v>
      </c>
      <c r="AE87" s="86">
        <v>0.90500000000000003</v>
      </c>
      <c r="AF87" s="34"/>
      <c r="AG87" s="192">
        <v>47</v>
      </c>
      <c r="AH87" s="182">
        <v>0.81</v>
      </c>
      <c r="AI87" s="34"/>
      <c r="AJ87" s="161">
        <v>47</v>
      </c>
      <c r="AK87" s="193">
        <v>1.6</v>
      </c>
      <c r="AL87" s="24"/>
    </row>
    <row r="88" spans="1:38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79">
        <v>80</v>
      </c>
      <c r="R88" s="79" t="s">
        <v>83</v>
      </c>
      <c r="S88" s="77">
        <v>46255</v>
      </c>
      <c r="T88" s="80">
        <v>0.96199999999999997</v>
      </c>
      <c r="U88" s="80"/>
      <c r="V88" s="80"/>
      <c r="W88" s="34"/>
      <c r="X88" s="34"/>
      <c r="Y88" s="34"/>
      <c r="Z88" s="34"/>
      <c r="AA88" s="34"/>
      <c r="AB88" s="34"/>
      <c r="AC88" s="34"/>
      <c r="AD88" s="86">
        <v>88</v>
      </c>
      <c r="AE88" s="86">
        <v>0.91200000000000003</v>
      </c>
      <c r="AF88" s="34"/>
      <c r="AG88" s="192">
        <v>48</v>
      </c>
      <c r="AH88" s="182">
        <v>0.81</v>
      </c>
      <c r="AI88" s="34"/>
      <c r="AJ88" s="161">
        <v>48</v>
      </c>
      <c r="AK88" s="193">
        <v>1.6</v>
      </c>
      <c r="AL88" s="24"/>
    </row>
    <row r="89" spans="1:38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79">
        <v>81</v>
      </c>
      <c r="R89" s="79" t="s">
        <v>87</v>
      </c>
      <c r="S89" s="77">
        <v>46255</v>
      </c>
      <c r="T89" s="80">
        <v>0.42199999999999999</v>
      </c>
      <c r="U89" s="80"/>
      <c r="V89" s="80"/>
      <c r="W89" s="34"/>
      <c r="X89" s="34"/>
      <c r="Y89" s="34"/>
      <c r="Z89" s="34"/>
      <c r="AA89" s="34"/>
      <c r="AB89" s="34"/>
      <c r="AC89" s="34"/>
      <c r="AD89" s="86">
        <v>89</v>
      </c>
      <c r="AE89" s="80">
        <v>0.91700000000000004</v>
      </c>
      <c r="AF89" s="34"/>
      <c r="AG89" s="192">
        <v>49</v>
      </c>
      <c r="AH89" s="182">
        <v>0.81</v>
      </c>
      <c r="AI89" s="34"/>
      <c r="AJ89" s="161">
        <v>49</v>
      </c>
      <c r="AK89" s="193">
        <v>1.6</v>
      </c>
      <c r="AL89" s="24"/>
    </row>
    <row r="90" spans="1:38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79">
        <v>82</v>
      </c>
      <c r="R90" s="79" t="s">
        <v>91</v>
      </c>
      <c r="S90" s="77">
        <v>46255</v>
      </c>
      <c r="T90" s="80">
        <v>0.16700000000000001</v>
      </c>
      <c r="U90" s="80"/>
      <c r="V90" s="80"/>
      <c r="W90" s="34"/>
      <c r="X90" s="34"/>
      <c r="Y90" s="34"/>
      <c r="Z90" s="34"/>
      <c r="AA90" s="34"/>
      <c r="AB90" s="34"/>
      <c r="AC90" s="34"/>
      <c r="AD90" s="86">
        <v>90</v>
      </c>
      <c r="AE90" s="86">
        <v>0.94399999999999995</v>
      </c>
      <c r="AF90" s="34"/>
      <c r="AG90" s="192">
        <v>50</v>
      </c>
      <c r="AH90" s="182">
        <v>0.81</v>
      </c>
      <c r="AI90" s="34"/>
      <c r="AJ90" s="161">
        <v>50</v>
      </c>
      <c r="AK90" s="193">
        <v>1.6</v>
      </c>
      <c r="AL90" s="24"/>
    </row>
    <row r="91" spans="1:38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79">
        <v>83</v>
      </c>
      <c r="R91" s="79" t="s">
        <v>95</v>
      </c>
      <c r="S91" s="77">
        <v>46255</v>
      </c>
      <c r="T91" s="80">
        <v>0.31</v>
      </c>
      <c r="U91" s="80"/>
      <c r="V91" s="80"/>
      <c r="W91" s="34"/>
      <c r="X91" s="34"/>
      <c r="Y91" s="34"/>
      <c r="Z91" s="34"/>
      <c r="AA91" s="34"/>
      <c r="AB91" s="34"/>
      <c r="AC91" s="34"/>
      <c r="AD91" s="86">
        <v>91</v>
      </c>
      <c r="AE91" s="86">
        <v>0.96199999999999997</v>
      </c>
      <c r="AF91" s="34"/>
      <c r="AG91" s="192">
        <v>51</v>
      </c>
      <c r="AH91" s="182">
        <v>0.81</v>
      </c>
      <c r="AI91" s="34"/>
      <c r="AJ91" s="161">
        <v>51</v>
      </c>
      <c r="AK91" s="193">
        <v>1.6</v>
      </c>
      <c r="AL91" s="24"/>
    </row>
    <row r="92" spans="1:38" x14ac:dyDescent="0.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79">
        <v>84</v>
      </c>
      <c r="R92" s="79" t="s">
        <v>99</v>
      </c>
      <c r="S92" s="77">
        <v>46255</v>
      </c>
      <c r="T92" s="80">
        <v>0.23100000000000001</v>
      </c>
      <c r="U92" s="80"/>
      <c r="V92" s="80"/>
      <c r="W92" s="34"/>
      <c r="X92" s="34"/>
      <c r="Y92" s="34"/>
      <c r="Z92" s="34"/>
      <c r="AA92" s="34"/>
      <c r="AB92" s="34"/>
      <c r="AC92" s="34"/>
      <c r="AD92" s="86">
        <v>92</v>
      </c>
      <c r="AE92" s="86">
        <v>0.98199999999999998</v>
      </c>
      <c r="AF92" s="34"/>
      <c r="AG92" s="192">
        <v>52</v>
      </c>
      <c r="AH92" s="182">
        <v>0.81</v>
      </c>
      <c r="AI92" s="34"/>
      <c r="AJ92" s="161">
        <v>52</v>
      </c>
      <c r="AK92" s="193">
        <v>1.6</v>
      </c>
      <c r="AL92" s="24"/>
    </row>
    <row r="93" spans="1:38" x14ac:dyDescent="0.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79">
        <v>85</v>
      </c>
      <c r="R93" s="79" t="s">
        <v>109</v>
      </c>
      <c r="S93" s="77">
        <v>46256</v>
      </c>
      <c r="T93" s="80">
        <v>2.5209999999999999</v>
      </c>
      <c r="U93" s="80">
        <f>T93*18</f>
        <v>45.378</v>
      </c>
      <c r="V93" s="80"/>
      <c r="W93" s="161">
        <f>SUM(U93:U101)/Crushing!N22</f>
        <v>0.51743747858855771</v>
      </c>
      <c r="X93" s="161">
        <f>AVERAGE(T93:T101)</f>
        <v>0.62933333333333319</v>
      </c>
      <c r="Y93" s="34"/>
      <c r="Z93" s="34"/>
      <c r="AA93" s="34"/>
      <c r="AB93" s="34"/>
      <c r="AC93" s="34"/>
      <c r="AD93" s="86">
        <v>93</v>
      </c>
      <c r="AE93" s="80">
        <v>0.98599999999999999</v>
      </c>
      <c r="AF93" s="34"/>
      <c r="AG93" s="192">
        <v>53</v>
      </c>
      <c r="AH93" s="182">
        <v>0.81</v>
      </c>
      <c r="AI93" s="34"/>
      <c r="AJ93" s="161">
        <v>53</v>
      </c>
      <c r="AK93" s="193">
        <v>1.6</v>
      </c>
      <c r="AL93" s="24"/>
    </row>
    <row r="94" spans="1:38" x14ac:dyDescent="0.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79">
        <v>86</v>
      </c>
      <c r="R94" s="79" t="s">
        <v>111</v>
      </c>
      <c r="S94" s="77">
        <v>46256</v>
      </c>
      <c r="T94" s="80">
        <v>0.308</v>
      </c>
      <c r="U94" s="80">
        <f t="shared" ref="U94:U101" si="5">T94*18</f>
        <v>5.5439999999999996</v>
      </c>
      <c r="V94" s="80"/>
      <c r="W94" s="34"/>
      <c r="X94" s="161">
        <f>X93-W93</f>
        <v>0.11189585474477548</v>
      </c>
      <c r="Y94" s="34"/>
      <c r="Z94" s="34"/>
      <c r="AA94" s="34"/>
      <c r="AB94" s="34"/>
      <c r="AC94" s="34"/>
      <c r="AD94" s="86">
        <v>94</v>
      </c>
      <c r="AE94" s="86">
        <v>1.0349999999999999</v>
      </c>
      <c r="AF94" s="34"/>
      <c r="AG94" s="192">
        <v>54</v>
      </c>
      <c r="AH94" s="182">
        <v>0.81</v>
      </c>
      <c r="AI94" s="34"/>
      <c r="AJ94" s="161">
        <v>54</v>
      </c>
      <c r="AK94" s="193">
        <v>1.6</v>
      </c>
      <c r="AL94" s="24"/>
    </row>
    <row r="95" spans="1:38" x14ac:dyDescent="0.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79">
        <v>87</v>
      </c>
      <c r="R95" s="79" t="s">
        <v>79</v>
      </c>
      <c r="S95" s="77">
        <v>46256</v>
      </c>
      <c r="T95" s="80">
        <v>0.35099999999999998</v>
      </c>
      <c r="U95" s="80">
        <f t="shared" si="5"/>
        <v>6.3179999999999996</v>
      </c>
      <c r="V95" s="80"/>
      <c r="W95" s="34"/>
      <c r="X95" s="161">
        <f>L19-X93</f>
        <v>11.679666666666666</v>
      </c>
      <c r="Y95" s="34"/>
      <c r="Z95" s="34"/>
      <c r="AA95" s="34"/>
      <c r="AB95" s="34"/>
      <c r="AC95" s="34"/>
      <c r="AD95" s="86">
        <v>95</v>
      </c>
      <c r="AE95" s="86">
        <v>1.0409999999999999</v>
      </c>
      <c r="AF95" s="34"/>
      <c r="AG95" s="192">
        <v>55</v>
      </c>
      <c r="AH95" s="182">
        <v>0.81</v>
      </c>
      <c r="AI95" s="34"/>
      <c r="AJ95" s="161">
        <v>55</v>
      </c>
      <c r="AK95" s="193">
        <v>1.6</v>
      </c>
      <c r="AL95" s="24"/>
    </row>
    <row r="96" spans="1:38" x14ac:dyDescent="0.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79">
        <v>88</v>
      </c>
      <c r="R96" s="79" t="s">
        <v>83</v>
      </c>
      <c r="S96" s="77">
        <v>46256</v>
      </c>
      <c r="T96" s="80">
        <v>0.751</v>
      </c>
      <c r="U96" s="80">
        <f t="shared" si="5"/>
        <v>13.518000000000001</v>
      </c>
      <c r="V96" s="80"/>
      <c r="W96" s="34"/>
      <c r="X96" s="161">
        <f>X95*18</f>
        <v>210.23399999999998</v>
      </c>
      <c r="Y96" s="34"/>
      <c r="Z96" s="34"/>
      <c r="AA96" s="34"/>
      <c r="AB96" s="34"/>
      <c r="AC96" s="34"/>
      <c r="AD96" s="86">
        <v>96</v>
      </c>
      <c r="AE96" s="86">
        <v>1.0429999999999999</v>
      </c>
      <c r="AF96" s="34"/>
      <c r="AG96" s="192">
        <v>56</v>
      </c>
      <c r="AH96" s="182">
        <v>0.81</v>
      </c>
      <c r="AI96" s="34"/>
      <c r="AJ96" s="161">
        <v>56</v>
      </c>
      <c r="AK96" s="193">
        <v>1.6</v>
      </c>
      <c r="AL96" s="24"/>
    </row>
    <row r="97" spans="1:38" x14ac:dyDescent="0.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79">
        <v>89</v>
      </c>
      <c r="R97" s="79" t="s">
        <v>87</v>
      </c>
      <c r="S97" s="77">
        <v>46256</v>
      </c>
      <c r="T97" s="80">
        <v>0.60399999999999998</v>
      </c>
      <c r="U97" s="80">
        <f t="shared" si="5"/>
        <v>10.872</v>
      </c>
      <c r="V97" s="80"/>
      <c r="W97" s="34"/>
      <c r="X97" s="34"/>
      <c r="Y97" s="34"/>
      <c r="Z97" s="34"/>
      <c r="AA97" s="34"/>
      <c r="AB97" s="34"/>
      <c r="AC97" s="34"/>
      <c r="AD97" s="86">
        <v>97</v>
      </c>
      <c r="AE97" s="80">
        <v>1.044</v>
      </c>
      <c r="AF97" s="34"/>
      <c r="AG97" s="192">
        <v>57</v>
      </c>
      <c r="AH97" s="182">
        <v>0.81</v>
      </c>
      <c r="AI97" s="34"/>
      <c r="AJ97" s="161">
        <v>57</v>
      </c>
      <c r="AK97" s="193">
        <v>1.6</v>
      </c>
      <c r="AL97" s="24"/>
    </row>
    <row r="98" spans="1:38" x14ac:dyDescent="0.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79">
        <v>90</v>
      </c>
      <c r="R98" s="79" t="s">
        <v>91</v>
      </c>
      <c r="S98" s="77">
        <v>46256</v>
      </c>
      <c r="T98" s="80">
        <v>4.7E-2</v>
      </c>
      <c r="U98" s="80">
        <f t="shared" si="5"/>
        <v>0.84599999999999997</v>
      </c>
      <c r="V98" s="80"/>
      <c r="W98" s="34"/>
      <c r="X98" s="34"/>
      <c r="Y98" s="34"/>
      <c r="Z98" s="34"/>
      <c r="AA98" s="34"/>
      <c r="AB98" s="34"/>
      <c r="AC98" s="34"/>
      <c r="AD98" s="86">
        <v>98</v>
      </c>
      <c r="AE98" s="86">
        <v>1.077</v>
      </c>
      <c r="AF98" s="34"/>
      <c r="AG98" s="192">
        <v>58</v>
      </c>
      <c r="AH98" s="182">
        <v>0.81</v>
      </c>
      <c r="AI98" s="34"/>
      <c r="AJ98" s="161">
        <v>58</v>
      </c>
      <c r="AK98" s="193">
        <v>1.6</v>
      </c>
      <c r="AL98" s="24"/>
    </row>
    <row r="99" spans="1:38" x14ac:dyDescent="0.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79">
        <v>91</v>
      </c>
      <c r="R99" s="79" t="s">
        <v>95</v>
      </c>
      <c r="S99" s="77">
        <v>46256</v>
      </c>
      <c r="T99" s="80">
        <v>0.35699999999999998</v>
      </c>
      <c r="U99" s="80">
        <f t="shared" si="5"/>
        <v>6.4260000000000002</v>
      </c>
      <c r="V99" s="80"/>
      <c r="W99" s="34"/>
      <c r="X99" s="34"/>
      <c r="Y99" s="34"/>
      <c r="Z99" s="34"/>
      <c r="AA99" s="34"/>
      <c r="AB99" s="34"/>
      <c r="AC99" s="34"/>
      <c r="AD99" s="86">
        <v>99</v>
      </c>
      <c r="AE99" s="86">
        <v>1.0880000000000001</v>
      </c>
      <c r="AF99" s="34"/>
      <c r="AG99" s="192">
        <v>59</v>
      </c>
      <c r="AH99" s="182">
        <v>0.81</v>
      </c>
      <c r="AI99" s="34"/>
      <c r="AJ99" s="161">
        <v>59</v>
      </c>
      <c r="AK99" s="193">
        <v>1.6</v>
      </c>
      <c r="AL99" s="24"/>
    </row>
    <row r="100" spans="1:38" x14ac:dyDescent="0.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79">
        <v>92</v>
      </c>
      <c r="R100" s="79" t="s">
        <v>99</v>
      </c>
      <c r="S100" s="77">
        <v>46256</v>
      </c>
      <c r="T100" s="80">
        <v>0.40699999999999997</v>
      </c>
      <c r="U100" s="80">
        <f t="shared" si="5"/>
        <v>7.3259999999999996</v>
      </c>
      <c r="V100" s="80"/>
      <c r="W100" s="34"/>
      <c r="X100" s="34"/>
      <c r="Y100" s="34"/>
      <c r="Z100" s="34"/>
      <c r="AA100" s="34"/>
      <c r="AB100" s="34"/>
      <c r="AC100" s="34"/>
      <c r="AD100" s="86">
        <v>100</v>
      </c>
      <c r="AE100" s="80">
        <v>1.1000000000000001</v>
      </c>
      <c r="AF100" s="34"/>
      <c r="AG100" s="192">
        <v>60</v>
      </c>
      <c r="AH100" s="182">
        <v>0.81</v>
      </c>
      <c r="AI100" s="34"/>
      <c r="AJ100" s="161">
        <v>60</v>
      </c>
      <c r="AK100" s="193">
        <v>1.6</v>
      </c>
      <c r="AL100" s="24"/>
    </row>
    <row r="101" spans="1:38" x14ac:dyDescent="0.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79">
        <v>93</v>
      </c>
      <c r="R101" s="79" t="s">
        <v>103</v>
      </c>
      <c r="S101" s="77">
        <v>46256</v>
      </c>
      <c r="T101" s="80">
        <v>0.318</v>
      </c>
      <c r="U101" s="80">
        <f t="shared" si="5"/>
        <v>5.7240000000000002</v>
      </c>
      <c r="V101" s="80"/>
      <c r="W101" s="34"/>
      <c r="X101" s="34"/>
      <c r="Y101" s="34"/>
      <c r="Z101" s="34"/>
      <c r="AA101" s="34"/>
      <c r="AB101" s="34"/>
      <c r="AC101" s="34"/>
      <c r="AD101" s="86">
        <v>101</v>
      </c>
      <c r="AE101" s="80">
        <v>1.125</v>
      </c>
      <c r="AF101" s="34"/>
      <c r="AG101" s="192">
        <v>61</v>
      </c>
      <c r="AH101" s="182">
        <v>0.81</v>
      </c>
      <c r="AI101" s="34"/>
      <c r="AJ101" s="161">
        <v>61</v>
      </c>
      <c r="AK101" s="193">
        <v>1.6</v>
      </c>
      <c r="AL101" s="24"/>
    </row>
    <row r="102" spans="1:38" x14ac:dyDescent="0.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79">
        <v>94</v>
      </c>
      <c r="R102" s="79" t="s">
        <v>107</v>
      </c>
      <c r="S102" s="77">
        <v>46258</v>
      </c>
      <c r="T102" s="80">
        <v>0.502</v>
      </c>
      <c r="U102" s="80"/>
      <c r="V102" s="80"/>
      <c r="W102" s="34"/>
      <c r="X102" s="34"/>
      <c r="Y102" s="34"/>
      <c r="Z102" s="34"/>
      <c r="AA102" s="34"/>
      <c r="AB102" s="34"/>
      <c r="AC102" s="34"/>
      <c r="AD102" s="86">
        <v>102</v>
      </c>
      <c r="AE102" s="86">
        <v>1.147</v>
      </c>
      <c r="AF102" s="34"/>
      <c r="AG102" s="192">
        <v>62</v>
      </c>
      <c r="AH102" s="182">
        <v>0.81</v>
      </c>
      <c r="AI102" s="34"/>
      <c r="AJ102" s="161">
        <v>62</v>
      </c>
      <c r="AK102" s="193">
        <v>1.6</v>
      </c>
      <c r="AL102" s="24"/>
    </row>
    <row r="103" spans="1:38" x14ac:dyDescent="0.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79">
        <v>95</v>
      </c>
      <c r="R103" s="79" t="s">
        <v>109</v>
      </c>
      <c r="S103" s="77">
        <v>46258</v>
      </c>
      <c r="T103" s="80">
        <v>0.38800000000000001</v>
      </c>
      <c r="U103" s="80"/>
      <c r="V103" s="80"/>
      <c r="W103" s="34"/>
      <c r="X103" s="34"/>
      <c r="Y103" s="34"/>
      <c r="Z103" s="34"/>
      <c r="AA103" s="34"/>
      <c r="AB103" s="34"/>
      <c r="AC103" s="34"/>
      <c r="AD103" s="86">
        <v>103</v>
      </c>
      <c r="AE103" s="80">
        <v>1.2170000000000001</v>
      </c>
      <c r="AF103" s="34"/>
      <c r="AG103" s="192">
        <v>63</v>
      </c>
      <c r="AH103" s="182">
        <v>0.81</v>
      </c>
      <c r="AI103" s="34"/>
      <c r="AJ103" s="161">
        <v>63</v>
      </c>
      <c r="AK103" s="193">
        <v>1.6</v>
      </c>
      <c r="AL103" s="24"/>
    </row>
    <row r="104" spans="1:38" x14ac:dyDescent="0.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79">
        <v>96</v>
      </c>
      <c r="R104" s="79" t="s">
        <v>111</v>
      </c>
      <c r="S104" s="77">
        <v>46258</v>
      </c>
      <c r="T104" s="80">
        <v>1.0409999999999999</v>
      </c>
      <c r="U104" s="80"/>
      <c r="V104" s="80"/>
      <c r="W104" s="34"/>
      <c r="X104" s="34"/>
      <c r="Y104" s="34"/>
      <c r="Z104" s="34"/>
      <c r="AA104" s="34"/>
      <c r="AB104" s="34"/>
      <c r="AC104" s="34"/>
      <c r="AD104" s="86">
        <v>104</v>
      </c>
      <c r="AE104" s="86">
        <v>1.2350000000000001</v>
      </c>
      <c r="AF104" s="34"/>
      <c r="AG104" s="192">
        <v>64</v>
      </c>
      <c r="AH104" s="182">
        <v>0.81</v>
      </c>
      <c r="AI104" s="34"/>
      <c r="AJ104" s="161">
        <v>64</v>
      </c>
      <c r="AK104" s="193">
        <v>1.6</v>
      </c>
      <c r="AL104" s="24"/>
    </row>
    <row r="105" spans="1:38" x14ac:dyDescent="0.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79">
        <v>97</v>
      </c>
      <c r="R105" s="79" t="s">
        <v>79</v>
      </c>
      <c r="S105" s="77">
        <v>46258</v>
      </c>
      <c r="T105" s="80">
        <v>1.47</v>
      </c>
      <c r="U105" s="80"/>
      <c r="V105" s="80"/>
      <c r="W105" s="34"/>
      <c r="X105" s="34"/>
      <c r="Y105" s="34"/>
      <c r="Z105" s="34"/>
      <c r="AA105" s="34"/>
      <c r="AB105" s="34"/>
      <c r="AC105" s="34"/>
      <c r="AD105" s="86">
        <v>105</v>
      </c>
      <c r="AE105" s="86">
        <v>1.2390000000000001</v>
      </c>
      <c r="AF105" s="34"/>
      <c r="AG105" s="192">
        <v>65</v>
      </c>
      <c r="AH105" s="182">
        <v>0.81</v>
      </c>
      <c r="AI105" s="34"/>
      <c r="AJ105" s="161">
        <v>65</v>
      </c>
      <c r="AK105" s="193">
        <v>1.6</v>
      </c>
      <c r="AL105" s="24"/>
    </row>
    <row r="106" spans="1:38" x14ac:dyDescent="0.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79">
        <v>98</v>
      </c>
      <c r="R106" s="79" t="s">
        <v>83</v>
      </c>
      <c r="S106" s="77">
        <v>46258</v>
      </c>
      <c r="T106" s="80">
        <v>3.8769999999999998</v>
      </c>
      <c r="U106" s="80"/>
      <c r="V106" s="80"/>
      <c r="W106" s="34"/>
      <c r="X106" s="34"/>
      <c r="Y106" s="34"/>
      <c r="Z106" s="34"/>
      <c r="AA106" s="34"/>
      <c r="AB106" s="34"/>
      <c r="AC106" s="34"/>
      <c r="AD106" s="86">
        <v>106</v>
      </c>
      <c r="AE106" s="86">
        <v>1.25</v>
      </c>
      <c r="AF106" s="34"/>
      <c r="AG106" s="192">
        <v>66</v>
      </c>
      <c r="AH106" s="182">
        <v>0.81</v>
      </c>
      <c r="AI106" s="34"/>
      <c r="AJ106" s="161">
        <v>66</v>
      </c>
      <c r="AK106" s="193">
        <v>1.6</v>
      </c>
      <c r="AL106" s="24"/>
    </row>
    <row r="107" spans="1:38" x14ac:dyDescent="0.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79">
        <v>99</v>
      </c>
      <c r="R107" s="79" t="s">
        <v>87</v>
      </c>
      <c r="S107" s="77">
        <v>46258</v>
      </c>
      <c r="T107" s="80">
        <v>0.35099999999999998</v>
      </c>
      <c r="U107" s="80"/>
      <c r="V107" s="80"/>
      <c r="W107" s="34"/>
      <c r="X107" s="34"/>
      <c r="Y107" s="34"/>
      <c r="Z107" s="34"/>
      <c r="AA107" s="34"/>
      <c r="AB107" s="34"/>
      <c r="AC107" s="34"/>
      <c r="AD107" s="86">
        <v>107</v>
      </c>
      <c r="AE107" s="86">
        <v>1.2929999999999999</v>
      </c>
      <c r="AF107" s="34"/>
      <c r="AG107" s="192">
        <v>67</v>
      </c>
      <c r="AH107" s="182">
        <v>0.81</v>
      </c>
      <c r="AI107" s="34"/>
      <c r="AJ107" s="161">
        <v>67</v>
      </c>
      <c r="AK107" s="193">
        <v>1.6</v>
      </c>
      <c r="AL107" s="24"/>
    </row>
    <row r="108" spans="1:38" x14ac:dyDescent="0.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79">
        <v>100</v>
      </c>
      <c r="R108" s="79" t="s">
        <v>91</v>
      </c>
      <c r="S108" s="77">
        <v>46258</v>
      </c>
      <c r="T108" s="80">
        <v>0.32600000000000001</v>
      </c>
      <c r="U108" s="80"/>
      <c r="V108" s="80"/>
      <c r="W108" s="34"/>
      <c r="X108" s="34"/>
      <c r="Y108" s="34"/>
      <c r="Z108" s="34"/>
      <c r="AA108" s="34"/>
      <c r="AB108" s="34"/>
      <c r="AC108" s="34"/>
      <c r="AD108" s="86">
        <v>108</v>
      </c>
      <c r="AE108" s="80">
        <v>1.2949999999999999</v>
      </c>
      <c r="AF108" s="34"/>
      <c r="AG108" s="192">
        <v>68</v>
      </c>
      <c r="AH108" s="182">
        <v>0.81</v>
      </c>
      <c r="AI108" s="34"/>
      <c r="AJ108" s="161">
        <v>68</v>
      </c>
      <c r="AK108" s="193">
        <v>1.6</v>
      </c>
      <c r="AL108" s="24"/>
    </row>
    <row r="109" spans="1:38" x14ac:dyDescent="0.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79">
        <v>101</v>
      </c>
      <c r="R109" s="79" t="s">
        <v>95</v>
      </c>
      <c r="S109" s="77">
        <v>46258</v>
      </c>
      <c r="T109" s="80">
        <v>0.24</v>
      </c>
      <c r="U109" s="80"/>
      <c r="V109" s="80"/>
      <c r="W109" s="34"/>
      <c r="X109" s="34"/>
      <c r="Y109" s="34"/>
      <c r="Z109" s="34"/>
      <c r="AA109" s="34"/>
      <c r="AB109" s="34"/>
      <c r="AC109" s="34"/>
      <c r="AD109" s="86">
        <v>109</v>
      </c>
      <c r="AE109" s="80">
        <v>1.3080000000000001</v>
      </c>
      <c r="AF109" s="34"/>
      <c r="AG109" s="192">
        <v>69</v>
      </c>
      <c r="AH109" s="182">
        <v>0.81</v>
      </c>
      <c r="AI109" s="34"/>
      <c r="AJ109" s="161">
        <v>69</v>
      </c>
      <c r="AK109" s="193">
        <v>1.6</v>
      </c>
      <c r="AL109" s="24"/>
    </row>
    <row r="110" spans="1:38" x14ac:dyDescent="0.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79">
        <v>102</v>
      </c>
      <c r="R110" s="79" t="s">
        <v>99</v>
      </c>
      <c r="S110" s="77">
        <v>46258</v>
      </c>
      <c r="T110" s="80">
        <v>1.077</v>
      </c>
      <c r="U110" s="80"/>
      <c r="V110" s="80"/>
      <c r="W110" s="34"/>
      <c r="X110" s="34"/>
      <c r="Y110" s="34"/>
      <c r="Z110" s="34"/>
      <c r="AA110" s="34"/>
      <c r="AB110" s="34"/>
      <c r="AC110" s="34"/>
      <c r="AD110" s="86">
        <v>110</v>
      </c>
      <c r="AE110" s="86">
        <v>1.3220000000000001</v>
      </c>
      <c r="AF110" s="34"/>
      <c r="AG110" s="192">
        <v>70</v>
      </c>
      <c r="AH110" s="182">
        <v>0.81</v>
      </c>
      <c r="AI110" s="34"/>
      <c r="AJ110" s="161">
        <v>70</v>
      </c>
      <c r="AK110" s="193">
        <v>1.6</v>
      </c>
      <c r="AL110" s="24"/>
    </row>
    <row r="111" spans="1:38" x14ac:dyDescent="0.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79">
        <v>103</v>
      </c>
      <c r="R111" s="79" t="s">
        <v>83</v>
      </c>
      <c r="S111" s="77">
        <v>46261</v>
      </c>
      <c r="T111" s="80">
        <v>0.253</v>
      </c>
      <c r="U111" s="80"/>
      <c r="V111" s="80"/>
      <c r="W111" s="34"/>
      <c r="X111" s="34"/>
      <c r="Y111" s="34"/>
      <c r="Z111" s="34"/>
      <c r="AA111" s="34"/>
      <c r="AB111" s="34"/>
      <c r="AC111" s="34"/>
      <c r="AD111" s="86">
        <v>111</v>
      </c>
      <c r="AE111" s="80">
        <v>1.3280000000000001</v>
      </c>
      <c r="AF111" s="34"/>
      <c r="AG111" s="192">
        <v>71</v>
      </c>
      <c r="AH111" s="182">
        <v>0.81</v>
      </c>
      <c r="AI111" s="34"/>
      <c r="AJ111" s="161">
        <v>71</v>
      </c>
      <c r="AK111" s="193">
        <v>1.6</v>
      </c>
      <c r="AL111" s="24"/>
    </row>
    <row r="112" spans="1:38" ht="24" customHeight="1" x14ac:dyDescent="0.3">
      <c r="A112" s="34"/>
      <c r="B112" s="533" t="s">
        <v>245</v>
      </c>
      <c r="C112" s="533"/>
      <c r="D112" s="533"/>
      <c r="E112" s="533"/>
      <c r="F112" s="533"/>
      <c r="G112" s="533"/>
      <c r="H112" s="576"/>
      <c r="I112" s="576"/>
      <c r="J112" s="576"/>
      <c r="K112" s="34"/>
      <c r="L112" s="34"/>
      <c r="M112" s="34"/>
      <c r="N112" s="34"/>
      <c r="O112" s="34"/>
      <c r="P112" s="34"/>
      <c r="Q112" s="79">
        <v>104</v>
      </c>
      <c r="R112" s="79" t="s">
        <v>87</v>
      </c>
      <c r="S112" s="77">
        <v>46261</v>
      </c>
      <c r="T112" s="80">
        <v>0.73199999999999998</v>
      </c>
      <c r="U112" s="80"/>
      <c r="V112" s="80"/>
      <c r="W112" s="34"/>
      <c r="X112" s="34"/>
      <c r="Y112" s="34"/>
      <c r="Z112" s="34"/>
      <c r="AA112" s="34"/>
      <c r="AB112" s="34"/>
      <c r="AC112" s="34"/>
      <c r="AD112" s="86">
        <v>112</v>
      </c>
      <c r="AE112" s="86">
        <v>1.3919999999999999</v>
      </c>
      <c r="AF112" s="34"/>
      <c r="AG112" s="192">
        <v>72</v>
      </c>
      <c r="AH112" s="182">
        <v>0.81</v>
      </c>
      <c r="AI112" s="34"/>
      <c r="AJ112" s="161">
        <v>72</v>
      </c>
      <c r="AK112" s="193">
        <v>1.6</v>
      </c>
      <c r="AL112" s="24"/>
    </row>
    <row r="113" spans="1:38" x14ac:dyDescent="0.3">
      <c r="A113" s="34"/>
      <c r="B113" s="576"/>
      <c r="C113" s="576"/>
      <c r="D113" s="576"/>
      <c r="E113" s="576"/>
      <c r="F113" s="576"/>
      <c r="G113" s="576"/>
      <c r="H113" s="576"/>
      <c r="I113" s="576"/>
      <c r="J113" s="576"/>
      <c r="K113" s="34"/>
      <c r="L113" s="34"/>
      <c r="M113" s="34"/>
      <c r="N113" s="34"/>
      <c r="O113" s="34"/>
      <c r="P113" s="34"/>
      <c r="Q113" s="79">
        <v>105</v>
      </c>
      <c r="R113" s="79" t="s">
        <v>91</v>
      </c>
      <c r="S113" s="77">
        <v>46261</v>
      </c>
      <c r="T113" s="80">
        <v>0.45400000000000001</v>
      </c>
      <c r="U113" s="80"/>
      <c r="V113" s="80"/>
      <c r="W113" s="34"/>
      <c r="X113" s="34"/>
      <c r="Y113" s="34"/>
      <c r="Z113" s="34"/>
      <c r="AA113" s="34"/>
      <c r="AB113" s="34"/>
      <c r="AC113" s="34"/>
      <c r="AD113" s="86">
        <v>113</v>
      </c>
      <c r="AE113" s="86">
        <v>1.47</v>
      </c>
      <c r="AF113" s="34"/>
      <c r="AG113" s="192">
        <v>73</v>
      </c>
      <c r="AH113" s="182">
        <v>0.81</v>
      </c>
      <c r="AI113" s="34"/>
      <c r="AJ113" s="161">
        <v>73</v>
      </c>
      <c r="AK113" s="193">
        <v>1.6</v>
      </c>
      <c r="AL113" s="24"/>
    </row>
    <row r="114" spans="1:38" x14ac:dyDescent="0.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79">
        <v>106</v>
      </c>
      <c r="R114" s="79" t="s">
        <v>95</v>
      </c>
      <c r="S114" s="77">
        <v>46261</v>
      </c>
      <c r="T114" s="80">
        <v>0.61599999999999999</v>
      </c>
      <c r="U114" s="80"/>
      <c r="V114" s="80"/>
      <c r="W114" s="34"/>
      <c r="X114" s="34"/>
      <c r="Y114" s="34"/>
      <c r="Z114" s="34"/>
      <c r="AA114" s="34"/>
      <c r="AB114" s="34"/>
      <c r="AC114" s="34"/>
      <c r="AD114" s="86">
        <v>114</v>
      </c>
      <c r="AE114" s="86">
        <v>1.552</v>
      </c>
      <c r="AF114" s="34"/>
      <c r="AG114" s="192">
        <v>74</v>
      </c>
      <c r="AH114" s="182">
        <v>0.81</v>
      </c>
      <c r="AI114" s="34"/>
      <c r="AJ114" s="161">
        <v>74</v>
      </c>
      <c r="AK114" s="193">
        <v>1.6</v>
      </c>
      <c r="AL114" s="24"/>
    </row>
    <row r="115" spans="1:38" x14ac:dyDescent="0.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79">
        <v>107</v>
      </c>
      <c r="R115" s="79" t="s">
        <v>99</v>
      </c>
      <c r="S115" s="77">
        <v>46261</v>
      </c>
      <c r="T115" s="80">
        <v>0.24199999999999999</v>
      </c>
      <c r="U115" s="80"/>
      <c r="V115" s="80"/>
      <c r="W115" s="34"/>
      <c r="X115" s="34"/>
      <c r="Y115" s="34"/>
      <c r="Z115" s="34"/>
      <c r="AA115" s="34"/>
      <c r="AB115" s="34"/>
      <c r="AC115" s="34"/>
      <c r="AD115" s="86">
        <v>115</v>
      </c>
      <c r="AE115" s="86">
        <v>1.583</v>
      </c>
      <c r="AF115" s="34"/>
      <c r="AG115" s="192">
        <v>75</v>
      </c>
      <c r="AH115" s="182">
        <v>0.81</v>
      </c>
      <c r="AI115" s="34"/>
      <c r="AJ115" s="161">
        <v>75</v>
      </c>
      <c r="AK115" s="193">
        <v>1.6</v>
      </c>
      <c r="AL115" s="24"/>
    </row>
    <row r="116" spans="1:38" x14ac:dyDescent="0.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79">
        <v>108</v>
      </c>
      <c r="R116" s="79" t="s">
        <v>103</v>
      </c>
      <c r="S116" s="77">
        <v>46261</v>
      </c>
      <c r="T116" s="80">
        <v>2.0979999999999999</v>
      </c>
      <c r="U116" s="80"/>
      <c r="V116" s="80"/>
      <c r="W116" s="34"/>
      <c r="X116" s="34"/>
      <c r="Y116" s="34"/>
      <c r="Z116" s="34"/>
      <c r="AA116" s="34"/>
      <c r="AB116" s="34"/>
      <c r="AC116" s="34"/>
      <c r="AD116" s="86">
        <v>116</v>
      </c>
      <c r="AE116" s="86">
        <v>1.59</v>
      </c>
      <c r="AF116" s="34"/>
      <c r="AG116" s="192">
        <v>76</v>
      </c>
      <c r="AH116" s="182">
        <v>0.81</v>
      </c>
      <c r="AI116" s="34"/>
      <c r="AJ116" s="161">
        <v>76</v>
      </c>
      <c r="AK116" s="193">
        <v>1.6</v>
      </c>
      <c r="AL116" s="24"/>
    </row>
    <row r="117" spans="1:38" x14ac:dyDescent="0.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79">
        <v>109</v>
      </c>
      <c r="R117" s="79" t="s">
        <v>117</v>
      </c>
      <c r="S117" s="77">
        <v>46261</v>
      </c>
      <c r="T117" s="80">
        <v>0.86299999999999999</v>
      </c>
      <c r="U117" s="80"/>
      <c r="V117" s="80"/>
      <c r="W117" s="34"/>
      <c r="X117" s="34"/>
      <c r="Y117" s="34"/>
      <c r="Z117" s="34"/>
      <c r="AA117" s="34"/>
      <c r="AB117" s="34"/>
      <c r="AC117" s="34"/>
      <c r="AD117" s="86">
        <v>117</v>
      </c>
      <c r="AE117" s="86">
        <v>1.635</v>
      </c>
      <c r="AF117" s="34"/>
      <c r="AG117" s="192">
        <v>77</v>
      </c>
      <c r="AH117" s="182">
        <v>0.81</v>
      </c>
      <c r="AI117" s="34"/>
      <c r="AJ117" s="161">
        <v>77</v>
      </c>
      <c r="AK117" s="193">
        <v>1.6</v>
      </c>
      <c r="AL117" s="24"/>
    </row>
    <row r="118" spans="1:38" x14ac:dyDescent="0.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79">
        <v>110</v>
      </c>
      <c r="R118" s="79" t="s">
        <v>107</v>
      </c>
      <c r="S118" s="77">
        <v>46262</v>
      </c>
      <c r="T118" s="80">
        <v>0.17899999999999999</v>
      </c>
      <c r="U118" s="80"/>
      <c r="V118" s="80"/>
      <c r="W118" s="34"/>
      <c r="X118" s="34"/>
      <c r="Y118" s="34"/>
      <c r="Z118" s="34"/>
      <c r="AA118" s="34"/>
      <c r="AB118" s="34"/>
      <c r="AC118" s="34"/>
      <c r="AD118" s="86">
        <v>118</v>
      </c>
      <c r="AE118" s="80">
        <v>1.718</v>
      </c>
      <c r="AF118" s="34"/>
      <c r="AG118" s="192">
        <v>78</v>
      </c>
      <c r="AH118" s="182">
        <v>0.81</v>
      </c>
      <c r="AI118" s="34"/>
      <c r="AJ118" s="161">
        <v>78</v>
      </c>
      <c r="AK118" s="193">
        <v>1.6</v>
      </c>
      <c r="AL118" s="24"/>
    </row>
    <row r="119" spans="1:38" x14ac:dyDescent="0.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79">
        <v>111</v>
      </c>
      <c r="R119" s="79" t="s">
        <v>109</v>
      </c>
      <c r="S119" s="77">
        <v>46262</v>
      </c>
      <c r="T119" s="80">
        <v>0.17799999999999999</v>
      </c>
      <c r="U119" s="80"/>
      <c r="V119" s="80"/>
      <c r="W119" s="34"/>
      <c r="X119" s="34"/>
      <c r="Y119" s="34"/>
      <c r="Z119" s="34"/>
      <c r="AA119" s="34"/>
      <c r="AB119" s="34"/>
      <c r="AC119" s="34"/>
      <c r="AD119" s="86">
        <v>119</v>
      </c>
      <c r="AE119" s="80">
        <v>1.7190000000000001</v>
      </c>
      <c r="AF119" s="34"/>
      <c r="AG119" s="192">
        <v>79</v>
      </c>
      <c r="AH119" s="182">
        <v>0.81</v>
      </c>
      <c r="AI119" s="34"/>
      <c r="AJ119" s="161">
        <v>79</v>
      </c>
      <c r="AK119" s="193">
        <v>1.6</v>
      </c>
      <c r="AL119" s="24"/>
    </row>
    <row r="120" spans="1:38" x14ac:dyDescent="0.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79">
        <v>112</v>
      </c>
      <c r="R120" s="79" t="s">
        <v>111</v>
      </c>
      <c r="S120" s="77">
        <v>46262</v>
      </c>
      <c r="T120" s="80">
        <v>1.1000000000000001</v>
      </c>
      <c r="U120" s="80"/>
      <c r="V120" s="80"/>
      <c r="W120" s="34"/>
      <c r="X120" s="34"/>
      <c r="Y120" s="34"/>
      <c r="Z120" s="34"/>
      <c r="AA120" s="34"/>
      <c r="AB120" s="34"/>
      <c r="AC120" s="34"/>
      <c r="AD120" s="86">
        <v>120</v>
      </c>
      <c r="AE120" s="86">
        <v>1.8220000000000001</v>
      </c>
      <c r="AF120" s="34"/>
      <c r="AG120" s="192">
        <v>80</v>
      </c>
      <c r="AH120" s="182">
        <v>0.81</v>
      </c>
      <c r="AI120" s="34"/>
      <c r="AJ120" s="161">
        <v>80</v>
      </c>
      <c r="AK120" s="193">
        <v>1.6</v>
      </c>
      <c r="AL120" s="24"/>
    </row>
    <row r="121" spans="1:38" x14ac:dyDescent="0.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79">
        <v>113</v>
      </c>
      <c r="R121" s="79" t="s">
        <v>83</v>
      </c>
      <c r="S121" s="77">
        <v>46262</v>
      </c>
      <c r="T121" s="80">
        <v>0.61299999999999999</v>
      </c>
      <c r="U121" s="80"/>
      <c r="V121" s="80"/>
      <c r="W121" s="34"/>
      <c r="X121" s="34"/>
      <c r="Y121" s="34"/>
      <c r="Z121" s="34"/>
      <c r="AA121" s="34"/>
      <c r="AB121" s="34"/>
      <c r="AC121" s="34"/>
      <c r="AD121" s="86">
        <v>121</v>
      </c>
      <c r="AE121" s="86">
        <v>1.8380000000000001</v>
      </c>
      <c r="AF121" s="34"/>
      <c r="AG121" s="192">
        <v>81</v>
      </c>
      <c r="AH121" s="182">
        <v>0.81</v>
      </c>
      <c r="AI121" s="34"/>
      <c r="AJ121" s="161">
        <v>81</v>
      </c>
      <c r="AK121" s="193">
        <v>1.6</v>
      </c>
      <c r="AL121" s="24"/>
    </row>
    <row r="122" spans="1:38" x14ac:dyDescent="0.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79">
        <v>114</v>
      </c>
      <c r="R122" s="79" t="s">
        <v>87</v>
      </c>
      <c r="S122" s="77">
        <v>46262</v>
      </c>
      <c r="T122" s="80">
        <v>0.33600000000000002</v>
      </c>
      <c r="U122" s="80"/>
      <c r="V122" s="80"/>
      <c r="W122" s="34"/>
      <c r="X122" s="34"/>
      <c r="Y122" s="34"/>
      <c r="Z122" s="34"/>
      <c r="AA122" s="34"/>
      <c r="AB122" s="34"/>
      <c r="AC122" s="34"/>
      <c r="AD122" s="86">
        <v>122</v>
      </c>
      <c r="AE122" s="86">
        <v>1.9410000000000001</v>
      </c>
      <c r="AF122" s="34"/>
      <c r="AG122" s="192">
        <v>82</v>
      </c>
      <c r="AH122" s="182">
        <v>0.81</v>
      </c>
      <c r="AI122" s="34"/>
      <c r="AJ122" s="161">
        <v>82</v>
      </c>
      <c r="AK122" s="193">
        <v>1.6</v>
      </c>
      <c r="AL122" s="24"/>
    </row>
    <row r="123" spans="1:38" x14ac:dyDescent="0.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79">
        <v>115</v>
      </c>
      <c r="R123" s="79" t="s">
        <v>91</v>
      </c>
      <c r="S123" s="77">
        <v>46262</v>
      </c>
      <c r="T123" s="80">
        <v>0.61299999999999999</v>
      </c>
      <c r="U123" s="80"/>
      <c r="V123" s="80"/>
      <c r="W123" s="34"/>
      <c r="X123" s="34"/>
      <c r="Y123" s="34"/>
      <c r="Z123" s="34"/>
      <c r="AA123" s="34"/>
      <c r="AB123" s="34"/>
      <c r="AC123" s="34"/>
      <c r="AD123" s="86">
        <v>123</v>
      </c>
      <c r="AE123" s="86">
        <v>1.9630000000000001</v>
      </c>
      <c r="AF123" s="34"/>
      <c r="AG123" s="192">
        <v>83</v>
      </c>
      <c r="AH123" s="182">
        <v>0.81</v>
      </c>
      <c r="AI123" s="34"/>
      <c r="AJ123" s="161">
        <v>83</v>
      </c>
      <c r="AK123" s="193">
        <v>1.6</v>
      </c>
      <c r="AL123" s="24"/>
    </row>
    <row r="124" spans="1:38" x14ac:dyDescent="0.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79">
        <v>116</v>
      </c>
      <c r="R124" s="79" t="s">
        <v>95</v>
      </c>
      <c r="S124" s="77">
        <v>46262</v>
      </c>
      <c r="T124" s="80">
        <v>1.125</v>
      </c>
      <c r="U124" s="80"/>
      <c r="V124" s="80"/>
      <c r="W124" s="34"/>
      <c r="X124" s="34"/>
      <c r="Y124" s="34"/>
      <c r="Z124" s="34"/>
      <c r="AA124" s="34"/>
      <c r="AB124" s="34"/>
      <c r="AC124" s="34"/>
      <c r="AD124" s="86">
        <v>124</v>
      </c>
      <c r="AE124" s="86">
        <v>2.0110000000000001</v>
      </c>
      <c r="AF124" s="34"/>
      <c r="AG124" s="192">
        <v>84</v>
      </c>
      <c r="AH124" s="182">
        <v>0.81</v>
      </c>
      <c r="AI124" s="34"/>
      <c r="AJ124" s="161">
        <v>84</v>
      </c>
      <c r="AK124" s="193">
        <v>1.6</v>
      </c>
      <c r="AL124" s="24"/>
    </row>
    <row r="125" spans="1:38" x14ac:dyDescent="0.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79">
        <v>117</v>
      </c>
      <c r="R125" s="79" t="s">
        <v>99</v>
      </c>
      <c r="S125" s="77">
        <v>46262</v>
      </c>
      <c r="T125" s="80">
        <v>1.2949999999999999</v>
      </c>
      <c r="U125" s="80"/>
      <c r="V125" s="80"/>
      <c r="W125" s="34"/>
      <c r="X125" s="34"/>
      <c r="Y125" s="34"/>
      <c r="Z125" s="34"/>
      <c r="AA125" s="34"/>
      <c r="AB125" s="34"/>
      <c r="AC125" s="34"/>
      <c r="AD125" s="86">
        <v>125</v>
      </c>
      <c r="AE125" s="86">
        <v>2.028</v>
      </c>
      <c r="AF125" s="34"/>
      <c r="AG125" s="198">
        <v>85</v>
      </c>
      <c r="AH125" s="182">
        <v>0.81</v>
      </c>
      <c r="AI125" s="199"/>
      <c r="AJ125" s="161">
        <v>85</v>
      </c>
      <c r="AK125" s="193">
        <v>1.6</v>
      </c>
      <c r="AL125" s="25"/>
    </row>
    <row r="126" spans="1:38" x14ac:dyDescent="0.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79">
        <v>118</v>
      </c>
      <c r="R126" s="79" t="s">
        <v>103</v>
      </c>
      <c r="S126" s="77">
        <v>46262</v>
      </c>
      <c r="T126" s="80">
        <v>0.53800000000000003</v>
      </c>
      <c r="U126" s="80"/>
      <c r="V126" s="80"/>
      <c r="W126" s="34"/>
      <c r="X126" s="34"/>
      <c r="Y126" s="34"/>
      <c r="Z126" s="34"/>
      <c r="AA126" s="34"/>
      <c r="AB126" s="34"/>
      <c r="AC126" s="34"/>
      <c r="AD126" s="86">
        <v>126</v>
      </c>
      <c r="AE126" s="86">
        <v>2.0979999999999999</v>
      </c>
      <c r="AF126" s="34"/>
      <c r="AG126" s="192">
        <v>86</v>
      </c>
      <c r="AH126" s="182">
        <v>0.81</v>
      </c>
      <c r="AI126" s="34"/>
      <c r="AJ126" s="34"/>
      <c r="AK126" s="34"/>
    </row>
    <row r="127" spans="1:38" x14ac:dyDescent="0.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79">
        <v>119</v>
      </c>
      <c r="R127" s="79" t="s">
        <v>107</v>
      </c>
      <c r="S127" s="77">
        <v>46263</v>
      </c>
      <c r="T127" s="80">
        <v>1.3080000000000001</v>
      </c>
      <c r="U127" s="80"/>
      <c r="V127" s="80"/>
      <c r="W127" s="34"/>
      <c r="X127" s="34"/>
      <c r="Y127" s="34"/>
      <c r="Z127" s="34"/>
      <c r="AA127" s="34"/>
      <c r="AB127" s="34"/>
      <c r="AC127" s="34"/>
      <c r="AD127" s="86">
        <v>127</v>
      </c>
      <c r="AE127" s="86">
        <v>2.5209999999999999</v>
      </c>
      <c r="AF127" s="34"/>
      <c r="AG127" s="192">
        <v>87</v>
      </c>
      <c r="AH127" s="182">
        <v>0.81</v>
      </c>
      <c r="AI127" s="34"/>
      <c r="AJ127" s="34"/>
      <c r="AK127" s="34"/>
    </row>
    <row r="128" spans="1:38" x14ac:dyDescent="0.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79">
        <v>120</v>
      </c>
      <c r="R128" s="79" t="s">
        <v>109</v>
      </c>
      <c r="S128" s="77">
        <v>46263</v>
      </c>
      <c r="T128" s="80">
        <v>0.48799999999999999</v>
      </c>
      <c r="U128" s="80"/>
      <c r="V128" s="80"/>
      <c r="W128" s="34"/>
      <c r="X128" s="34"/>
      <c r="Y128" s="34"/>
      <c r="Z128" s="34"/>
      <c r="AA128" s="34"/>
      <c r="AB128" s="34"/>
      <c r="AC128" s="34"/>
      <c r="AD128" s="86">
        <v>128</v>
      </c>
      <c r="AE128" s="86">
        <v>2.72</v>
      </c>
      <c r="AF128" s="34"/>
      <c r="AG128" s="198">
        <v>88</v>
      </c>
      <c r="AH128" s="182">
        <v>0.81</v>
      </c>
      <c r="AI128" s="34"/>
      <c r="AJ128" s="34"/>
      <c r="AK128" s="34"/>
    </row>
    <row r="129" spans="1:37" x14ac:dyDescent="0.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79">
        <v>121</v>
      </c>
      <c r="R129" s="79" t="s">
        <v>111</v>
      </c>
      <c r="S129" s="77">
        <v>46263</v>
      </c>
      <c r="T129" s="80">
        <v>1.7190000000000001</v>
      </c>
      <c r="U129" s="80"/>
      <c r="V129" s="80"/>
      <c r="W129" s="34"/>
      <c r="X129" s="34"/>
      <c r="Y129" s="34"/>
      <c r="Z129" s="34"/>
      <c r="AA129" s="34"/>
      <c r="AB129" s="34"/>
      <c r="AC129" s="34"/>
      <c r="AD129" s="86">
        <v>129</v>
      </c>
      <c r="AE129" s="86">
        <v>3.032</v>
      </c>
      <c r="AF129" s="34"/>
      <c r="AG129" s="192">
        <v>89</v>
      </c>
      <c r="AH129" s="182">
        <v>0.81</v>
      </c>
      <c r="AI129" s="34"/>
      <c r="AJ129" s="34"/>
      <c r="AK129" s="34"/>
    </row>
    <row r="130" spans="1:37" x14ac:dyDescent="0.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79">
        <v>122</v>
      </c>
      <c r="R130" s="79" t="s">
        <v>79</v>
      </c>
      <c r="S130" s="77">
        <v>46263</v>
      </c>
      <c r="T130" s="80">
        <v>1.718</v>
      </c>
      <c r="U130" s="80"/>
      <c r="V130" s="80"/>
      <c r="W130" s="34"/>
      <c r="X130" s="34"/>
      <c r="Y130" s="34"/>
      <c r="Z130" s="34"/>
      <c r="AA130" s="34"/>
      <c r="AB130" s="34"/>
      <c r="AC130" s="34"/>
      <c r="AD130" s="86">
        <v>130</v>
      </c>
      <c r="AE130" s="86">
        <v>3.2160000000000002</v>
      </c>
      <c r="AF130" s="34"/>
      <c r="AG130" s="192">
        <v>90</v>
      </c>
      <c r="AH130" s="182">
        <v>0.81</v>
      </c>
      <c r="AI130" s="34"/>
      <c r="AJ130" s="34"/>
      <c r="AK130" s="34"/>
    </row>
    <row r="131" spans="1:37" x14ac:dyDescent="0.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79">
        <v>123</v>
      </c>
      <c r="R131" s="79" t="s">
        <v>83</v>
      </c>
      <c r="S131" s="77">
        <v>46263</v>
      </c>
      <c r="T131" s="80">
        <v>1.3280000000000001</v>
      </c>
      <c r="U131" s="80"/>
      <c r="V131" s="80"/>
      <c r="W131" s="34"/>
      <c r="X131" s="34"/>
      <c r="Y131" s="34"/>
      <c r="Z131" s="34"/>
      <c r="AA131" s="34"/>
      <c r="AB131" s="34"/>
      <c r="AC131" s="34"/>
      <c r="AD131" s="86">
        <v>131</v>
      </c>
      <c r="AE131" s="86">
        <v>3.2330000000000001</v>
      </c>
      <c r="AF131" s="34"/>
      <c r="AG131" s="198">
        <v>91</v>
      </c>
      <c r="AH131" s="182">
        <v>0.81</v>
      </c>
      <c r="AI131" s="34"/>
      <c r="AJ131" s="34"/>
      <c r="AK131" s="34"/>
    </row>
    <row r="132" spans="1:37" x14ac:dyDescent="0.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79">
        <v>124</v>
      </c>
      <c r="R132" s="79" t="s">
        <v>87</v>
      </c>
      <c r="S132" s="77">
        <v>46263</v>
      </c>
      <c r="T132" s="80">
        <v>0.61099999999999999</v>
      </c>
      <c r="U132" s="80"/>
      <c r="V132" s="80"/>
      <c r="W132" s="34"/>
      <c r="X132" s="34"/>
      <c r="Y132" s="34"/>
      <c r="Z132" s="34"/>
      <c r="AA132" s="34"/>
      <c r="AB132" s="34"/>
      <c r="AC132" s="34"/>
      <c r="AD132" s="86">
        <v>132</v>
      </c>
      <c r="AE132" s="86">
        <v>3.8769999999999998</v>
      </c>
      <c r="AF132" s="34"/>
      <c r="AG132" s="192">
        <v>92</v>
      </c>
      <c r="AH132" s="182">
        <v>0.81</v>
      </c>
      <c r="AI132" s="34"/>
      <c r="AJ132" s="34"/>
      <c r="AK132" s="34"/>
    </row>
    <row r="133" spans="1:37" x14ac:dyDescent="0.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79">
        <v>125</v>
      </c>
      <c r="R133" s="79" t="s">
        <v>91</v>
      </c>
      <c r="S133" s="77">
        <v>46263</v>
      </c>
      <c r="T133" s="80">
        <v>0.35799999999999998</v>
      </c>
      <c r="U133" s="80"/>
      <c r="V133" s="80"/>
      <c r="W133" s="34"/>
      <c r="X133" s="34"/>
      <c r="Y133" s="34"/>
      <c r="Z133" s="34"/>
      <c r="AA133" s="34"/>
      <c r="AB133" s="34"/>
      <c r="AC133" s="34"/>
      <c r="AD133" s="86">
        <v>133</v>
      </c>
      <c r="AE133" s="86">
        <v>4.383</v>
      </c>
      <c r="AF133" s="34"/>
      <c r="AG133" s="192">
        <v>93</v>
      </c>
      <c r="AH133" s="182">
        <v>0.81</v>
      </c>
      <c r="AI133" s="34"/>
      <c r="AJ133" s="34"/>
      <c r="AK133" s="34"/>
    </row>
    <row r="134" spans="1:37" x14ac:dyDescent="0.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79">
        <v>126</v>
      </c>
      <c r="R134" s="79" t="s">
        <v>95</v>
      </c>
      <c r="S134" s="77">
        <v>46263</v>
      </c>
      <c r="T134" s="80">
        <v>0.21</v>
      </c>
      <c r="U134" s="80"/>
      <c r="V134" s="80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192">
        <v>94</v>
      </c>
      <c r="AH134" s="182">
        <v>0.81</v>
      </c>
      <c r="AI134" s="34"/>
      <c r="AJ134" s="34"/>
      <c r="AK134" s="34"/>
    </row>
    <row r="135" spans="1:37" x14ac:dyDescent="0.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79">
        <v>127</v>
      </c>
      <c r="R135" s="79" t="s">
        <v>99</v>
      </c>
      <c r="S135" s="77">
        <v>46263</v>
      </c>
      <c r="T135" s="80">
        <v>0.42</v>
      </c>
      <c r="U135" s="80"/>
      <c r="V135" s="80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198">
        <v>95</v>
      </c>
      <c r="AH135" s="182">
        <v>0.81</v>
      </c>
      <c r="AI135" s="34"/>
      <c r="AJ135" s="34"/>
      <c r="AK135" s="34"/>
    </row>
    <row r="136" spans="1:37" x14ac:dyDescent="0.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79">
        <v>128</v>
      </c>
      <c r="R136" s="79" t="s">
        <v>103</v>
      </c>
      <c r="S136" s="77">
        <v>46263</v>
      </c>
      <c r="T136" s="80">
        <v>1.044</v>
      </c>
      <c r="U136" s="80"/>
      <c r="V136" s="80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192">
        <v>96</v>
      </c>
      <c r="AH136" s="182">
        <v>0.81</v>
      </c>
      <c r="AI136" s="34"/>
      <c r="AJ136" s="34"/>
      <c r="AK136" s="34"/>
    </row>
    <row r="137" spans="1:37" x14ac:dyDescent="0.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79">
        <v>129</v>
      </c>
      <c r="R137" s="79" t="s">
        <v>117</v>
      </c>
      <c r="S137" s="77">
        <v>46263</v>
      </c>
      <c r="T137" s="80">
        <v>0.38800000000000001</v>
      </c>
      <c r="U137" s="80"/>
      <c r="V137" s="80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192">
        <v>97</v>
      </c>
      <c r="AH137" s="182">
        <v>0.81</v>
      </c>
      <c r="AI137" s="34"/>
      <c r="AJ137" s="34"/>
      <c r="AK137" s="34"/>
    </row>
    <row r="138" spans="1:37" x14ac:dyDescent="0.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79">
        <v>130</v>
      </c>
      <c r="R138" s="80" t="s">
        <v>109</v>
      </c>
      <c r="S138" s="77">
        <v>46264</v>
      </c>
      <c r="T138" s="80">
        <v>0.91700000000000004</v>
      </c>
      <c r="U138" s="80"/>
      <c r="V138" s="80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192">
        <v>98</v>
      </c>
      <c r="AH138" s="182">
        <v>0.81</v>
      </c>
      <c r="AI138" s="34"/>
      <c r="AJ138" s="34"/>
      <c r="AK138" s="34"/>
    </row>
    <row r="139" spans="1:37" x14ac:dyDescent="0.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79">
        <v>131</v>
      </c>
      <c r="R139" s="80" t="s">
        <v>246</v>
      </c>
      <c r="S139" s="77">
        <v>46264</v>
      </c>
      <c r="T139" s="80">
        <v>0.98599999999999999</v>
      </c>
      <c r="U139" s="80"/>
      <c r="V139" s="80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198">
        <v>99</v>
      </c>
      <c r="AH139" s="182">
        <v>0.81</v>
      </c>
      <c r="AI139" s="34"/>
      <c r="AJ139" s="34"/>
      <c r="AK139" s="34"/>
    </row>
    <row r="140" spans="1:37" x14ac:dyDescent="0.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79">
        <v>132</v>
      </c>
      <c r="R140" s="80" t="s">
        <v>247</v>
      </c>
      <c r="S140" s="77">
        <v>46264</v>
      </c>
      <c r="T140" s="80">
        <v>1.2170000000000001</v>
      </c>
      <c r="U140" s="80"/>
      <c r="V140" s="80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192">
        <v>100</v>
      </c>
      <c r="AH140" s="182">
        <v>0.81</v>
      </c>
      <c r="AI140" s="34"/>
      <c r="AJ140" s="34"/>
      <c r="AK140" s="34"/>
    </row>
    <row r="141" spans="1:37" x14ac:dyDescent="0.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79">
        <v>133</v>
      </c>
      <c r="R141" s="80" t="s">
        <v>248</v>
      </c>
      <c r="S141" s="77">
        <v>46264</v>
      </c>
      <c r="T141" s="80">
        <v>0.83599999999999997</v>
      </c>
      <c r="U141" s="80"/>
      <c r="V141" s="80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192">
        <v>101</v>
      </c>
      <c r="AH141" s="182">
        <v>0.81</v>
      </c>
      <c r="AI141" s="34"/>
      <c r="AJ141" s="34"/>
      <c r="AK141" s="34"/>
    </row>
    <row r="142" spans="1:37" x14ac:dyDescent="0.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79">
        <v>134</v>
      </c>
      <c r="R142" s="80"/>
      <c r="S142" s="77"/>
      <c r="T142" s="80"/>
      <c r="U142" s="80"/>
      <c r="V142" s="80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192">
        <v>102</v>
      </c>
      <c r="AH142" s="182">
        <v>0.81</v>
      </c>
      <c r="AI142" s="34"/>
      <c r="AJ142" s="34"/>
      <c r="AK142" s="34"/>
    </row>
    <row r="143" spans="1:37" x14ac:dyDescent="0.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79">
        <v>135</v>
      </c>
      <c r="R143" s="80"/>
      <c r="S143" s="77"/>
      <c r="T143" s="80"/>
      <c r="U143" s="80"/>
      <c r="V143" s="80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198">
        <v>103</v>
      </c>
      <c r="AH143" s="182">
        <v>0.81</v>
      </c>
      <c r="AI143" s="34"/>
      <c r="AJ143" s="34"/>
      <c r="AK143" s="34"/>
    </row>
    <row r="144" spans="1:37" x14ac:dyDescent="0.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79">
        <v>136</v>
      </c>
      <c r="R144" s="80"/>
      <c r="S144" s="77"/>
      <c r="T144" s="80"/>
      <c r="U144" s="80"/>
      <c r="V144" s="80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192">
        <v>104</v>
      </c>
      <c r="AH144" s="182">
        <v>0.81</v>
      </c>
      <c r="AI144" s="34"/>
      <c r="AJ144" s="34"/>
      <c r="AK144" s="34"/>
    </row>
    <row r="145" spans="1:37" x14ac:dyDescent="0.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79">
        <v>137</v>
      </c>
      <c r="R145" s="80"/>
      <c r="S145" s="77"/>
      <c r="T145" s="80"/>
      <c r="U145" s="80"/>
      <c r="V145" s="80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192">
        <v>105</v>
      </c>
      <c r="AH145" s="182">
        <v>0.81</v>
      </c>
      <c r="AI145" s="34"/>
      <c r="AJ145" s="34"/>
      <c r="AK145" s="34"/>
    </row>
    <row r="146" spans="1:37" x14ac:dyDescent="0.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79">
        <v>138</v>
      </c>
      <c r="R146" s="80"/>
      <c r="S146" s="77"/>
      <c r="T146" s="80"/>
      <c r="U146" s="80"/>
      <c r="V146" s="80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192">
        <v>106</v>
      </c>
      <c r="AH146" s="182">
        <v>0.81</v>
      </c>
      <c r="AI146" s="34"/>
      <c r="AJ146" s="34"/>
      <c r="AK146" s="34"/>
    </row>
    <row r="147" spans="1:37" ht="22.05" customHeight="1" x14ac:dyDescent="0.3">
      <c r="A147" s="34"/>
      <c r="B147" s="370" t="s">
        <v>72</v>
      </c>
      <c r="C147" s="370" t="s">
        <v>74</v>
      </c>
      <c r="D147" s="370" t="s">
        <v>249</v>
      </c>
      <c r="E147" s="370" t="s">
        <v>250</v>
      </c>
      <c r="F147" s="370" t="s">
        <v>251</v>
      </c>
      <c r="G147" s="370" t="s">
        <v>252</v>
      </c>
      <c r="H147" s="34"/>
      <c r="I147" s="34"/>
      <c r="J147" s="34"/>
      <c r="K147" s="34"/>
      <c r="L147" s="34"/>
      <c r="M147" s="34"/>
      <c r="N147" s="34"/>
      <c r="O147" s="34"/>
      <c r="P147" s="34"/>
      <c r="Q147" s="79">
        <v>139</v>
      </c>
      <c r="R147" s="80"/>
      <c r="S147" s="77"/>
      <c r="T147" s="80"/>
      <c r="U147" s="80"/>
      <c r="V147" s="80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198">
        <v>107</v>
      </c>
      <c r="AH147" s="182">
        <v>0.81</v>
      </c>
      <c r="AI147" s="34"/>
      <c r="AJ147" s="34"/>
      <c r="AK147" s="34"/>
    </row>
    <row r="148" spans="1:37" x14ac:dyDescent="0.3">
      <c r="A148" s="34"/>
      <c r="B148" s="86">
        <v>1</v>
      </c>
      <c r="C148" s="78">
        <v>46261</v>
      </c>
      <c r="D148" s="86" t="s">
        <v>253</v>
      </c>
      <c r="E148" s="86">
        <v>1238</v>
      </c>
      <c r="F148" s="86">
        <v>1.39</v>
      </c>
      <c r="G148" s="200">
        <f>E148*F148</f>
        <v>1720.82</v>
      </c>
      <c r="H148" s="34"/>
      <c r="I148" s="34"/>
      <c r="J148" s="34"/>
      <c r="K148" s="34"/>
      <c r="L148" s="34"/>
      <c r="M148" s="34"/>
      <c r="N148" s="34"/>
      <c r="O148" s="34"/>
      <c r="P148" s="34"/>
      <c r="Q148" s="79">
        <v>140</v>
      </c>
      <c r="R148" s="80"/>
      <c r="S148" s="77"/>
      <c r="T148" s="80"/>
      <c r="U148" s="80"/>
      <c r="V148" s="80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192">
        <v>108</v>
      </c>
      <c r="AH148" s="182">
        <v>0.81</v>
      </c>
      <c r="AI148" s="34"/>
      <c r="AJ148" s="34"/>
      <c r="AK148" s="34"/>
    </row>
    <row r="149" spans="1:37" x14ac:dyDescent="0.3">
      <c r="A149" s="34"/>
      <c r="B149" s="86"/>
      <c r="C149" s="78"/>
      <c r="D149" s="86"/>
      <c r="E149" s="86"/>
      <c r="F149" s="86"/>
      <c r="G149" s="86"/>
      <c r="H149" s="34"/>
      <c r="I149" s="34"/>
      <c r="J149" s="34"/>
      <c r="K149" s="34"/>
      <c r="L149" s="34"/>
      <c r="M149" s="34"/>
      <c r="N149" s="34"/>
      <c r="O149" s="34"/>
      <c r="P149" s="34"/>
      <c r="Q149" s="79">
        <v>141</v>
      </c>
      <c r="R149" s="80"/>
      <c r="S149" s="77"/>
      <c r="T149" s="80"/>
      <c r="U149" s="80"/>
      <c r="V149" s="80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192">
        <v>109</v>
      </c>
      <c r="AH149" s="182">
        <v>0.81</v>
      </c>
      <c r="AI149" s="34"/>
      <c r="AJ149" s="34"/>
      <c r="AK149" s="34"/>
    </row>
    <row r="150" spans="1:37" x14ac:dyDescent="0.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79">
        <v>142</v>
      </c>
      <c r="R150" s="80"/>
      <c r="S150" s="77"/>
      <c r="T150" s="80"/>
      <c r="U150" s="80"/>
      <c r="V150" s="80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192">
        <v>110</v>
      </c>
      <c r="AH150" s="182">
        <v>0.81</v>
      </c>
      <c r="AI150" s="34"/>
      <c r="AJ150" s="34"/>
      <c r="AK150" s="34"/>
    </row>
    <row r="151" spans="1:37" x14ac:dyDescent="0.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79">
        <v>143</v>
      </c>
      <c r="R151" s="80"/>
      <c r="S151" s="77"/>
      <c r="T151" s="80"/>
      <c r="U151" s="80"/>
      <c r="V151" s="80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198">
        <v>111</v>
      </c>
      <c r="AH151" s="182">
        <v>0.81</v>
      </c>
      <c r="AI151" s="34"/>
      <c r="AJ151" s="34"/>
      <c r="AK151" s="34"/>
    </row>
    <row r="152" spans="1:37" x14ac:dyDescent="0.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79">
        <v>144</v>
      </c>
      <c r="R152" s="80"/>
      <c r="S152" s="77"/>
      <c r="T152" s="80"/>
      <c r="U152" s="80"/>
      <c r="V152" s="80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192">
        <v>112</v>
      </c>
      <c r="AH152" s="182">
        <v>0.81</v>
      </c>
      <c r="AI152" s="34"/>
      <c r="AJ152" s="34"/>
      <c r="AK152" s="34"/>
    </row>
    <row r="153" spans="1:37" x14ac:dyDescent="0.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79">
        <v>145</v>
      </c>
      <c r="R153" s="80"/>
      <c r="S153" s="77"/>
      <c r="T153" s="80"/>
      <c r="U153" s="80"/>
      <c r="V153" s="80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192">
        <v>113</v>
      </c>
      <c r="AH153" s="182">
        <v>0.81</v>
      </c>
      <c r="AI153" s="34"/>
      <c r="AJ153" s="34"/>
      <c r="AK153" s="34"/>
    </row>
    <row r="154" spans="1:37" x14ac:dyDescent="0.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79">
        <v>146</v>
      </c>
      <c r="R154" s="80"/>
      <c r="S154" s="77"/>
      <c r="T154" s="80"/>
      <c r="U154" s="80"/>
      <c r="V154" s="80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192">
        <v>114</v>
      </c>
      <c r="AH154" s="182">
        <v>0.81</v>
      </c>
      <c r="AI154" s="34"/>
      <c r="AJ154" s="34"/>
      <c r="AK154" s="34"/>
    </row>
    <row r="155" spans="1:37" x14ac:dyDescent="0.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79">
        <v>147</v>
      </c>
      <c r="R155" s="80"/>
      <c r="S155" s="77"/>
      <c r="T155" s="80"/>
      <c r="U155" s="80"/>
      <c r="V155" s="80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198">
        <v>115</v>
      </c>
      <c r="AH155" s="182">
        <v>0.81</v>
      </c>
      <c r="AI155" s="34"/>
      <c r="AJ155" s="34"/>
      <c r="AK155" s="34"/>
    </row>
    <row r="156" spans="1:37" x14ac:dyDescent="0.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79">
        <v>148</v>
      </c>
      <c r="R156" s="80"/>
      <c r="S156" s="77"/>
      <c r="T156" s="80"/>
      <c r="U156" s="80"/>
      <c r="V156" s="80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192">
        <v>116</v>
      </c>
      <c r="AH156" s="182">
        <v>0.81</v>
      </c>
      <c r="AI156" s="34"/>
      <c r="AJ156" s="34"/>
      <c r="AK156" s="34"/>
    </row>
    <row r="157" spans="1:37" x14ac:dyDescent="0.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79">
        <v>149</v>
      </c>
      <c r="R157" s="80"/>
      <c r="S157" s="77"/>
      <c r="T157" s="80"/>
      <c r="U157" s="80"/>
      <c r="V157" s="80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192">
        <v>117</v>
      </c>
      <c r="AH157" s="182">
        <v>0.81</v>
      </c>
      <c r="AI157" s="34"/>
      <c r="AJ157" s="34"/>
      <c r="AK157" s="34"/>
    </row>
    <row r="158" spans="1:37" x14ac:dyDescent="0.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79">
        <v>150</v>
      </c>
      <c r="R158" s="80"/>
      <c r="S158" s="77"/>
      <c r="T158" s="80"/>
      <c r="U158" s="80"/>
      <c r="V158" s="80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192">
        <v>118</v>
      </c>
      <c r="AH158" s="182">
        <v>0.81</v>
      </c>
      <c r="AI158" s="34"/>
      <c r="AJ158" s="34"/>
      <c r="AK158" s="34"/>
    </row>
    <row r="159" spans="1:37" x14ac:dyDescent="0.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79">
        <v>151</v>
      </c>
      <c r="R159" s="80"/>
      <c r="S159" s="77"/>
      <c r="T159" s="80"/>
      <c r="U159" s="80"/>
      <c r="V159" s="80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198">
        <v>119</v>
      </c>
      <c r="AH159" s="182">
        <v>0.81</v>
      </c>
      <c r="AI159" s="34"/>
      <c r="AJ159" s="34"/>
      <c r="AK159" s="34"/>
    </row>
    <row r="160" spans="1:37" x14ac:dyDescent="0.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79">
        <v>152</v>
      </c>
      <c r="R160" s="80"/>
      <c r="S160" s="77"/>
      <c r="T160" s="80"/>
      <c r="U160" s="80"/>
      <c r="V160" s="80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192">
        <v>120</v>
      </c>
      <c r="AH160" s="182">
        <v>0.81</v>
      </c>
      <c r="AI160" s="34"/>
      <c r="AJ160" s="34"/>
      <c r="AK160" s="34"/>
    </row>
    <row r="161" spans="1:37" x14ac:dyDescent="0.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79">
        <v>153</v>
      </c>
      <c r="R161" s="80"/>
      <c r="S161" s="77"/>
      <c r="T161" s="80"/>
      <c r="U161" s="80"/>
      <c r="V161" s="80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192">
        <v>121</v>
      </c>
      <c r="AH161" s="182">
        <v>0.81</v>
      </c>
      <c r="AI161" s="34"/>
      <c r="AJ161" s="34"/>
      <c r="AK161" s="34"/>
    </row>
    <row r="162" spans="1:37" x14ac:dyDescent="0.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79">
        <v>154</v>
      </c>
      <c r="R162" s="80"/>
      <c r="S162" s="77"/>
      <c r="T162" s="80"/>
      <c r="U162" s="80"/>
      <c r="V162" s="80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192">
        <v>122</v>
      </c>
      <c r="AH162" s="182">
        <v>0.81</v>
      </c>
      <c r="AI162" s="34"/>
      <c r="AJ162" s="34"/>
      <c r="AK162" s="34"/>
    </row>
    <row r="163" spans="1:37" x14ac:dyDescent="0.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79">
        <v>155</v>
      </c>
      <c r="R163" s="80"/>
      <c r="S163" s="77"/>
      <c r="T163" s="80"/>
      <c r="U163" s="80"/>
      <c r="V163" s="80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198">
        <v>123</v>
      </c>
      <c r="AH163" s="182">
        <v>0.81</v>
      </c>
      <c r="AI163" s="34"/>
      <c r="AJ163" s="34"/>
      <c r="AK163" s="34"/>
    </row>
    <row r="164" spans="1:37" x14ac:dyDescent="0.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79">
        <v>156</v>
      </c>
      <c r="R164" s="80"/>
      <c r="S164" s="77"/>
      <c r="T164" s="80"/>
      <c r="U164" s="80"/>
      <c r="V164" s="80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192">
        <v>124</v>
      </c>
      <c r="AH164" s="182">
        <v>0.81</v>
      </c>
      <c r="AI164" s="34"/>
      <c r="AJ164" s="34"/>
      <c r="AK164" s="34"/>
    </row>
    <row r="165" spans="1:37" x14ac:dyDescent="0.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79">
        <v>157</v>
      </c>
      <c r="R165" s="80"/>
      <c r="S165" s="77"/>
      <c r="T165" s="80"/>
      <c r="U165" s="80"/>
      <c r="V165" s="80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192">
        <v>125</v>
      </c>
      <c r="AH165" s="182">
        <v>0.81</v>
      </c>
      <c r="AI165" s="34"/>
      <c r="AJ165" s="34"/>
      <c r="AK165" s="34"/>
    </row>
    <row r="166" spans="1:37" x14ac:dyDescent="0.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79">
        <v>158</v>
      </c>
      <c r="R166" s="80"/>
      <c r="S166" s="77"/>
      <c r="T166" s="80"/>
      <c r="U166" s="80"/>
      <c r="V166" s="80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192">
        <v>126</v>
      </c>
      <c r="AH166" s="182">
        <v>0.81</v>
      </c>
      <c r="AI166" s="34"/>
      <c r="AJ166" s="34"/>
      <c r="AK166" s="34"/>
    </row>
    <row r="167" spans="1:37" x14ac:dyDescent="0.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79">
        <v>159</v>
      </c>
      <c r="R167" s="80"/>
      <c r="S167" s="77"/>
      <c r="T167" s="80"/>
      <c r="U167" s="80"/>
      <c r="V167" s="80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198">
        <v>127</v>
      </c>
      <c r="AH167" s="182">
        <v>0.81</v>
      </c>
      <c r="AI167" s="34"/>
      <c r="AJ167" s="34"/>
      <c r="AK167" s="34"/>
    </row>
    <row r="168" spans="1:37" x14ac:dyDescent="0.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79">
        <v>160</v>
      </c>
      <c r="R168" s="80"/>
      <c r="S168" s="77"/>
      <c r="T168" s="80"/>
      <c r="U168" s="80"/>
      <c r="V168" s="80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192">
        <v>128</v>
      </c>
      <c r="AH168" s="182">
        <v>0.81</v>
      </c>
      <c r="AI168" s="34"/>
      <c r="AJ168" s="34"/>
      <c r="AK168" s="34"/>
    </row>
    <row r="169" spans="1:37" x14ac:dyDescent="0.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79">
        <v>161</v>
      </c>
      <c r="R169" s="80"/>
      <c r="S169" s="77"/>
      <c r="T169" s="80"/>
      <c r="U169" s="80"/>
      <c r="V169" s="80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192">
        <v>129</v>
      </c>
      <c r="AH169" s="182">
        <v>0.81</v>
      </c>
      <c r="AI169" s="34"/>
      <c r="AJ169" s="34"/>
      <c r="AK169" s="34"/>
    </row>
    <row r="170" spans="1:37" x14ac:dyDescent="0.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79">
        <v>162</v>
      </c>
      <c r="R170" s="80"/>
      <c r="S170" s="77"/>
      <c r="T170" s="80"/>
      <c r="U170" s="80"/>
      <c r="V170" s="80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192">
        <v>130</v>
      </c>
      <c r="AH170" s="182">
        <v>0.81</v>
      </c>
      <c r="AI170" s="34"/>
      <c r="AJ170" s="34"/>
      <c r="AK170" s="34"/>
    </row>
    <row r="171" spans="1:37" x14ac:dyDescent="0.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79">
        <v>163</v>
      </c>
      <c r="R171" s="80"/>
      <c r="S171" s="77"/>
      <c r="T171" s="80"/>
      <c r="U171" s="80"/>
      <c r="V171" s="80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198">
        <v>131</v>
      </c>
      <c r="AH171" s="182">
        <v>0.81</v>
      </c>
      <c r="AI171" s="34"/>
      <c r="AJ171" s="34"/>
      <c r="AK171" s="34"/>
    </row>
    <row r="172" spans="1:37" x14ac:dyDescent="0.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79">
        <v>164</v>
      </c>
      <c r="R172" s="80"/>
      <c r="S172" s="77"/>
      <c r="T172" s="80"/>
      <c r="U172" s="80"/>
      <c r="V172" s="80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192">
        <v>132</v>
      </c>
      <c r="AH172" s="182">
        <v>0.81</v>
      </c>
      <c r="AI172" s="34"/>
      <c r="AJ172" s="34"/>
      <c r="AK172" s="34"/>
    </row>
    <row r="173" spans="1:37" x14ac:dyDescent="0.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79">
        <v>165</v>
      </c>
      <c r="R173" s="80"/>
      <c r="S173" s="77"/>
      <c r="T173" s="80"/>
      <c r="U173" s="80"/>
      <c r="V173" s="80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192">
        <v>133</v>
      </c>
      <c r="AH173" s="182">
        <v>0.81</v>
      </c>
      <c r="AI173" s="34"/>
      <c r="AJ173" s="34"/>
      <c r="AK173" s="34"/>
    </row>
    <row r="174" spans="1:37" x14ac:dyDescent="0.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79">
        <v>166</v>
      </c>
      <c r="R174" s="80"/>
      <c r="S174" s="77"/>
      <c r="T174" s="80"/>
      <c r="U174" s="80"/>
      <c r="V174" s="80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spans="1:37" x14ac:dyDescent="0.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79">
        <v>167</v>
      </c>
      <c r="R175" s="80"/>
      <c r="S175" s="77"/>
      <c r="T175" s="80"/>
      <c r="U175" s="80"/>
      <c r="V175" s="80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spans="1:37" x14ac:dyDescent="0.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79">
        <v>168</v>
      </c>
      <c r="R176" s="80"/>
      <c r="S176" s="77"/>
      <c r="T176" s="80"/>
      <c r="U176" s="80"/>
      <c r="V176" s="80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spans="1:37" x14ac:dyDescent="0.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79">
        <v>169</v>
      </c>
      <c r="R177" s="80"/>
      <c r="S177" s="77"/>
      <c r="T177" s="80"/>
      <c r="U177" s="80"/>
      <c r="V177" s="80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spans="1:37" x14ac:dyDescent="0.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79">
        <v>170</v>
      </c>
      <c r="R178" s="80"/>
      <c r="S178" s="77"/>
      <c r="T178" s="80"/>
      <c r="U178" s="80"/>
      <c r="V178" s="80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spans="1:37" x14ac:dyDescent="0.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79">
        <v>171</v>
      </c>
      <c r="R179" s="80"/>
      <c r="S179" s="77"/>
      <c r="T179" s="80"/>
      <c r="U179" s="80"/>
      <c r="V179" s="80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spans="1:37" x14ac:dyDescent="0.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79">
        <v>172</v>
      </c>
      <c r="R180" s="80"/>
      <c r="S180" s="77"/>
      <c r="T180" s="80"/>
      <c r="U180" s="80"/>
      <c r="V180" s="80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spans="1:37" x14ac:dyDescent="0.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79">
        <v>173</v>
      </c>
      <c r="R181" s="80"/>
      <c r="S181" s="77"/>
      <c r="T181" s="80"/>
      <c r="U181" s="80"/>
      <c r="V181" s="80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spans="1:37" x14ac:dyDescent="0.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79">
        <v>174</v>
      </c>
      <c r="R182" s="80"/>
      <c r="S182" s="77"/>
      <c r="T182" s="80"/>
      <c r="U182" s="80"/>
      <c r="V182" s="80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spans="1:37" x14ac:dyDescent="0.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79">
        <v>175</v>
      </c>
      <c r="R183" s="80"/>
      <c r="S183" s="77"/>
      <c r="T183" s="80"/>
      <c r="U183" s="80"/>
      <c r="V183" s="80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spans="1:37" x14ac:dyDescent="0.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79">
        <v>176</v>
      </c>
      <c r="R184" s="80"/>
      <c r="S184" s="77"/>
      <c r="T184" s="80"/>
      <c r="U184" s="80"/>
      <c r="V184" s="80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spans="1:37" x14ac:dyDescent="0.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79">
        <v>177</v>
      </c>
      <c r="R185" s="80"/>
      <c r="S185" s="77"/>
      <c r="T185" s="80"/>
      <c r="U185" s="80"/>
      <c r="V185" s="80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spans="1:37" x14ac:dyDescent="0.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79">
        <v>178</v>
      </c>
      <c r="R186" s="80"/>
      <c r="S186" s="77"/>
      <c r="T186" s="80"/>
      <c r="U186" s="80"/>
      <c r="V186" s="80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spans="1:37" x14ac:dyDescent="0.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79">
        <v>179</v>
      </c>
      <c r="R187" s="80"/>
      <c r="S187" s="77"/>
      <c r="T187" s="80"/>
      <c r="U187" s="80"/>
      <c r="V187" s="80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spans="1:37" x14ac:dyDescent="0.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79">
        <v>180</v>
      </c>
      <c r="R188" s="80"/>
      <c r="S188" s="77"/>
      <c r="T188" s="80"/>
      <c r="U188" s="80"/>
      <c r="V188" s="80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spans="1:37" x14ac:dyDescent="0.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79">
        <v>181</v>
      </c>
      <c r="R189" s="80"/>
      <c r="S189" s="77"/>
      <c r="T189" s="80"/>
      <c r="U189" s="80"/>
      <c r="V189" s="80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spans="1:37" x14ac:dyDescent="0.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79">
        <v>182</v>
      </c>
      <c r="R190" s="80"/>
      <c r="S190" s="77"/>
      <c r="T190" s="80"/>
      <c r="U190" s="80"/>
      <c r="V190" s="80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spans="1:37" x14ac:dyDescent="0.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79">
        <v>183</v>
      </c>
      <c r="R191" s="80"/>
      <c r="S191" s="77"/>
      <c r="T191" s="80"/>
      <c r="U191" s="80"/>
      <c r="V191" s="80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spans="1:37" x14ac:dyDescent="0.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79">
        <v>184</v>
      </c>
      <c r="R192" s="80"/>
      <c r="S192" s="77"/>
      <c r="T192" s="80"/>
      <c r="U192" s="80"/>
      <c r="V192" s="80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spans="1:37" x14ac:dyDescent="0.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79">
        <v>185</v>
      </c>
      <c r="R193" s="80"/>
      <c r="S193" s="77"/>
      <c r="T193" s="80"/>
      <c r="U193" s="80"/>
      <c r="V193" s="80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spans="1:37" x14ac:dyDescent="0.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79">
        <v>186</v>
      </c>
      <c r="R194" s="80"/>
      <c r="S194" s="77"/>
      <c r="T194" s="80"/>
      <c r="U194" s="80"/>
      <c r="V194" s="80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spans="1:37" x14ac:dyDescent="0.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79">
        <v>187</v>
      </c>
      <c r="R195" s="80"/>
      <c r="S195" s="77"/>
      <c r="T195" s="80"/>
      <c r="U195" s="80"/>
      <c r="V195" s="80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spans="1:37" x14ac:dyDescent="0.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79">
        <v>188</v>
      </c>
      <c r="R196" s="80"/>
      <c r="S196" s="77"/>
      <c r="T196" s="80"/>
      <c r="U196" s="80"/>
      <c r="V196" s="80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spans="1:37" x14ac:dyDescent="0.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79">
        <v>189</v>
      </c>
      <c r="R197" s="80"/>
      <c r="S197" s="77"/>
      <c r="T197" s="80"/>
      <c r="U197" s="80"/>
      <c r="V197" s="80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spans="1:37" x14ac:dyDescent="0.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79">
        <v>190</v>
      </c>
      <c r="R198" s="80"/>
      <c r="S198" s="77"/>
      <c r="T198" s="80"/>
      <c r="U198" s="80"/>
      <c r="V198" s="80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spans="1:37" x14ac:dyDescent="0.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79">
        <v>191</v>
      </c>
      <c r="R199" s="80"/>
      <c r="S199" s="77"/>
      <c r="T199" s="80"/>
      <c r="U199" s="80"/>
      <c r="V199" s="80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spans="1:37" x14ac:dyDescent="0.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79">
        <v>192</v>
      </c>
      <c r="R200" s="80"/>
      <c r="S200" s="77"/>
      <c r="T200" s="80"/>
      <c r="U200" s="80"/>
      <c r="V200" s="80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spans="1:37" x14ac:dyDescent="0.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79">
        <v>193</v>
      </c>
      <c r="R201" s="80"/>
      <c r="S201" s="77"/>
      <c r="T201" s="80"/>
      <c r="U201" s="80"/>
      <c r="V201" s="80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spans="1:37" x14ac:dyDescent="0.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79">
        <v>194</v>
      </c>
      <c r="R202" s="80"/>
      <c r="S202" s="77"/>
      <c r="T202" s="80"/>
      <c r="U202" s="80"/>
      <c r="V202" s="80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spans="1:37" x14ac:dyDescent="0.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79">
        <v>195</v>
      </c>
      <c r="R203" s="80"/>
      <c r="S203" s="77"/>
      <c r="T203" s="80"/>
      <c r="U203" s="80"/>
      <c r="V203" s="80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spans="1:37" x14ac:dyDescent="0.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79">
        <v>196</v>
      </c>
      <c r="R204" s="80"/>
      <c r="S204" s="77">
        <v>46253</v>
      </c>
      <c r="T204" s="80"/>
      <c r="U204" s="80"/>
      <c r="V204" s="80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spans="1:37" x14ac:dyDescent="0.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79">
        <v>197</v>
      </c>
      <c r="R205" s="80"/>
      <c r="S205" s="77">
        <v>46253</v>
      </c>
      <c r="T205" s="80"/>
      <c r="U205" s="80"/>
      <c r="V205" s="80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spans="1:37" x14ac:dyDescent="0.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79">
        <v>198</v>
      </c>
      <c r="R206" s="80"/>
      <c r="S206" s="77">
        <v>46253</v>
      </c>
      <c r="T206" s="80"/>
      <c r="U206" s="80"/>
      <c r="V206" s="80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spans="1:37" x14ac:dyDescent="0.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79">
        <v>199</v>
      </c>
      <c r="R207" s="80"/>
      <c r="S207" s="77">
        <v>46253</v>
      </c>
      <c r="T207" s="80"/>
      <c r="U207" s="80"/>
      <c r="V207" s="80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spans="1:37" x14ac:dyDescent="0.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79">
        <v>200</v>
      </c>
      <c r="R208" s="80"/>
      <c r="S208" s="77">
        <v>46253</v>
      </c>
      <c r="T208" s="80"/>
      <c r="U208" s="80"/>
      <c r="V208" s="80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spans="1:37" x14ac:dyDescent="0.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79">
        <v>201</v>
      </c>
      <c r="R209" s="80"/>
      <c r="S209" s="77">
        <v>46253</v>
      </c>
      <c r="T209" s="80"/>
      <c r="U209" s="80"/>
      <c r="V209" s="80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spans="1:37" x14ac:dyDescent="0.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79">
        <v>202</v>
      </c>
      <c r="R210" s="80"/>
      <c r="S210" s="77">
        <v>46253</v>
      </c>
      <c r="T210" s="80"/>
      <c r="U210" s="80"/>
      <c r="V210" s="80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spans="1:37" x14ac:dyDescent="0.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79">
        <v>203</v>
      </c>
      <c r="R211" s="80"/>
      <c r="S211" s="77">
        <v>46253</v>
      </c>
      <c r="T211" s="80"/>
      <c r="U211" s="80"/>
      <c r="V211" s="80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spans="1:37" x14ac:dyDescent="0.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79">
        <v>204</v>
      </c>
      <c r="R212" s="80"/>
      <c r="S212" s="77">
        <v>46253</v>
      </c>
      <c r="T212" s="80"/>
      <c r="U212" s="80"/>
      <c r="V212" s="80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</sheetData>
  <mergeCells count="5">
    <mergeCell ref="B2:M2"/>
    <mergeCell ref="B3:M3"/>
    <mergeCell ref="Q7:V7"/>
    <mergeCell ref="AG39:AL40"/>
    <mergeCell ref="B112:J113"/>
  </mergeCells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74C67"/>
  </sheetPr>
  <dimension ref="A1:BJ100"/>
  <sheetViews>
    <sheetView showGridLines="0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8.88671875" style="1"/>
    <col min="2" max="2" width="18.109375" style="1" customWidth="1"/>
    <col min="3" max="3" width="19.6640625" style="1" customWidth="1"/>
    <col min="4" max="4" width="12.109375" style="1" customWidth="1"/>
    <col min="5" max="5" width="16.33203125" style="5" customWidth="1"/>
    <col min="6" max="6" width="14.33203125" style="1" customWidth="1"/>
    <col min="7" max="8" width="15.44140625" style="1" customWidth="1"/>
    <col min="9" max="9" width="34.77734375" style="1" customWidth="1"/>
    <col min="10" max="10" width="19.44140625" style="1" customWidth="1"/>
    <col min="11" max="11" width="25.77734375" style="1" customWidth="1"/>
    <col min="12" max="12" width="42.21875" style="1" customWidth="1"/>
    <col min="13" max="17" width="20.44140625" style="1" customWidth="1"/>
    <col min="18" max="18" width="35.88671875" style="1" customWidth="1"/>
    <col min="19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4" customWidth="1"/>
    <col min="47" max="47" width="15.88671875" style="1" customWidth="1"/>
    <col min="48" max="48" width="12.5546875" style="1" customWidth="1"/>
    <col min="49" max="49" width="8.88671875" style="1"/>
    <col min="50" max="51" width="9.109375" style="1" customWidth="1"/>
    <col min="52" max="52" width="8.88671875" style="1"/>
    <col min="53" max="53" width="11.44140625" style="1" customWidth="1"/>
    <col min="54" max="54" width="12.33203125" style="1" customWidth="1"/>
    <col min="55" max="57" width="8.88671875" style="1"/>
    <col min="58" max="58" width="9.33203125" style="1" customWidth="1"/>
    <col min="59" max="16384" width="8.88671875" style="1"/>
  </cols>
  <sheetData>
    <row r="1" spans="1:62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</row>
    <row r="2" spans="1:62" ht="24" customHeight="1" x14ac:dyDescent="0.3">
      <c r="A2" s="34"/>
      <c r="B2" s="34"/>
      <c r="C2" s="34"/>
      <c r="D2" s="544" t="s">
        <v>254</v>
      </c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6"/>
      <c r="AD2" s="397"/>
      <c r="AE2" s="397"/>
      <c r="AF2" s="397"/>
      <c r="AG2" s="397"/>
      <c r="AH2" s="397"/>
      <c r="AI2" s="397"/>
      <c r="AJ2" s="397"/>
      <c r="AK2" s="397"/>
      <c r="AL2" s="397"/>
      <c r="AM2" s="397"/>
      <c r="AN2" s="397"/>
      <c r="AO2" s="397"/>
      <c r="AP2" s="397"/>
      <c r="AQ2" s="397"/>
      <c r="AR2" s="397"/>
      <c r="AS2" s="397"/>
      <c r="AT2" s="397"/>
      <c r="AU2" s="397"/>
      <c r="AV2" s="397"/>
      <c r="AW2" s="397"/>
      <c r="AX2" s="397"/>
      <c r="AY2" s="397"/>
      <c r="AZ2" s="397"/>
      <c r="BA2" s="397"/>
      <c r="BB2" s="397"/>
      <c r="BC2" s="397"/>
      <c r="BD2" s="397"/>
      <c r="BE2" s="397"/>
      <c r="BF2" s="397"/>
      <c r="BG2" s="397"/>
      <c r="BH2" s="397"/>
      <c r="BI2" s="397"/>
      <c r="BJ2" s="397"/>
    </row>
    <row r="3" spans="1:62" ht="18" customHeight="1" x14ac:dyDescent="0.3">
      <c r="A3" s="34"/>
      <c r="B3" s="34"/>
      <c r="C3" s="34"/>
      <c r="D3" s="569" t="s">
        <v>211</v>
      </c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70"/>
      <c r="AA3" s="570"/>
      <c r="AB3" s="570"/>
      <c r="AC3" s="571"/>
      <c r="AD3" s="369"/>
      <c r="AE3" s="369"/>
      <c r="AF3" s="369"/>
      <c r="AG3" s="40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69"/>
      <c r="BF3" s="369"/>
      <c r="BG3" s="369"/>
      <c r="BH3" s="369"/>
      <c r="BI3" s="369"/>
      <c r="BJ3" s="369"/>
    </row>
    <row r="4" spans="1:62" x14ac:dyDescent="0.3">
      <c r="A4" s="34"/>
      <c r="B4" s="34"/>
      <c r="C4" s="34"/>
      <c r="D4" s="578">
        <v>46143</v>
      </c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9"/>
      <c r="P4" s="579"/>
      <c r="Q4" s="579"/>
      <c r="R4" s="579"/>
      <c r="S4" s="579"/>
      <c r="T4" s="579"/>
      <c r="U4" s="579"/>
      <c r="V4" s="579"/>
      <c r="W4" s="579"/>
      <c r="X4" s="579"/>
      <c r="Y4" s="579"/>
      <c r="Z4" s="579"/>
      <c r="AA4" s="579"/>
      <c r="AB4" s="579"/>
      <c r="AC4" s="580"/>
      <c r="AD4" s="410"/>
      <c r="AE4" s="410"/>
      <c r="AF4" s="411"/>
      <c r="AG4" s="410"/>
      <c r="AH4" s="410"/>
      <c r="AI4" s="410"/>
      <c r="AJ4" s="411"/>
      <c r="AK4" s="410"/>
      <c r="AL4" s="410"/>
      <c r="AM4" s="410"/>
      <c r="AN4" s="410"/>
      <c r="AO4" s="410"/>
      <c r="AP4" s="410"/>
      <c r="AQ4" s="410"/>
      <c r="AR4" s="410"/>
      <c r="AS4" s="410"/>
      <c r="AT4" s="410"/>
      <c r="AU4" s="410"/>
      <c r="AV4" s="410"/>
      <c r="AW4" s="410"/>
      <c r="AX4" s="410"/>
      <c r="AY4" s="410"/>
      <c r="AZ4" s="410"/>
      <c r="BA4" s="410"/>
      <c r="BB4" s="410"/>
      <c r="BC4" s="410"/>
      <c r="BD4" s="410"/>
      <c r="BE4" s="410"/>
      <c r="BF4" s="410"/>
      <c r="BG4" s="410"/>
      <c r="BH4" s="410"/>
      <c r="BI4" s="410"/>
      <c r="BJ4" s="410"/>
    </row>
    <row r="5" spans="1:62" x14ac:dyDescent="0.3">
      <c r="A5" s="34"/>
      <c r="B5" s="34"/>
      <c r="C5" s="34"/>
      <c r="D5" s="34"/>
      <c r="E5" s="34"/>
      <c r="F5" s="191"/>
      <c r="G5" s="34"/>
      <c r="H5" s="34"/>
      <c r="I5" s="34"/>
      <c r="J5" s="34"/>
      <c r="K5" s="34"/>
      <c r="L5" s="203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159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</row>
    <row r="6" spans="1:62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203"/>
      <c r="M6" s="34"/>
      <c r="N6" s="34"/>
      <c r="O6" s="34"/>
      <c r="P6" s="34"/>
      <c r="Q6" s="34"/>
      <c r="R6" s="34"/>
      <c r="S6" s="159"/>
      <c r="T6" s="203"/>
      <c r="U6" s="34"/>
      <c r="V6" s="34"/>
      <c r="W6" s="34"/>
      <c r="X6" s="34"/>
      <c r="Y6" s="34"/>
      <c r="Z6" s="34"/>
      <c r="AA6" s="172"/>
      <c r="AB6" s="159"/>
      <c r="AC6" s="34"/>
      <c r="AD6" s="34"/>
      <c r="AE6" s="34"/>
      <c r="AF6" s="203"/>
      <c r="AG6" s="34"/>
      <c r="AH6" s="34"/>
      <c r="AI6" s="20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</row>
    <row r="7" spans="1:62" ht="22.05" customHeight="1" x14ac:dyDescent="0.3">
      <c r="A7" s="34"/>
      <c r="B7" s="532" t="s">
        <v>255</v>
      </c>
      <c r="C7" s="370" t="s">
        <v>256</v>
      </c>
      <c r="D7" s="532" t="s">
        <v>257</v>
      </c>
      <c r="E7" s="532" t="s">
        <v>258</v>
      </c>
      <c r="F7" s="532" t="s">
        <v>259</v>
      </c>
      <c r="G7" s="532" t="s">
        <v>260</v>
      </c>
      <c r="H7" s="532" t="s">
        <v>261</v>
      </c>
      <c r="I7" s="532" t="s">
        <v>262</v>
      </c>
      <c r="J7" s="532" t="s">
        <v>263</v>
      </c>
      <c r="K7" s="532" t="s">
        <v>264</v>
      </c>
      <c r="L7" s="370" t="s">
        <v>264</v>
      </c>
      <c r="M7" s="532" t="s">
        <v>265</v>
      </c>
      <c r="N7" s="370" t="s">
        <v>266</v>
      </c>
      <c r="O7" s="370" t="s">
        <v>267</v>
      </c>
      <c r="P7" s="370" t="s">
        <v>268</v>
      </c>
      <c r="Q7" s="370" t="s">
        <v>269</v>
      </c>
      <c r="R7" s="370" t="s">
        <v>270</v>
      </c>
      <c r="S7" s="532" t="s">
        <v>271</v>
      </c>
      <c r="T7" s="370" t="s">
        <v>272</v>
      </c>
      <c r="U7" s="532" t="s">
        <v>273</v>
      </c>
      <c r="V7" s="532"/>
      <c r="W7" s="532"/>
      <c r="X7" s="532" t="s">
        <v>274</v>
      </c>
      <c r="Y7" s="532"/>
      <c r="Z7" s="532"/>
      <c r="AA7" s="532" t="s">
        <v>239</v>
      </c>
      <c r="AB7" s="532" t="s">
        <v>275</v>
      </c>
      <c r="AC7" s="532" t="s">
        <v>276</v>
      </c>
      <c r="AD7" s="532"/>
      <c r="AE7" s="532"/>
      <c r="AF7" s="532"/>
      <c r="AG7" s="532"/>
      <c r="AH7" s="532"/>
      <c r="AI7" s="532" t="s">
        <v>277</v>
      </c>
      <c r="AJ7" s="532"/>
      <c r="AK7" s="532"/>
      <c r="AL7" s="532" t="s">
        <v>278</v>
      </c>
      <c r="AM7" s="532"/>
      <c r="AN7" s="532"/>
      <c r="AO7" s="370"/>
      <c r="AP7" s="370" t="s">
        <v>279</v>
      </c>
      <c r="AQ7" s="532" t="s">
        <v>280</v>
      </c>
      <c r="AR7" s="532"/>
      <c r="AS7" s="532"/>
      <c r="AT7" s="412"/>
      <c r="AU7" s="532" t="s">
        <v>177</v>
      </c>
      <c r="AV7" s="532" t="s">
        <v>281</v>
      </c>
      <c r="AW7" s="532"/>
      <c r="AX7" s="532"/>
      <c r="AY7" s="370" t="s">
        <v>282</v>
      </c>
      <c r="AZ7" s="532" t="s">
        <v>283</v>
      </c>
      <c r="BA7" s="532"/>
      <c r="BB7" s="532"/>
      <c r="BC7" s="370"/>
      <c r="BD7" s="370"/>
      <c r="BE7" s="370"/>
      <c r="BF7" s="370"/>
      <c r="BG7" s="370"/>
      <c r="BH7" s="370"/>
      <c r="BI7" s="370"/>
      <c r="BJ7" s="370"/>
    </row>
    <row r="8" spans="1:62" ht="22.05" customHeight="1" x14ac:dyDescent="0.3">
      <c r="A8" s="34"/>
      <c r="B8" s="531"/>
      <c r="C8" s="392" t="s">
        <v>284</v>
      </c>
      <c r="D8" s="531"/>
      <c r="E8" s="531"/>
      <c r="F8" s="531"/>
      <c r="G8" s="531"/>
      <c r="H8" s="531"/>
      <c r="I8" s="531"/>
      <c r="J8" s="531"/>
      <c r="K8" s="531"/>
      <c r="L8" s="392" t="s">
        <v>285</v>
      </c>
      <c r="M8" s="531"/>
      <c r="N8" s="392" t="s">
        <v>286</v>
      </c>
      <c r="O8" s="392" t="s">
        <v>287</v>
      </c>
      <c r="P8" s="392" t="s">
        <v>288</v>
      </c>
      <c r="Q8" s="392" t="s">
        <v>289</v>
      </c>
      <c r="R8" s="392" t="s">
        <v>290</v>
      </c>
      <c r="S8" s="531"/>
      <c r="T8" s="392" t="s">
        <v>291</v>
      </c>
      <c r="U8" s="531" t="s">
        <v>292</v>
      </c>
      <c r="V8" s="531"/>
      <c r="W8" s="531"/>
      <c r="X8" s="531" t="s">
        <v>293</v>
      </c>
      <c r="Y8" s="531"/>
      <c r="Z8" s="531"/>
      <c r="AA8" s="531"/>
      <c r="AB8" s="531"/>
      <c r="AC8" s="531" t="s">
        <v>294</v>
      </c>
      <c r="AD8" s="531"/>
      <c r="AE8" s="531"/>
      <c r="AF8" s="531" t="s">
        <v>295</v>
      </c>
      <c r="AG8" s="531"/>
      <c r="AH8" s="531"/>
      <c r="AI8" s="531" t="s">
        <v>296</v>
      </c>
      <c r="AJ8" s="531"/>
      <c r="AK8" s="531"/>
      <c r="AL8" s="531" t="s">
        <v>297</v>
      </c>
      <c r="AM8" s="531"/>
      <c r="AN8" s="531"/>
      <c r="AO8" s="392" t="s">
        <v>298</v>
      </c>
      <c r="AP8" s="392" t="s">
        <v>299</v>
      </c>
      <c r="AQ8" s="531"/>
      <c r="AR8" s="531"/>
      <c r="AS8" s="531"/>
      <c r="AT8" s="413" t="s">
        <v>300</v>
      </c>
      <c r="AU8" s="531"/>
      <c r="AV8" s="531" t="s">
        <v>292</v>
      </c>
      <c r="AW8" s="531"/>
      <c r="AX8" s="531"/>
      <c r="AY8" s="392" t="s">
        <v>299</v>
      </c>
      <c r="AZ8" s="531" t="s">
        <v>301</v>
      </c>
      <c r="BA8" s="531"/>
      <c r="BB8" s="531"/>
      <c r="BC8" s="392"/>
      <c r="BD8" s="392"/>
      <c r="BE8" s="392"/>
      <c r="BF8" s="392"/>
      <c r="BG8" s="392"/>
      <c r="BH8" s="392"/>
      <c r="BI8" s="392"/>
      <c r="BJ8" s="392"/>
    </row>
    <row r="9" spans="1:62" ht="24" customHeight="1" x14ac:dyDescent="0.3">
      <c r="A9" s="34"/>
      <c r="B9" s="535"/>
      <c r="C9" s="371" t="s">
        <v>302</v>
      </c>
      <c r="D9" s="535"/>
      <c r="E9" s="535"/>
      <c r="F9" s="535"/>
      <c r="G9" s="535"/>
      <c r="H9" s="535"/>
      <c r="I9" s="535"/>
      <c r="J9" s="535"/>
      <c r="K9" s="535"/>
      <c r="L9" s="371" t="s">
        <v>303</v>
      </c>
      <c r="M9" s="535"/>
      <c r="N9" s="371" t="s">
        <v>72</v>
      </c>
      <c r="O9" s="371"/>
      <c r="P9" s="371" t="s">
        <v>304</v>
      </c>
      <c r="Q9" s="371" t="s">
        <v>304</v>
      </c>
      <c r="R9" s="371" t="s">
        <v>305</v>
      </c>
      <c r="S9" s="535"/>
      <c r="T9" s="371" t="s">
        <v>306</v>
      </c>
      <c r="U9" s="371" t="s">
        <v>307</v>
      </c>
      <c r="V9" s="371" t="s">
        <v>308</v>
      </c>
      <c r="W9" s="371" t="s">
        <v>309</v>
      </c>
      <c r="X9" s="371" t="s">
        <v>307</v>
      </c>
      <c r="Y9" s="371" t="s">
        <v>308</v>
      </c>
      <c r="Z9" s="371" t="s">
        <v>309</v>
      </c>
      <c r="AA9" s="535"/>
      <c r="AB9" s="535"/>
      <c r="AC9" s="371" t="s">
        <v>307</v>
      </c>
      <c r="AD9" s="371" t="s">
        <v>308</v>
      </c>
      <c r="AE9" s="371" t="s">
        <v>309</v>
      </c>
      <c r="AF9" s="371" t="s">
        <v>307</v>
      </c>
      <c r="AG9" s="371" t="s">
        <v>308</v>
      </c>
      <c r="AH9" s="371" t="s">
        <v>309</v>
      </c>
      <c r="AI9" s="371" t="s">
        <v>307</v>
      </c>
      <c r="AJ9" s="371" t="s">
        <v>308</v>
      </c>
      <c r="AK9" s="371" t="s">
        <v>309</v>
      </c>
      <c r="AL9" s="371" t="s">
        <v>307</v>
      </c>
      <c r="AM9" s="371" t="s">
        <v>308</v>
      </c>
      <c r="AN9" s="371" t="s">
        <v>309</v>
      </c>
      <c r="AO9" s="371" t="s">
        <v>307</v>
      </c>
      <c r="AP9" s="371" t="s">
        <v>72</v>
      </c>
      <c r="AQ9" s="371" t="s">
        <v>307</v>
      </c>
      <c r="AR9" s="371" t="s">
        <v>308</v>
      </c>
      <c r="AS9" s="371" t="s">
        <v>309</v>
      </c>
      <c r="AT9" s="373"/>
      <c r="AU9" s="371" t="s">
        <v>310</v>
      </c>
      <c r="AV9" s="371" t="s">
        <v>307</v>
      </c>
      <c r="AW9" s="371" t="s">
        <v>308</v>
      </c>
      <c r="AX9" s="371" t="s">
        <v>309</v>
      </c>
      <c r="AY9" s="371" t="s">
        <v>72</v>
      </c>
      <c r="AZ9" s="371" t="s">
        <v>307</v>
      </c>
      <c r="BA9" s="371" t="s">
        <v>308</v>
      </c>
      <c r="BB9" s="371" t="s">
        <v>309</v>
      </c>
      <c r="BC9" s="371"/>
      <c r="BD9" s="371"/>
      <c r="BE9" s="371" t="s">
        <v>311</v>
      </c>
      <c r="BF9" s="371" t="s">
        <v>312</v>
      </c>
      <c r="BG9" s="371" t="s">
        <v>313</v>
      </c>
      <c r="BH9" s="371"/>
      <c r="BI9" s="371"/>
      <c r="BJ9" s="371"/>
    </row>
    <row r="10" spans="1:62" x14ac:dyDescent="0.3">
      <c r="A10" s="34"/>
      <c r="B10" s="86">
        <v>1</v>
      </c>
      <c r="C10" s="200">
        <f>SUM('Milling and Leach Feed'!P5:P8)</f>
        <v>45.333333333333329</v>
      </c>
      <c r="D10" s="86">
        <v>2</v>
      </c>
      <c r="E10" s="78">
        <v>46267</v>
      </c>
      <c r="F10" s="205">
        <v>0.25</v>
      </c>
      <c r="G10" s="78">
        <v>46269</v>
      </c>
      <c r="H10" s="205">
        <v>0.25</v>
      </c>
      <c r="I10" s="86">
        <v>557</v>
      </c>
      <c r="J10" s="162">
        <v>0.41</v>
      </c>
      <c r="K10" s="200">
        <f>J10*I10*M10</f>
        <v>292.31359999999995</v>
      </c>
      <c r="L10" s="200"/>
      <c r="M10" s="86">
        <v>1.28</v>
      </c>
      <c r="N10" s="86">
        <v>2</v>
      </c>
      <c r="O10" s="162">
        <v>0.39900000000000002</v>
      </c>
      <c r="P10" s="86">
        <v>1.2649999999999999</v>
      </c>
      <c r="Q10" s="200">
        <v>107.85</v>
      </c>
      <c r="R10" s="200">
        <f>Q10*P10*O10</f>
        <v>54.435669749999995</v>
      </c>
      <c r="S10" s="200">
        <f>K10*((1-J10)/J10)</f>
        <v>420.64640000000003</v>
      </c>
      <c r="T10" s="200">
        <f>K10</f>
        <v>292.31359999999995</v>
      </c>
      <c r="U10" s="184">
        <f>AVERAGE('Milling and Leach Feed'!T5:T8)</f>
        <v>0.70799999999999996</v>
      </c>
      <c r="V10" s="184">
        <f>AVERAGE('Milling and Leach Feed'!U5:U8)</f>
        <v>0.53525</v>
      </c>
      <c r="W10" s="184">
        <f>AVERAGE('Milling and Leach Feed'!V5:V8)</f>
        <v>7.2224166666666676</v>
      </c>
      <c r="X10" s="184">
        <f>SUM('Milling and Leach Feed'!W5:W8)/'Au Cal Leaching Tank'!K10</f>
        <v>0.65897435796966009</v>
      </c>
      <c r="Y10" s="184">
        <f>SUM('Milling and Leach Feed'!X5:X8)/'Au Cal Leaching Tank'!K10</f>
        <v>0.56643603797540276</v>
      </c>
      <c r="Z10" s="184">
        <f>SUM('Milling and Leach Feed'!Y5:Y8)/'Au Cal Leaching Tank'!K10</f>
        <v>7.4363798214475381</v>
      </c>
      <c r="AA10" s="206">
        <f>U10-X10</f>
        <v>4.9025642030339878E-2</v>
      </c>
      <c r="AB10" s="162">
        <f>((U10-X10)/(U10+X10)/2)</f>
        <v>1.7932173249817464E-2</v>
      </c>
      <c r="AC10" s="184">
        <f>'LT Floculation'!G6</f>
        <v>0.11299999999999999</v>
      </c>
      <c r="AD10" s="184">
        <f>'LT Floculation'!H6</f>
        <v>0.61749999999999994</v>
      </c>
      <c r="AE10" s="184">
        <f>'LT Floculation'!I6</f>
        <v>8.6916666666666664</v>
      </c>
      <c r="AF10" s="86">
        <v>0.02</v>
      </c>
      <c r="AG10" s="80"/>
      <c r="AH10" s="80"/>
      <c r="AI10" s="200">
        <f>U10*$K$10</f>
        <v>206.95802879999997</v>
      </c>
      <c r="AJ10" s="200">
        <f t="shared" ref="AJ10" si="0">Y10*$K$10</f>
        <v>165.57695743032667</v>
      </c>
      <c r="AK10" s="200">
        <f>Z10*$K$10</f>
        <v>2173.7549565746867</v>
      </c>
      <c r="AL10" s="200">
        <f>AC10*K10</f>
        <v>33.031436799999994</v>
      </c>
      <c r="AM10" s="200">
        <f>AD10*K10</f>
        <v>180.50364799999994</v>
      </c>
      <c r="AN10" s="200">
        <f>AE10*K10</f>
        <v>2540.6923733333329</v>
      </c>
      <c r="AO10" s="200">
        <f>AF10*S10</f>
        <v>8.4129280000000008</v>
      </c>
      <c r="AP10" s="200">
        <v>1</v>
      </c>
      <c r="AQ10" s="162">
        <f>((AI10-(AL10+AO10))/AI10)</f>
        <v>0.79974507372192372</v>
      </c>
      <c r="AR10" s="162">
        <f t="shared" ref="AR10" si="1">((AJ10-AM10)/AJ10)*0.95</f>
        <v>-8.5642086080465488E-2</v>
      </c>
      <c r="AS10" s="162">
        <f>((AK10-AN10)/AK10)*0.95</f>
        <v>-0.16036331273972498</v>
      </c>
      <c r="AT10" s="201">
        <v>2</v>
      </c>
      <c r="AU10" s="202">
        <v>1</v>
      </c>
      <c r="AV10" s="200">
        <f>AZ10/$AU10</f>
        <v>165.51366399999998</v>
      </c>
      <c r="AW10" s="200">
        <f t="shared" ref="AV10:AX11" si="2">BA10/$AU10</f>
        <v>-14.926690569673269</v>
      </c>
      <c r="AX10" s="200">
        <f t="shared" si="2"/>
        <v>-366.93741675864612</v>
      </c>
      <c r="AY10" s="200">
        <v>1</v>
      </c>
      <c r="AZ10" s="200">
        <f>(AI10-AL10-AO10)</f>
        <v>165.51366399999998</v>
      </c>
      <c r="BA10" s="200">
        <f>(AJ10-AM10)</f>
        <v>-14.926690569673269</v>
      </c>
      <c r="BB10" s="200">
        <f>(AK10-AN10)</f>
        <v>-366.93741675864612</v>
      </c>
      <c r="BC10" s="34"/>
      <c r="BD10" s="204">
        <f>SUM(AZ10:BB10)</f>
        <v>-216.35044332831941</v>
      </c>
      <c r="BE10" s="172">
        <f>AZ10/BD10</f>
        <v>-0.76502576770238995</v>
      </c>
      <c r="BF10" s="172">
        <f>BA10/BD10</f>
        <v>6.8993112933082787E-2</v>
      </c>
      <c r="BG10" s="172">
        <f>BB10/BD10</f>
        <v>1.6960326547693072</v>
      </c>
      <c r="BH10" s="34"/>
      <c r="BI10" s="34"/>
      <c r="BJ10" s="34"/>
    </row>
    <row r="11" spans="1:62" x14ac:dyDescent="0.3">
      <c r="A11" s="34"/>
      <c r="B11" s="86">
        <v>2</v>
      </c>
      <c r="C11" s="200">
        <f>SUM('Milling and Leach Feed'!P9:P12)</f>
        <v>33.016666666666666</v>
      </c>
      <c r="D11" s="86">
        <v>3</v>
      </c>
      <c r="E11" s="78">
        <v>46268</v>
      </c>
      <c r="F11" s="205">
        <v>0.75</v>
      </c>
      <c r="G11" s="78">
        <v>46270</v>
      </c>
      <c r="H11" s="205">
        <v>0.29166666666666669</v>
      </c>
      <c r="I11" s="86">
        <v>539</v>
      </c>
      <c r="J11" s="162">
        <v>0.43</v>
      </c>
      <c r="K11" s="200">
        <f>J11*I11*M11</f>
        <v>300.14215000000002</v>
      </c>
      <c r="L11" s="200"/>
      <c r="M11" s="86">
        <v>1.2949999999999999</v>
      </c>
      <c r="N11" s="86">
        <v>3</v>
      </c>
      <c r="O11" s="162">
        <v>0.4</v>
      </c>
      <c r="P11" s="86">
        <v>1.2649999999999999</v>
      </c>
      <c r="Q11" s="200">
        <v>107.85</v>
      </c>
      <c r="R11" s="200">
        <f>Q11*P11*O11</f>
        <v>54.572099999999992</v>
      </c>
      <c r="S11" s="200">
        <f>K11*((1-J11)/J11)</f>
        <v>397.86285000000004</v>
      </c>
      <c r="T11" s="200">
        <f>K11+K10</f>
        <v>592.45574999999997</v>
      </c>
      <c r="U11" s="184">
        <f>AVERAGE('Milling and Leach Feed'!T9:T11)</f>
        <v>0.68400000000000005</v>
      </c>
      <c r="V11" s="184">
        <f>AVERAGE('Milling and Leach Feed'!U9:U11)</f>
        <v>0.79333333333333333</v>
      </c>
      <c r="W11" s="184">
        <f>AVERAGE('Milling and Leach Feed'!V9:V11)</f>
        <v>9.051111111111112</v>
      </c>
      <c r="X11" s="184">
        <f>SUM('Milling and Leach Feed'!W9:W11)/'Au Cal Leaching Tank'!$K$11</f>
        <v>0.68534607973810646</v>
      </c>
      <c r="Y11" s="184">
        <f>SUM('Milling and Leach Feed'!X9:X11)/'Au Cal Leaching Tank'!$K$11</f>
        <v>0.79554044142084002</v>
      </c>
      <c r="Z11" s="184">
        <f>SUM('Milling and Leach Feed'!Y9:Y11)/'Au Cal Leaching Tank'!$K$11</f>
        <v>9.1008204118170912</v>
      </c>
      <c r="AA11" s="206">
        <f>X11-U11</f>
        <v>1.3460797381064094E-3</v>
      </c>
      <c r="AB11" s="162">
        <f>((X11-U11)/(X11+U11)/2)</f>
        <v>4.9150457945731766E-4</v>
      </c>
      <c r="AC11" s="184">
        <f>'LT Floculation'!G7</f>
        <v>5.5749999999999994E-2</v>
      </c>
      <c r="AD11" s="184">
        <f>'LT Floculation'!H7</f>
        <v>0.25</v>
      </c>
      <c r="AE11" s="184">
        <f>'LT Floculation'!I7</f>
        <v>8.3524999999999991</v>
      </c>
      <c r="AF11" s="207">
        <v>2.9000000000000001E-2</v>
      </c>
      <c r="AG11" s="80"/>
      <c r="AH11" s="80"/>
      <c r="AI11" s="200">
        <f>U11*$K11</f>
        <v>205.29723060000003</v>
      </c>
      <c r="AJ11" s="200">
        <f>V11*$K11</f>
        <v>238.11277233333334</v>
      </c>
      <c r="AK11" s="200">
        <f t="shared" ref="AK11" si="3">W11*$K11</f>
        <v>2716.6199487777781</v>
      </c>
      <c r="AL11" s="200">
        <f t="shared" ref="AL11:AN11" si="4">AC11*$K11</f>
        <v>16.732924862499999</v>
      </c>
      <c r="AM11" s="200">
        <f t="shared" si="4"/>
        <v>75.035537500000004</v>
      </c>
      <c r="AN11" s="200">
        <f t="shared" si="4"/>
        <v>2506.937307875</v>
      </c>
      <c r="AO11" s="200">
        <f>AF11*S11</f>
        <v>11.538022650000002</v>
      </c>
      <c r="AP11" s="200">
        <v>2</v>
      </c>
      <c r="AQ11" s="162">
        <f>((AI11-(AL11+AO11))/AI11)</f>
        <v>0.86229260165918664</v>
      </c>
      <c r="AR11" s="162">
        <f>(AJ11-AM11)/AJ11</f>
        <v>0.68487394957983194</v>
      </c>
      <c r="AS11" s="162">
        <f>(AK11-AN11)/AK11</f>
        <v>7.7185121532040366E-2</v>
      </c>
      <c r="AT11" s="201">
        <v>3</v>
      </c>
      <c r="AU11" s="202">
        <v>1</v>
      </c>
      <c r="AV11" s="200">
        <f t="shared" si="2"/>
        <v>177.02628308750002</v>
      </c>
      <c r="AW11" s="200">
        <f t="shared" si="2"/>
        <v>163.07723483333334</v>
      </c>
      <c r="AX11" s="200">
        <f t="shared" si="2"/>
        <v>209.68264090277808</v>
      </c>
      <c r="AY11" s="200">
        <v>2</v>
      </c>
      <c r="AZ11" s="200">
        <f t="shared" ref="AZ11:AZ15" si="5">(AI11-AL11-AO11)</f>
        <v>177.02628308750002</v>
      </c>
      <c r="BA11" s="200">
        <f t="shared" ref="BA11" si="6">(AJ11-AM11)</f>
        <v>163.07723483333334</v>
      </c>
      <c r="BB11" s="200">
        <f>(AK11-AN11)</f>
        <v>209.68264090277808</v>
      </c>
      <c r="BC11" s="34"/>
      <c r="BD11" s="34"/>
      <c r="BE11" s="34"/>
      <c r="BF11" s="34"/>
      <c r="BG11" s="34"/>
      <c r="BH11" s="34"/>
      <c r="BI11" s="34"/>
      <c r="BJ11" s="34"/>
    </row>
    <row r="12" spans="1:62" x14ac:dyDescent="0.3">
      <c r="A12" s="34"/>
      <c r="B12" s="86">
        <v>3</v>
      </c>
      <c r="C12" s="200">
        <f>SUM('Milling and Leach Feed'!P16:P19)</f>
        <v>47.333333333333329</v>
      </c>
      <c r="D12" s="86">
        <v>2</v>
      </c>
      <c r="E12" s="78">
        <v>46272</v>
      </c>
      <c r="F12" s="205">
        <v>0.91666666666666663</v>
      </c>
      <c r="G12" s="78">
        <v>46274</v>
      </c>
      <c r="H12" s="205"/>
      <c r="I12" s="86">
        <v>647</v>
      </c>
      <c r="J12" s="162">
        <v>0.45</v>
      </c>
      <c r="K12" s="200">
        <f>J12*I12*M12</f>
        <v>381.40650000000005</v>
      </c>
      <c r="L12" s="200">
        <f>K12-R10</f>
        <v>326.97083025000006</v>
      </c>
      <c r="M12" s="86">
        <v>1.31</v>
      </c>
      <c r="N12" s="86">
        <v>2</v>
      </c>
      <c r="O12" s="86"/>
      <c r="P12" s="86"/>
      <c r="Q12" s="86"/>
      <c r="R12" s="86"/>
      <c r="S12" s="200"/>
      <c r="T12" s="200"/>
      <c r="U12" s="184">
        <f>AVERAGE('Milling and Leach Feed'!T16:T18)</f>
        <v>0.93455555555555547</v>
      </c>
      <c r="V12" s="184">
        <f>AVERAGE('Milling and Leach Feed'!U16:U18)</f>
        <v>0.65888888888888886</v>
      </c>
      <c r="W12" s="184">
        <f>AVERAGE('Milling and Leach Feed'!V16:V18)</f>
        <v>9.0688888888888908</v>
      </c>
      <c r="X12" s="184">
        <f>SUM('Milling and Leach Feed'!W16:W18)/'Au Cal Leaching Tank'!$L$12</f>
        <v>0.53359037159885403</v>
      </c>
      <c r="Y12" s="184">
        <f>SUM('Milling and Leach Feed'!X16:X18)/'Au Cal Leaching Tank'!$L$12</f>
        <v>0.38757072090021194</v>
      </c>
      <c r="Z12" s="184">
        <f>SUM('Milling and Leach Feed'!Y16:Y18)/'Au Cal Leaching Tank'!$L$12</f>
        <v>5.6910690955920016</v>
      </c>
      <c r="AA12" s="80"/>
      <c r="AB12" s="80"/>
      <c r="AC12" s="184"/>
      <c r="AD12" s="184"/>
      <c r="AE12" s="184"/>
      <c r="AF12" s="86"/>
      <c r="AG12" s="80"/>
      <c r="AH12" s="80"/>
      <c r="AI12" s="200">
        <f>$L12*U12</f>
        <v>305.57240591475005</v>
      </c>
      <c r="AJ12" s="200">
        <f t="shared" ref="AJ12:AK12" si="7">$L12*V12</f>
        <v>215.43744704250003</v>
      </c>
      <c r="AK12" s="200">
        <f t="shared" si="7"/>
        <v>2965.2621294450014</v>
      </c>
      <c r="AL12" s="200">
        <f>AC12*$L12</f>
        <v>0</v>
      </c>
      <c r="AM12" s="200">
        <f>AD12*$L12</f>
        <v>0</v>
      </c>
      <c r="AN12" s="200">
        <f>AE12*$L12</f>
        <v>0</v>
      </c>
      <c r="AO12" s="200">
        <f>AF12*S12</f>
        <v>0</v>
      </c>
      <c r="AP12" s="200">
        <v>3</v>
      </c>
      <c r="AQ12" s="162">
        <f>IFERROR(((AI12-(AL12+AO12))/AI12),"")</f>
        <v>1</v>
      </c>
      <c r="AR12" s="162">
        <f>IFERROR((AJ12-AM12)/AJ12,"")</f>
        <v>1</v>
      </c>
      <c r="AS12" s="162">
        <f>IFERROR((AK12-AN12)/AK12,"")</f>
        <v>1</v>
      </c>
      <c r="AT12" s="201">
        <v>2</v>
      </c>
      <c r="AU12" s="202">
        <v>1</v>
      </c>
      <c r="AV12" s="200">
        <f>(AZ10+AZ12)/AU12</f>
        <v>471.08606991475006</v>
      </c>
      <c r="AW12" s="200">
        <f>(BA10+BA12)/AU12</f>
        <v>200.51075647282676</v>
      </c>
      <c r="AX12" s="208">
        <f>(AX10+BB12)/AU12</f>
        <v>2598.3247126863553</v>
      </c>
      <c r="AY12" s="208">
        <v>3</v>
      </c>
      <c r="AZ12" s="200">
        <f t="shared" si="5"/>
        <v>305.57240591475005</v>
      </c>
      <c r="BA12" s="200">
        <f t="shared" ref="BA12:BA13" si="8">(AJ12-AM12)</f>
        <v>215.43744704250003</v>
      </c>
      <c r="BB12" s="200">
        <f t="shared" ref="BB12:BB13" si="9">(AK12-AN12)</f>
        <v>2965.2621294450014</v>
      </c>
      <c r="BC12" s="34"/>
      <c r="BD12" s="203">
        <f>AZ10+AZ12+AZ14</f>
        <v>471.08606991475006</v>
      </c>
      <c r="BE12" s="203">
        <f t="shared" ref="BE12:BF12" si="10">BA10+BA12+BA14</f>
        <v>200.51075647282676</v>
      </c>
      <c r="BF12" s="203">
        <f t="shared" si="10"/>
        <v>2598.3247126863553</v>
      </c>
      <c r="BG12" s="34"/>
      <c r="BH12" s="34"/>
      <c r="BI12" s="34"/>
      <c r="BJ12" s="34"/>
    </row>
    <row r="13" spans="1:62" x14ac:dyDescent="0.3">
      <c r="A13" s="34"/>
      <c r="B13" s="86">
        <v>4</v>
      </c>
      <c r="C13" s="200"/>
      <c r="D13" s="86">
        <v>3</v>
      </c>
      <c r="E13" s="78"/>
      <c r="F13" s="205"/>
      <c r="G13" s="78"/>
      <c r="H13" s="205"/>
      <c r="I13" s="86"/>
      <c r="J13" s="162"/>
      <c r="K13" s="200"/>
      <c r="L13" s="200"/>
      <c r="M13" s="86"/>
      <c r="N13" s="86">
        <v>3</v>
      </c>
      <c r="O13" s="86"/>
      <c r="P13" s="86"/>
      <c r="Q13" s="86"/>
      <c r="R13" s="200"/>
      <c r="S13" s="200"/>
      <c r="T13" s="200"/>
      <c r="U13" s="184"/>
      <c r="V13" s="184"/>
      <c r="W13" s="184"/>
      <c r="X13" s="80"/>
      <c r="Y13" s="80"/>
      <c r="Z13" s="80"/>
      <c r="AA13" s="80"/>
      <c r="AB13" s="80"/>
      <c r="AC13" s="184"/>
      <c r="AD13" s="184"/>
      <c r="AE13" s="184"/>
      <c r="AF13" s="86"/>
      <c r="AG13" s="80"/>
      <c r="AH13" s="80"/>
      <c r="AI13" s="200">
        <f t="shared" ref="AI13:AI14" si="11">$L13*U13</f>
        <v>0</v>
      </c>
      <c r="AJ13" s="200">
        <f t="shared" ref="AJ13:AJ14" si="12">$L13*V13</f>
        <v>0</v>
      </c>
      <c r="AK13" s="200">
        <f t="shared" ref="AK13:AK14" si="13">$L13*W13</f>
        <v>0</v>
      </c>
      <c r="AL13" s="200">
        <f>AC13*$L13</f>
        <v>0</v>
      </c>
      <c r="AM13" s="200">
        <f t="shared" ref="AM13:AN14" si="14">AD13*$L13</f>
        <v>0</v>
      </c>
      <c r="AN13" s="200">
        <f t="shared" si="14"/>
        <v>0</v>
      </c>
      <c r="AO13" s="200">
        <f>AF13*S13</f>
        <v>0</v>
      </c>
      <c r="AP13" s="200">
        <v>4</v>
      </c>
      <c r="AQ13" s="162" t="str">
        <f t="shared" ref="AQ13:AQ59" si="15">IFERROR(((AI13-(AL13+AO13))/AI13),"")</f>
        <v/>
      </c>
      <c r="AR13" s="162" t="str">
        <f t="shared" ref="AR13:AR59" si="16">IFERROR((AJ13-AM13)/AJ13,"")</f>
        <v/>
      </c>
      <c r="AS13" s="162" t="str">
        <f t="shared" ref="AS13:AS59" si="17">IFERROR((AK13-AN13)/AK13,"")</f>
        <v/>
      </c>
      <c r="AT13" s="201">
        <v>3</v>
      </c>
      <c r="AU13" s="202">
        <v>1</v>
      </c>
      <c r="AV13" s="200">
        <f>(AZ11+AZ13)/AU13</f>
        <v>177.02628308750002</v>
      </c>
      <c r="AW13" s="200">
        <f>(AZ11+AZ13)/AU13</f>
        <v>177.02628308750002</v>
      </c>
      <c r="AX13" s="208">
        <f>(BA11+BA13)/AU13</f>
        <v>163.07723483333334</v>
      </c>
      <c r="AY13" s="208">
        <v>4</v>
      </c>
      <c r="AZ13" s="200">
        <f t="shared" si="5"/>
        <v>0</v>
      </c>
      <c r="BA13" s="200">
        <f t="shared" si="8"/>
        <v>0</v>
      </c>
      <c r="BB13" s="200">
        <f t="shared" si="9"/>
        <v>0</v>
      </c>
      <c r="BC13" s="34"/>
      <c r="BD13" s="203">
        <f>AZ11+AZ13</f>
        <v>177.02628308750002</v>
      </c>
      <c r="BE13" s="203">
        <f t="shared" ref="BE13:BF13" si="18">BA11+BA13</f>
        <v>163.07723483333334</v>
      </c>
      <c r="BF13" s="203">
        <f t="shared" si="18"/>
        <v>209.68264090277808</v>
      </c>
      <c r="BG13" s="34"/>
      <c r="BH13" s="34"/>
      <c r="BI13" s="34"/>
      <c r="BJ13" s="190">
        <f>0.4*16000</f>
        <v>6400</v>
      </c>
    </row>
    <row r="14" spans="1:62" s="5" customFormat="1" x14ac:dyDescent="0.3">
      <c r="A14" s="34"/>
      <c r="B14" s="86">
        <v>5</v>
      </c>
      <c r="C14" s="200"/>
      <c r="D14" s="86">
        <v>2</v>
      </c>
      <c r="E14" s="78"/>
      <c r="F14" s="205"/>
      <c r="G14" s="78"/>
      <c r="H14" s="205"/>
      <c r="I14" s="86"/>
      <c r="J14" s="162"/>
      <c r="K14" s="200"/>
      <c r="L14" s="200"/>
      <c r="M14" s="86"/>
      <c r="N14" s="86"/>
      <c r="O14" s="86"/>
      <c r="P14" s="86"/>
      <c r="Q14" s="86"/>
      <c r="R14" s="86"/>
      <c r="S14" s="200"/>
      <c r="T14" s="200"/>
      <c r="U14" s="184"/>
      <c r="V14" s="184"/>
      <c r="W14" s="184"/>
      <c r="X14" s="86"/>
      <c r="Y14" s="86"/>
      <c r="Z14" s="86"/>
      <c r="AA14" s="86"/>
      <c r="AB14" s="86"/>
      <c r="AC14" s="184"/>
      <c r="AD14" s="184"/>
      <c r="AE14" s="184"/>
      <c r="AF14" s="86"/>
      <c r="AG14" s="86"/>
      <c r="AH14" s="86"/>
      <c r="AI14" s="200">
        <f t="shared" si="11"/>
        <v>0</v>
      </c>
      <c r="AJ14" s="200">
        <f t="shared" si="12"/>
        <v>0</v>
      </c>
      <c r="AK14" s="200">
        <f t="shared" si="13"/>
        <v>0</v>
      </c>
      <c r="AL14" s="200">
        <f>AC14*$L14</f>
        <v>0</v>
      </c>
      <c r="AM14" s="200">
        <f t="shared" si="14"/>
        <v>0</v>
      </c>
      <c r="AN14" s="200">
        <f t="shared" si="14"/>
        <v>0</v>
      </c>
      <c r="AO14" s="200">
        <f t="shared" ref="AO14" si="19">AF14*S14</f>
        <v>0</v>
      </c>
      <c r="AP14" s="200">
        <v>5</v>
      </c>
      <c r="AQ14" s="162" t="str">
        <f t="shared" si="15"/>
        <v/>
      </c>
      <c r="AR14" s="162" t="str">
        <f t="shared" si="16"/>
        <v/>
      </c>
      <c r="AS14" s="162" t="str">
        <f t="shared" si="17"/>
        <v/>
      </c>
      <c r="AT14" s="201">
        <v>2</v>
      </c>
      <c r="AU14" s="202">
        <v>1</v>
      </c>
      <c r="AV14" s="200">
        <f>(AZ10+AZ12+AZ14)/AU14</f>
        <v>471.08606991475006</v>
      </c>
      <c r="AW14" s="200">
        <f>(BA10+BA12+BA14)/AU14</f>
        <v>200.51075647282676</v>
      </c>
      <c r="AX14" s="200">
        <f>(BB10+BB12+BB14)/AU14</f>
        <v>2598.3247126863553</v>
      </c>
      <c r="AY14" s="200">
        <v>5</v>
      </c>
      <c r="AZ14" s="200">
        <f t="shared" si="5"/>
        <v>0</v>
      </c>
      <c r="BA14" s="200">
        <f t="shared" ref="BA14" si="20">(AJ14-AM14)</f>
        <v>0</v>
      </c>
      <c r="BB14" s="200">
        <f t="shared" ref="BB14" si="21">(AK14-AN14)</f>
        <v>0</v>
      </c>
      <c r="BC14" s="34"/>
      <c r="BD14" s="203">
        <f>BD12+BD13</f>
        <v>648.11235300225007</v>
      </c>
      <c r="BE14" s="203">
        <f t="shared" ref="BE14:BF14" si="22">BE12+BE13</f>
        <v>363.58799130616012</v>
      </c>
      <c r="BF14" s="203">
        <f t="shared" si="22"/>
        <v>2808.0073535891333</v>
      </c>
      <c r="BG14" s="34"/>
      <c r="BH14" s="34"/>
      <c r="BI14" s="34"/>
      <c r="BJ14" s="190">
        <f>BJ13*40%</f>
        <v>2560</v>
      </c>
    </row>
    <row r="15" spans="1:62" x14ac:dyDescent="0.3">
      <c r="A15" s="34"/>
      <c r="B15" s="86">
        <v>6</v>
      </c>
      <c r="C15" s="200"/>
      <c r="D15" s="86">
        <v>3</v>
      </c>
      <c r="E15" s="78"/>
      <c r="F15" s="205"/>
      <c r="G15" s="78"/>
      <c r="H15" s="205"/>
      <c r="I15" s="86"/>
      <c r="J15" s="162"/>
      <c r="K15" s="200"/>
      <c r="L15" s="200"/>
      <c r="M15" s="86"/>
      <c r="N15" s="86"/>
      <c r="O15" s="86"/>
      <c r="P15" s="86"/>
      <c r="Q15" s="86"/>
      <c r="R15" s="86"/>
      <c r="S15" s="200"/>
      <c r="T15" s="200"/>
      <c r="U15" s="184"/>
      <c r="V15" s="184"/>
      <c r="W15" s="184"/>
      <c r="X15" s="80"/>
      <c r="Y15" s="80"/>
      <c r="Z15" s="80"/>
      <c r="AA15" s="80"/>
      <c r="AB15" s="80"/>
      <c r="AC15" s="86"/>
      <c r="AD15" s="184"/>
      <c r="AE15" s="86"/>
      <c r="AF15" s="86"/>
      <c r="AG15" s="80"/>
      <c r="AH15" s="80"/>
      <c r="AI15" s="200">
        <f t="shared" ref="AI15" si="23">$L15*U15</f>
        <v>0</v>
      </c>
      <c r="AJ15" s="200">
        <f t="shared" ref="AJ15" si="24">$L15*V15</f>
        <v>0</v>
      </c>
      <c r="AK15" s="200">
        <f t="shared" ref="AK15" si="25">$L15*W15</f>
        <v>0</v>
      </c>
      <c r="AL15" s="200">
        <f>AC15*$L15</f>
        <v>0</v>
      </c>
      <c r="AM15" s="200">
        <f t="shared" ref="AM15" si="26">AD15*$L15</f>
        <v>0</v>
      </c>
      <c r="AN15" s="200">
        <f t="shared" ref="AN15" si="27">AE15*$L15</f>
        <v>0</v>
      </c>
      <c r="AO15" s="200">
        <f>AF15*S15</f>
        <v>0</v>
      </c>
      <c r="AP15" s="200">
        <v>6</v>
      </c>
      <c r="AQ15" s="162" t="str">
        <f t="shared" si="15"/>
        <v/>
      </c>
      <c r="AR15" s="162" t="str">
        <f t="shared" si="16"/>
        <v/>
      </c>
      <c r="AS15" s="162" t="str">
        <f t="shared" si="17"/>
        <v/>
      </c>
      <c r="AT15" s="201">
        <v>3</v>
      </c>
      <c r="AU15" s="202">
        <v>1</v>
      </c>
      <c r="AV15" s="200">
        <f>(AZ11+AZ13+AZ15)/AU15</f>
        <v>177.02628308750002</v>
      </c>
      <c r="AW15" s="200">
        <f>(BA11+BA13+BA15)/AU15</f>
        <v>163.07723483333334</v>
      </c>
      <c r="AX15" s="200">
        <f>(BB11+BB13+BB15)/AU15</f>
        <v>209.68264090277808</v>
      </c>
      <c r="AY15" s="200">
        <v>6</v>
      </c>
      <c r="AZ15" s="200">
        <f t="shared" si="5"/>
        <v>0</v>
      </c>
      <c r="BA15" s="200">
        <f t="shared" ref="BA15" si="28">(AJ15-AM15)</f>
        <v>0</v>
      </c>
      <c r="BB15" s="200">
        <f t="shared" ref="BB15" si="29">(AK15-AN15)</f>
        <v>0</v>
      </c>
      <c r="BC15" s="34"/>
      <c r="BD15" s="34"/>
      <c r="BE15" s="34"/>
      <c r="BF15" s="34"/>
      <c r="BG15" s="34"/>
      <c r="BH15" s="34"/>
      <c r="BI15" s="34"/>
      <c r="BJ15" s="190">
        <f>BJ14*0.85</f>
        <v>2176</v>
      </c>
    </row>
    <row r="16" spans="1:62" x14ac:dyDescent="0.3">
      <c r="A16" s="34"/>
      <c r="B16" s="86">
        <v>7</v>
      </c>
      <c r="C16" s="80"/>
      <c r="D16" s="86">
        <v>2</v>
      </c>
      <c r="E16" s="86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6"/>
      <c r="AQ16" s="162" t="str">
        <f t="shared" si="15"/>
        <v/>
      </c>
      <c r="AR16" s="162" t="str">
        <f t="shared" si="16"/>
        <v/>
      </c>
      <c r="AS16" s="162" t="str">
        <f t="shared" si="17"/>
        <v/>
      </c>
      <c r="AT16" s="209"/>
      <c r="AU16" s="80"/>
      <c r="AV16" s="80"/>
      <c r="AW16" s="80"/>
      <c r="AX16" s="83"/>
      <c r="AY16" s="210"/>
      <c r="AZ16" s="189"/>
      <c r="BA16" s="189"/>
      <c r="BB16" s="189"/>
      <c r="BC16" s="34"/>
      <c r="BD16" s="34"/>
      <c r="BE16" s="34"/>
      <c r="BF16" s="34"/>
      <c r="BG16" s="34"/>
      <c r="BH16" s="34"/>
      <c r="BI16" s="34"/>
      <c r="BJ16" s="190">
        <f>BJ15*0.4</f>
        <v>870.40000000000009</v>
      </c>
    </row>
    <row r="17" spans="1:62" x14ac:dyDescent="0.3">
      <c r="A17" s="34"/>
      <c r="B17" s="86">
        <v>8</v>
      </c>
      <c r="C17" s="80"/>
      <c r="D17" s="86">
        <v>3</v>
      </c>
      <c r="E17" s="86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162" t="str">
        <f t="shared" si="15"/>
        <v/>
      </c>
      <c r="AR17" s="162" t="str">
        <f t="shared" si="16"/>
        <v/>
      </c>
      <c r="AS17" s="162" t="str">
        <f t="shared" si="17"/>
        <v/>
      </c>
      <c r="AT17" s="209"/>
      <c r="AU17" s="80"/>
      <c r="AV17" s="80"/>
      <c r="AW17" s="80"/>
      <c r="AX17" s="83"/>
      <c r="AY17" s="83"/>
      <c r="AZ17" s="80"/>
      <c r="BA17" s="80"/>
      <c r="BB17" s="80"/>
      <c r="BC17" s="34"/>
      <c r="BD17" s="34"/>
      <c r="BE17" s="34"/>
      <c r="BF17" s="34"/>
      <c r="BG17" s="34"/>
      <c r="BH17" s="34"/>
      <c r="BI17" s="34"/>
      <c r="BJ17" s="190">
        <f>BJ15*0.6</f>
        <v>1305.5999999999999</v>
      </c>
    </row>
    <row r="18" spans="1:62" x14ac:dyDescent="0.3">
      <c r="A18" s="34"/>
      <c r="B18" s="86">
        <v>9</v>
      </c>
      <c r="C18" s="80"/>
      <c r="D18" s="86">
        <v>2</v>
      </c>
      <c r="E18" s="86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162" t="str">
        <f t="shared" si="15"/>
        <v/>
      </c>
      <c r="AR18" s="162" t="str">
        <f t="shared" si="16"/>
        <v/>
      </c>
      <c r="AS18" s="162" t="str">
        <f t="shared" si="17"/>
        <v/>
      </c>
      <c r="AT18" s="209"/>
      <c r="AU18" s="80"/>
      <c r="AV18" s="80"/>
      <c r="AW18" s="80"/>
      <c r="AX18" s="83"/>
      <c r="AY18" s="83"/>
      <c r="AZ18" s="80"/>
      <c r="BA18" s="80"/>
      <c r="BB18" s="80"/>
      <c r="BC18" s="34"/>
      <c r="BD18" s="34"/>
      <c r="BE18" s="34"/>
      <c r="BF18" s="34"/>
      <c r="BG18" s="34"/>
      <c r="BH18" s="34"/>
      <c r="BI18" s="34"/>
      <c r="BJ18" s="34"/>
    </row>
    <row r="19" spans="1:62" x14ac:dyDescent="0.3">
      <c r="A19" s="34"/>
      <c r="B19" s="86">
        <v>10</v>
      </c>
      <c r="C19" s="80"/>
      <c r="D19" s="86">
        <v>3</v>
      </c>
      <c r="E19" s="86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34"/>
      <c r="AM19" s="80"/>
      <c r="AN19" s="80"/>
      <c r="AO19" s="80"/>
      <c r="AP19" s="80"/>
      <c r="AQ19" s="162" t="str">
        <f t="shared" si="15"/>
        <v/>
      </c>
      <c r="AR19" s="162" t="str">
        <f t="shared" si="16"/>
        <v/>
      </c>
      <c r="AS19" s="162" t="str">
        <f t="shared" si="17"/>
        <v/>
      </c>
      <c r="AT19" s="209"/>
      <c r="AU19" s="80"/>
      <c r="AV19" s="80"/>
      <c r="AW19" s="80"/>
      <c r="AX19" s="83"/>
      <c r="AY19" s="83"/>
      <c r="AZ19" s="80"/>
      <c r="BA19" s="80"/>
      <c r="BB19" s="80"/>
      <c r="BC19" s="34"/>
      <c r="BD19" s="34"/>
      <c r="BE19" s="34"/>
      <c r="BF19" s="34"/>
      <c r="BG19" s="34"/>
      <c r="BH19" s="34"/>
      <c r="BI19" s="34"/>
      <c r="BJ19" s="34"/>
    </row>
    <row r="20" spans="1:62" x14ac:dyDescent="0.3">
      <c r="A20" s="34"/>
      <c r="B20" s="80"/>
      <c r="C20" s="80"/>
      <c r="D20" s="80"/>
      <c r="E20" s="86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162" t="str">
        <f t="shared" si="15"/>
        <v/>
      </c>
      <c r="AR20" s="162" t="str">
        <f t="shared" si="16"/>
        <v/>
      </c>
      <c r="AS20" s="162" t="str">
        <f t="shared" si="17"/>
        <v/>
      </c>
      <c r="AT20" s="209"/>
      <c r="AU20" s="80"/>
      <c r="AV20" s="80"/>
      <c r="AW20" s="80"/>
      <c r="AX20" s="83"/>
      <c r="AY20" s="83"/>
      <c r="AZ20" s="80"/>
      <c r="BA20" s="80"/>
      <c r="BB20" s="80"/>
      <c r="BC20" s="34"/>
      <c r="BD20" s="34"/>
      <c r="BE20" s="204">
        <f>AV14*$AU14</f>
        <v>471.08606991475006</v>
      </c>
      <c r="BF20" s="204">
        <f>AW14*$AU14</f>
        <v>200.51075647282676</v>
      </c>
      <c r="BG20" s="204">
        <f>AX14*$AU14</f>
        <v>2598.3247126863553</v>
      </c>
      <c r="BH20" s="34"/>
      <c r="BI20" s="34"/>
      <c r="BJ20" s="34"/>
    </row>
    <row r="21" spans="1:62" x14ac:dyDescent="0.3">
      <c r="A21" s="34"/>
      <c r="B21" s="80"/>
      <c r="C21" s="80"/>
      <c r="D21" s="80"/>
      <c r="E21" s="86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162" t="str">
        <f t="shared" si="15"/>
        <v/>
      </c>
      <c r="AR21" s="162" t="str">
        <f t="shared" si="16"/>
        <v/>
      </c>
      <c r="AS21" s="162" t="str">
        <f t="shared" si="17"/>
        <v/>
      </c>
      <c r="AT21" s="209"/>
      <c r="AU21" s="80"/>
      <c r="AV21" s="80"/>
      <c r="AW21" s="80"/>
      <c r="AX21" s="83"/>
      <c r="AY21" s="83"/>
      <c r="AZ21" s="80"/>
      <c r="BA21" s="80"/>
      <c r="BB21" s="80"/>
      <c r="BC21" s="34"/>
      <c r="BD21" s="34"/>
      <c r="BE21" s="34"/>
      <c r="BF21" s="34"/>
      <c r="BG21" s="34"/>
      <c r="BH21" s="34"/>
      <c r="BI21" s="34"/>
      <c r="BJ21" s="34"/>
    </row>
    <row r="22" spans="1:62" x14ac:dyDescent="0.3">
      <c r="A22" s="34"/>
      <c r="B22" s="80"/>
      <c r="C22" s="80"/>
      <c r="D22" s="80"/>
      <c r="E22" s="86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162" t="str">
        <f t="shared" si="15"/>
        <v/>
      </c>
      <c r="AR22" s="162" t="str">
        <f t="shared" si="16"/>
        <v/>
      </c>
      <c r="AS22" s="162" t="str">
        <f t="shared" si="17"/>
        <v/>
      </c>
      <c r="AT22" s="209"/>
      <c r="AU22" s="80"/>
      <c r="AV22" s="80"/>
      <c r="AW22" s="80"/>
      <c r="AX22" s="83"/>
      <c r="AY22" s="83"/>
      <c r="AZ22" s="80"/>
      <c r="BA22" s="80"/>
      <c r="BB22" s="80"/>
      <c r="BC22" s="34"/>
      <c r="BD22" s="34"/>
      <c r="BE22" s="203">
        <f>SUM(BE20:BG20)/AU14</f>
        <v>3269.9215390739319</v>
      </c>
      <c r="BF22" s="34"/>
      <c r="BG22" s="34"/>
      <c r="BH22" s="34"/>
      <c r="BI22" s="34"/>
      <c r="BJ22" s="34"/>
    </row>
    <row r="23" spans="1:62" x14ac:dyDescent="0.3">
      <c r="A23" s="34"/>
      <c r="B23" s="80"/>
      <c r="C23" s="80"/>
      <c r="D23" s="80"/>
      <c r="E23" s="86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162" t="str">
        <f t="shared" si="15"/>
        <v/>
      </c>
      <c r="AR23" s="162" t="str">
        <f t="shared" si="16"/>
        <v/>
      </c>
      <c r="AS23" s="162" t="str">
        <f t="shared" si="17"/>
        <v/>
      </c>
      <c r="AT23" s="209"/>
      <c r="AU23" s="80"/>
      <c r="AV23" s="80"/>
      <c r="AW23" s="80"/>
      <c r="AX23" s="83"/>
      <c r="AY23" s="83"/>
      <c r="AZ23" s="80"/>
      <c r="BA23" s="80"/>
      <c r="BB23" s="80"/>
      <c r="BC23" s="34"/>
      <c r="BD23" s="34"/>
      <c r="BE23" s="34"/>
      <c r="BF23" s="34"/>
      <c r="BG23" s="34"/>
      <c r="BH23" s="34"/>
      <c r="BI23" s="34"/>
      <c r="BJ23" s="34"/>
    </row>
    <row r="24" spans="1:62" x14ac:dyDescent="0.3">
      <c r="A24" s="34"/>
      <c r="B24" s="80"/>
      <c r="C24" s="80"/>
      <c r="D24" s="80"/>
      <c r="E24" s="86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34"/>
      <c r="AJ24" s="80"/>
      <c r="AK24" s="80"/>
      <c r="AL24" s="80"/>
      <c r="AM24" s="80"/>
      <c r="AN24" s="80"/>
      <c r="AO24" s="80"/>
      <c r="AP24" s="80"/>
      <c r="AQ24" s="162" t="str">
        <f t="shared" si="15"/>
        <v/>
      </c>
      <c r="AR24" s="162" t="str">
        <f t="shared" si="16"/>
        <v/>
      </c>
      <c r="AS24" s="162" t="str">
        <f t="shared" si="17"/>
        <v/>
      </c>
      <c r="AT24" s="209"/>
      <c r="AU24" s="80"/>
      <c r="AV24" s="80"/>
      <c r="AW24" s="80"/>
      <c r="AX24" s="83"/>
      <c r="AY24" s="83"/>
      <c r="AZ24" s="80"/>
      <c r="BA24" s="80"/>
      <c r="BB24" s="80"/>
      <c r="BC24" s="34"/>
      <c r="BD24" s="34"/>
      <c r="BE24" s="34"/>
      <c r="BF24" s="34"/>
      <c r="BG24" s="34"/>
      <c r="BH24" s="34"/>
      <c r="BI24" s="34"/>
      <c r="BJ24" s="34"/>
    </row>
    <row r="25" spans="1:62" x14ac:dyDescent="0.3">
      <c r="A25" s="34"/>
      <c r="B25" s="80"/>
      <c r="C25" s="80"/>
      <c r="D25" s="80"/>
      <c r="E25" s="86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 t="s">
        <v>314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162" t="str">
        <f t="shared" si="15"/>
        <v/>
      </c>
      <c r="AR25" s="162" t="str">
        <f t="shared" si="16"/>
        <v/>
      </c>
      <c r="AS25" s="162" t="str">
        <f t="shared" si="17"/>
        <v/>
      </c>
      <c r="AT25" s="209"/>
      <c r="AU25" s="80"/>
      <c r="AV25" s="80"/>
      <c r="AW25" s="80"/>
      <c r="AX25" s="83"/>
      <c r="AY25" s="83"/>
      <c r="AZ25" s="80"/>
      <c r="BA25" s="80"/>
      <c r="BB25" s="80"/>
      <c r="BC25" s="34"/>
      <c r="BD25" s="34"/>
      <c r="BE25" s="34"/>
      <c r="BF25" s="34"/>
      <c r="BG25" s="34"/>
      <c r="BH25" s="34"/>
      <c r="BI25" s="34"/>
      <c r="BJ25" s="34"/>
    </row>
    <row r="26" spans="1:62" x14ac:dyDescent="0.3">
      <c r="A26" s="34"/>
      <c r="B26" s="80"/>
      <c r="C26" s="80"/>
      <c r="D26" s="80"/>
      <c r="E26" s="86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162" t="str">
        <f t="shared" si="15"/>
        <v/>
      </c>
      <c r="AR26" s="162" t="str">
        <f t="shared" si="16"/>
        <v/>
      </c>
      <c r="AS26" s="162" t="str">
        <f t="shared" si="17"/>
        <v/>
      </c>
      <c r="AT26" s="209"/>
      <c r="AU26" s="80"/>
      <c r="AV26" s="80"/>
      <c r="AW26" s="80"/>
      <c r="AX26" s="83"/>
      <c r="AY26" s="83"/>
      <c r="AZ26" s="80"/>
      <c r="BA26" s="80"/>
      <c r="BB26" s="80"/>
      <c r="BC26" s="34"/>
      <c r="BD26" s="34"/>
      <c r="BE26" s="34"/>
      <c r="BF26" s="34"/>
      <c r="BG26" s="34"/>
      <c r="BH26" s="34"/>
      <c r="BI26" s="34"/>
      <c r="BJ26" s="34"/>
    </row>
    <row r="27" spans="1:62" x14ac:dyDescent="0.3">
      <c r="A27" s="34"/>
      <c r="B27" s="80"/>
      <c r="C27" s="80"/>
      <c r="D27" s="80"/>
      <c r="E27" s="86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162" t="str">
        <f t="shared" si="15"/>
        <v/>
      </c>
      <c r="AR27" s="162" t="str">
        <f t="shared" si="16"/>
        <v/>
      </c>
      <c r="AS27" s="162" t="str">
        <f t="shared" si="17"/>
        <v/>
      </c>
      <c r="AT27" s="209"/>
      <c r="AU27" s="80"/>
      <c r="AV27" s="80"/>
      <c r="AW27" s="80"/>
      <c r="AX27" s="83"/>
      <c r="AY27" s="83"/>
      <c r="AZ27" s="80"/>
      <c r="BA27" s="80"/>
      <c r="BB27" s="80"/>
      <c r="BC27" s="34"/>
      <c r="BD27" s="34"/>
      <c r="BE27" s="34"/>
      <c r="BF27" s="34"/>
      <c r="BG27" s="34"/>
      <c r="BH27" s="34"/>
      <c r="BI27" s="34"/>
      <c r="BJ27" s="34"/>
    </row>
    <row r="28" spans="1:62" x14ac:dyDescent="0.3">
      <c r="A28" s="34"/>
      <c r="B28" s="80"/>
      <c r="C28" s="80"/>
      <c r="D28" s="80"/>
      <c r="E28" s="86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162" t="str">
        <f t="shared" si="15"/>
        <v/>
      </c>
      <c r="AR28" s="162" t="str">
        <f t="shared" si="16"/>
        <v/>
      </c>
      <c r="AS28" s="162" t="str">
        <f t="shared" si="17"/>
        <v/>
      </c>
      <c r="AT28" s="209"/>
      <c r="AU28" s="80"/>
      <c r="AV28" s="80"/>
      <c r="AW28" s="80"/>
      <c r="AX28" s="83"/>
      <c r="AY28" s="83"/>
      <c r="AZ28" s="80"/>
      <c r="BA28" s="80"/>
      <c r="BB28" s="80"/>
      <c r="BC28" s="34"/>
      <c r="BD28" s="34"/>
      <c r="BE28" s="34"/>
      <c r="BF28" s="34"/>
      <c r="BG28" s="34"/>
      <c r="BH28" s="34"/>
      <c r="BI28" s="34"/>
      <c r="BJ28" s="34"/>
    </row>
    <row r="29" spans="1:62" x14ac:dyDescent="0.3">
      <c r="A29" s="34"/>
      <c r="B29" s="80"/>
      <c r="C29" s="80"/>
      <c r="D29" s="80"/>
      <c r="E29" s="86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162" t="str">
        <f t="shared" si="15"/>
        <v/>
      </c>
      <c r="AR29" s="162" t="str">
        <f t="shared" si="16"/>
        <v/>
      </c>
      <c r="AS29" s="162" t="str">
        <f t="shared" si="17"/>
        <v/>
      </c>
      <c r="AT29" s="209"/>
      <c r="AU29" s="80"/>
      <c r="AV29" s="80"/>
      <c r="AW29" s="80"/>
      <c r="AX29" s="83"/>
      <c r="AY29" s="83"/>
      <c r="AZ29" s="80"/>
      <c r="BA29" s="80"/>
      <c r="BB29" s="80"/>
      <c r="BC29" s="34"/>
      <c r="BD29" s="34"/>
      <c r="BE29" s="34"/>
      <c r="BF29" s="34"/>
      <c r="BG29" s="34"/>
      <c r="BH29" s="34"/>
      <c r="BI29" s="34"/>
      <c r="BJ29" s="34"/>
    </row>
    <row r="30" spans="1:62" x14ac:dyDescent="0.3">
      <c r="A30" s="34"/>
      <c r="B30" s="80"/>
      <c r="C30" s="80"/>
      <c r="D30" s="80"/>
      <c r="E30" s="86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162" t="str">
        <f t="shared" si="15"/>
        <v/>
      </c>
      <c r="AR30" s="162" t="str">
        <f t="shared" si="16"/>
        <v/>
      </c>
      <c r="AS30" s="162" t="str">
        <f t="shared" si="17"/>
        <v/>
      </c>
      <c r="AT30" s="209"/>
      <c r="AU30" s="80"/>
      <c r="AV30" s="80"/>
      <c r="AW30" s="80"/>
      <c r="AX30" s="83"/>
      <c r="AY30" s="83"/>
      <c r="AZ30" s="80"/>
      <c r="BA30" s="80"/>
      <c r="BB30" s="80"/>
      <c r="BC30" s="34"/>
      <c r="BD30" s="34"/>
      <c r="BE30" s="34"/>
      <c r="BF30" s="34"/>
      <c r="BG30" s="34"/>
      <c r="BH30" s="34"/>
      <c r="BI30" s="34"/>
      <c r="BJ30" s="34"/>
    </row>
    <row r="31" spans="1:62" x14ac:dyDescent="0.3">
      <c r="A31" s="34"/>
      <c r="B31" s="80"/>
      <c r="C31" s="80"/>
      <c r="D31" s="80"/>
      <c r="E31" s="86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162" t="str">
        <f t="shared" si="15"/>
        <v/>
      </c>
      <c r="AR31" s="162" t="str">
        <f t="shared" si="16"/>
        <v/>
      </c>
      <c r="AS31" s="162" t="str">
        <f t="shared" si="17"/>
        <v/>
      </c>
      <c r="AT31" s="209"/>
      <c r="AU31" s="80"/>
      <c r="AV31" s="80"/>
      <c r="AW31" s="80"/>
      <c r="AX31" s="83"/>
      <c r="AY31" s="83"/>
      <c r="AZ31" s="80"/>
      <c r="BA31" s="80"/>
      <c r="BB31" s="80"/>
      <c r="BC31" s="34"/>
      <c r="BD31" s="34"/>
      <c r="BE31" s="34"/>
      <c r="BF31" s="34"/>
      <c r="BG31" s="34"/>
      <c r="BH31" s="34"/>
      <c r="BI31" s="34"/>
      <c r="BJ31" s="34"/>
    </row>
    <row r="32" spans="1:62" x14ac:dyDescent="0.3">
      <c r="A32" s="34"/>
      <c r="B32" s="80"/>
      <c r="C32" s="80"/>
      <c r="D32" s="80"/>
      <c r="E32" s="86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162" t="str">
        <f t="shared" si="15"/>
        <v/>
      </c>
      <c r="AR32" s="162" t="str">
        <f t="shared" si="16"/>
        <v/>
      </c>
      <c r="AS32" s="162" t="str">
        <f t="shared" si="17"/>
        <v/>
      </c>
      <c r="AT32" s="209"/>
      <c r="AU32" s="80"/>
      <c r="AV32" s="80"/>
      <c r="AW32" s="80"/>
      <c r="AX32" s="83"/>
      <c r="AY32" s="83"/>
      <c r="AZ32" s="80"/>
      <c r="BA32" s="80"/>
      <c r="BB32" s="80"/>
      <c r="BC32" s="34"/>
      <c r="BD32" s="34"/>
      <c r="BE32" s="34"/>
      <c r="BF32" s="34"/>
      <c r="BG32" s="34"/>
      <c r="BH32" s="34"/>
      <c r="BI32" s="34"/>
      <c r="BJ32" s="34"/>
    </row>
    <row r="33" spans="1:62" x14ac:dyDescent="0.3">
      <c r="A33" s="34"/>
      <c r="B33" s="80"/>
      <c r="C33" s="80"/>
      <c r="D33" s="80"/>
      <c r="E33" s="86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162" t="str">
        <f t="shared" si="15"/>
        <v/>
      </c>
      <c r="AR33" s="162" t="str">
        <f t="shared" si="16"/>
        <v/>
      </c>
      <c r="AS33" s="162" t="str">
        <f t="shared" si="17"/>
        <v/>
      </c>
      <c r="AT33" s="209"/>
      <c r="AU33" s="80"/>
      <c r="AV33" s="80"/>
      <c r="AW33" s="80"/>
      <c r="AX33" s="83"/>
      <c r="AY33" s="83"/>
      <c r="AZ33" s="80"/>
      <c r="BA33" s="80"/>
      <c r="BB33" s="80"/>
      <c r="BC33" s="34"/>
      <c r="BD33" s="34"/>
      <c r="BE33" s="34"/>
      <c r="BF33" s="34"/>
      <c r="BG33" s="34"/>
      <c r="BH33" s="34"/>
      <c r="BI33" s="34"/>
      <c r="BJ33" s="34"/>
    </row>
    <row r="34" spans="1:62" x14ac:dyDescent="0.3">
      <c r="A34" s="34"/>
      <c r="B34" s="80"/>
      <c r="C34" s="80"/>
      <c r="D34" s="80"/>
      <c r="E34" s="86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162" t="str">
        <f t="shared" si="15"/>
        <v/>
      </c>
      <c r="AR34" s="162" t="str">
        <f t="shared" si="16"/>
        <v/>
      </c>
      <c r="AS34" s="162" t="str">
        <f t="shared" si="17"/>
        <v/>
      </c>
      <c r="AT34" s="209"/>
      <c r="AU34" s="80"/>
      <c r="AV34" s="80"/>
      <c r="AW34" s="80"/>
      <c r="AX34" s="83"/>
      <c r="AY34" s="83"/>
      <c r="AZ34" s="80"/>
      <c r="BA34" s="80"/>
      <c r="BB34" s="80"/>
      <c r="BC34" s="34"/>
      <c r="BD34" s="34"/>
      <c r="BE34" s="34"/>
      <c r="BF34" s="34"/>
      <c r="BG34" s="34"/>
      <c r="BH34" s="34"/>
      <c r="BI34" s="34"/>
      <c r="BJ34" s="34"/>
    </row>
    <row r="35" spans="1:62" x14ac:dyDescent="0.3">
      <c r="A35" s="34"/>
      <c r="B35" s="80"/>
      <c r="C35" s="80"/>
      <c r="D35" s="80"/>
      <c r="E35" s="86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162" t="str">
        <f t="shared" si="15"/>
        <v/>
      </c>
      <c r="AR35" s="162" t="str">
        <f t="shared" si="16"/>
        <v/>
      </c>
      <c r="AS35" s="162" t="str">
        <f t="shared" si="17"/>
        <v/>
      </c>
      <c r="AT35" s="209"/>
      <c r="AU35" s="80"/>
      <c r="AV35" s="80"/>
      <c r="AW35" s="80"/>
      <c r="AX35" s="83"/>
      <c r="AY35" s="83"/>
      <c r="AZ35" s="80"/>
      <c r="BA35" s="80"/>
      <c r="BB35" s="80"/>
      <c r="BC35" s="34"/>
      <c r="BD35" s="34"/>
      <c r="BE35" s="34"/>
      <c r="BF35" s="34"/>
      <c r="BG35" s="34"/>
      <c r="BH35" s="34"/>
      <c r="BI35" s="34"/>
      <c r="BJ35" s="34"/>
    </row>
    <row r="36" spans="1:62" x14ac:dyDescent="0.3">
      <c r="A36" s="34"/>
      <c r="B36" s="80"/>
      <c r="C36" s="80"/>
      <c r="D36" s="80"/>
      <c r="E36" s="86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162" t="str">
        <f t="shared" si="15"/>
        <v/>
      </c>
      <c r="AR36" s="162" t="str">
        <f t="shared" si="16"/>
        <v/>
      </c>
      <c r="AS36" s="162" t="str">
        <f t="shared" si="17"/>
        <v/>
      </c>
      <c r="AT36" s="209"/>
      <c r="AU36" s="80"/>
      <c r="AV36" s="80"/>
      <c r="AW36" s="80"/>
      <c r="AX36" s="83"/>
      <c r="AY36" s="83"/>
      <c r="AZ36" s="80"/>
      <c r="BA36" s="80"/>
      <c r="BB36" s="80"/>
      <c r="BC36" s="34"/>
      <c r="BD36" s="34"/>
      <c r="BE36" s="34"/>
      <c r="BF36" s="34"/>
      <c r="BG36" s="34"/>
      <c r="BH36" s="34"/>
      <c r="BI36" s="34"/>
      <c r="BJ36" s="34"/>
    </row>
    <row r="37" spans="1:62" x14ac:dyDescent="0.3">
      <c r="A37" s="34"/>
      <c r="B37" s="80"/>
      <c r="C37" s="80"/>
      <c r="D37" s="80"/>
      <c r="E37" s="86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162" t="str">
        <f t="shared" si="15"/>
        <v/>
      </c>
      <c r="AR37" s="162" t="str">
        <f t="shared" si="16"/>
        <v/>
      </c>
      <c r="AS37" s="162" t="str">
        <f t="shared" si="17"/>
        <v/>
      </c>
      <c r="AT37" s="209"/>
      <c r="AU37" s="80"/>
      <c r="AV37" s="80"/>
      <c r="AW37" s="80"/>
      <c r="AX37" s="83"/>
      <c r="AY37" s="83"/>
      <c r="AZ37" s="80"/>
      <c r="BA37" s="80"/>
      <c r="BB37" s="80"/>
      <c r="BC37" s="34"/>
      <c r="BD37" s="34"/>
      <c r="BE37" s="34"/>
      <c r="BF37" s="34"/>
      <c r="BG37" s="34"/>
      <c r="BH37" s="34"/>
      <c r="BI37" s="34"/>
      <c r="BJ37" s="34"/>
    </row>
    <row r="38" spans="1:62" x14ac:dyDescent="0.3">
      <c r="A38" s="34"/>
      <c r="B38" s="80"/>
      <c r="C38" s="80"/>
      <c r="D38" s="80"/>
      <c r="E38" s="86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162" t="str">
        <f t="shared" si="15"/>
        <v/>
      </c>
      <c r="AR38" s="162" t="str">
        <f t="shared" si="16"/>
        <v/>
      </c>
      <c r="AS38" s="162" t="str">
        <f t="shared" si="17"/>
        <v/>
      </c>
      <c r="AT38" s="209"/>
      <c r="AU38" s="80"/>
      <c r="AV38" s="80"/>
      <c r="AW38" s="80"/>
      <c r="AX38" s="83"/>
      <c r="AY38" s="83"/>
      <c r="AZ38" s="80"/>
      <c r="BA38" s="80"/>
      <c r="BB38" s="80"/>
      <c r="BC38" s="34"/>
      <c r="BD38" s="34"/>
      <c r="BE38" s="34"/>
      <c r="BF38" s="34"/>
      <c r="BG38" s="34"/>
      <c r="BH38" s="34"/>
      <c r="BI38" s="34"/>
      <c r="BJ38" s="34"/>
    </row>
    <row r="39" spans="1:62" x14ac:dyDescent="0.3">
      <c r="A39" s="34"/>
      <c r="B39" s="80"/>
      <c r="C39" s="80"/>
      <c r="D39" s="80"/>
      <c r="E39" s="86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162" t="str">
        <f t="shared" si="15"/>
        <v/>
      </c>
      <c r="AR39" s="162" t="str">
        <f t="shared" si="16"/>
        <v/>
      </c>
      <c r="AS39" s="162" t="str">
        <f t="shared" si="17"/>
        <v/>
      </c>
      <c r="AT39" s="209"/>
      <c r="AU39" s="80"/>
      <c r="AV39" s="80"/>
      <c r="AW39" s="80"/>
      <c r="AX39" s="83"/>
      <c r="AY39" s="83"/>
      <c r="AZ39" s="80"/>
      <c r="BA39" s="80"/>
      <c r="BB39" s="80"/>
      <c r="BC39" s="34"/>
      <c r="BD39" s="34"/>
      <c r="BE39" s="34"/>
      <c r="BF39" s="34"/>
      <c r="BG39" s="34"/>
      <c r="BH39" s="34"/>
      <c r="BI39" s="34"/>
      <c r="BJ39" s="34"/>
    </row>
    <row r="40" spans="1:62" x14ac:dyDescent="0.3">
      <c r="A40" s="34"/>
      <c r="B40" s="80"/>
      <c r="C40" s="80"/>
      <c r="D40" s="80"/>
      <c r="E40" s="86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162" t="str">
        <f t="shared" si="15"/>
        <v/>
      </c>
      <c r="AR40" s="162" t="str">
        <f t="shared" si="16"/>
        <v/>
      </c>
      <c r="AS40" s="162" t="str">
        <f t="shared" si="17"/>
        <v/>
      </c>
      <c r="AT40" s="209"/>
      <c r="AU40" s="80"/>
      <c r="AV40" s="80"/>
      <c r="AW40" s="80"/>
      <c r="AX40" s="83"/>
      <c r="AY40" s="83"/>
      <c r="AZ40" s="80"/>
      <c r="BA40" s="80"/>
      <c r="BB40" s="80"/>
      <c r="BC40" s="34"/>
      <c r="BD40" s="34"/>
      <c r="BE40" s="34"/>
      <c r="BF40" s="34"/>
      <c r="BG40" s="34"/>
      <c r="BH40" s="34"/>
      <c r="BI40" s="34"/>
      <c r="BJ40" s="34"/>
    </row>
    <row r="41" spans="1:62" x14ac:dyDescent="0.3">
      <c r="A41" s="34"/>
      <c r="B41" s="80"/>
      <c r="C41" s="80"/>
      <c r="D41" s="80"/>
      <c r="E41" s="86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162" t="str">
        <f t="shared" si="15"/>
        <v/>
      </c>
      <c r="AR41" s="162" t="str">
        <f t="shared" si="16"/>
        <v/>
      </c>
      <c r="AS41" s="162" t="str">
        <f t="shared" si="17"/>
        <v/>
      </c>
      <c r="AT41" s="209"/>
      <c r="AU41" s="80"/>
      <c r="AV41" s="80"/>
      <c r="AW41" s="80"/>
      <c r="AX41" s="83"/>
      <c r="AY41" s="83"/>
      <c r="AZ41" s="80"/>
      <c r="BA41" s="80"/>
      <c r="BB41" s="80"/>
      <c r="BC41" s="34"/>
      <c r="BD41" s="34"/>
      <c r="BE41" s="34"/>
      <c r="BF41" s="34"/>
      <c r="BG41" s="34"/>
      <c r="BH41" s="34"/>
      <c r="BI41" s="34"/>
      <c r="BJ41" s="34"/>
    </row>
    <row r="42" spans="1:62" x14ac:dyDescent="0.3">
      <c r="A42" s="34"/>
      <c r="B42" s="80"/>
      <c r="C42" s="80"/>
      <c r="D42" s="80"/>
      <c r="E42" s="86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162" t="str">
        <f t="shared" si="15"/>
        <v/>
      </c>
      <c r="AR42" s="162" t="str">
        <f t="shared" si="16"/>
        <v/>
      </c>
      <c r="AS42" s="162" t="str">
        <f t="shared" si="17"/>
        <v/>
      </c>
      <c r="AT42" s="209"/>
      <c r="AU42" s="80"/>
      <c r="AV42" s="80"/>
      <c r="AW42" s="80"/>
      <c r="AX42" s="83"/>
      <c r="AY42" s="83"/>
      <c r="AZ42" s="80"/>
      <c r="BA42" s="80"/>
      <c r="BB42" s="80"/>
      <c r="BC42" s="34"/>
      <c r="BD42" s="34"/>
      <c r="BE42" s="34"/>
      <c r="BF42" s="34"/>
      <c r="BG42" s="34"/>
      <c r="BH42" s="34"/>
      <c r="BI42" s="34"/>
      <c r="BJ42" s="34"/>
    </row>
    <row r="43" spans="1:62" x14ac:dyDescent="0.3">
      <c r="A43" s="34"/>
      <c r="B43" s="80"/>
      <c r="C43" s="80"/>
      <c r="D43" s="80"/>
      <c r="E43" s="86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162" t="str">
        <f t="shared" si="15"/>
        <v/>
      </c>
      <c r="AR43" s="162" t="str">
        <f t="shared" si="16"/>
        <v/>
      </c>
      <c r="AS43" s="162" t="str">
        <f t="shared" si="17"/>
        <v/>
      </c>
      <c r="AT43" s="209"/>
      <c r="AU43" s="80"/>
      <c r="AV43" s="80"/>
      <c r="AW43" s="80"/>
      <c r="AX43" s="83"/>
      <c r="AY43" s="83"/>
      <c r="AZ43" s="80"/>
      <c r="BA43" s="80"/>
      <c r="BB43" s="80"/>
      <c r="BC43" s="34"/>
      <c r="BD43" s="34"/>
      <c r="BE43" s="34"/>
      <c r="BF43" s="34"/>
      <c r="BG43" s="34"/>
      <c r="BH43" s="34"/>
      <c r="BI43" s="34"/>
      <c r="BJ43" s="34"/>
    </row>
    <row r="44" spans="1:62" x14ac:dyDescent="0.3">
      <c r="A44" s="34"/>
      <c r="B44" s="80"/>
      <c r="C44" s="80"/>
      <c r="D44" s="80"/>
      <c r="E44" s="86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162" t="str">
        <f t="shared" si="15"/>
        <v/>
      </c>
      <c r="AR44" s="162" t="str">
        <f t="shared" si="16"/>
        <v/>
      </c>
      <c r="AS44" s="162" t="str">
        <f t="shared" si="17"/>
        <v/>
      </c>
      <c r="AT44" s="209"/>
      <c r="AU44" s="80"/>
      <c r="AV44" s="80"/>
      <c r="AW44" s="80"/>
      <c r="AX44" s="83"/>
      <c r="AY44" s="83"/>
      <c r="AZ44" s="80"/>
      <c r="BA44" s="80"/>
      <c r="BB44" s="80"/>
      <c r="BC44" s="34"/>
      <c r="BD44" s="34"/>
      <c r="BE44" s="34"/>
      <c r="BF44" s="34"/>
      <c r="BG44" s="34"/>
      <c r="BH44" s="34"/>
      <c r="BI44" s="34"/>
      <c r="BJ44" s="34"/>
    </row>
    <row r="45" spans="1:62" x14ac:dyDescent="0.3">
      <c r="A45" s="34"/>
      <c r="B45" s="80"/>
      <c r="C45" s="80"/>
      <c r="D45" s="80"/>
      <c r="E45" s="86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162" t="str">
        <f t="shared" si="15"/>
        <v/>
      </c>
      <c r="AR45" s="162" t="str">
        <f t="shared" si="16"/>
        <v/>
      </c>
      <c r="AS45" s="162" t="str">
        <f t="shared" si="17"/>
        <v/>
      </c>
      <c r="AT45" s="209"/>
      <c r="AU45" s="80"/>
      <c r="AV45" s="80"/>
      <c r="AW45" s="80"/>
      <c r="AX45" s="83"/>
      <c r="AY45" s="83"/>
      <c r="AZ45" s="80"/>
      <c r="BA45" s="80"/>
      <c r="BB45" s="80"/>
      <c r="BC45" s="34"/>
      <c r="BD45" s="34"/>
      <c r="BE45" s="34"/>
      <c r="BF45" s="34"/>
      <c r="BG45" s="34"/>
      <c r="BH45" s="34"/>
      <c r="BI45" s="34"/>
      <c r="BJ45" s="34"/>
    </row>
    <row r="46" spans="1:62" x14ac:dyDescent="0.3">
      <c r="A46" s="34"/>
      <c r="B46" s="80"/>
      <c r="C46" s="80"/>
      <c r="D46" s="80"/>
      <c r="E46" s="86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162" t="str">
        <f t="shared" si="15"/>
        <v/>
      </c>
      <c r="AR46" s="162" t="str">
        <f t="shared" si="16"/>
        <v/>
      </c>
      <c r="AS46" s="162" t="str">
        <f t="shared" si="17"/>
        <v/>
      </c>
      <c r="AT46" s="209"/>
      <c r="AU46" s="80"/>
      <c r="AV46" s="80"/>
      <c r="AW46" s="80"/>
      <c r="AX46" s="83"/>
      <c r="AY46" s="83"/>
      <c r="AZ46" s="80"/>
      <c r="BA46" s="80"/>
      <c r="BB46" s="80"/>
      <c r="BC46" s="34"/>
      <c r="BD46" s="34"/>
      <c r="BE46" s="34"/>
      <c r="BF46" s="34"/>
      <c r="BG46" s="34"/>
      <c r="BH46" s="34"/>
      <c r="BI46" s="34"/>
      <c r="BJ46" s="34"/>
    </row>
    <row r="47" spans="1:62" x14ac:dyDescent="0.3">
      <c r="A47" s="34"/>
      <c r="B47" s="80"/>
      <c r="C47" s="80"/>
      <c r="D47" s="80"/>
      <c r="E47" s="86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162" t="str">
        <f t="shared" si="15"/>
        <v/>
      </c>
      <c r="AR47" s="162" t="str">
        <f t="shared" si="16"/>
        <v/>
      </c>
      <c r="AS47" s="162" t="str">
        <f t="shared" si="17"/>
        <v/>
      </c>
      <c r="AT47" s="209"/>
      <c r="AU47" s="80"/>
      <c r="AV47" s="80"/>
      <c r="AW47" s="80"/>
      <c r="AX47" s="83"/>
      <c r="AY47" s="83"/>
      <c r="AZ47" s="80"/>
      <c r="BA47" s="80"/>
      <c r="BB47" s="80"/>
      <c r="BC47" s="34"/>
      <c r="BD47" s="34"/>
      <c r="BE47" s="34"/>
      <c r="BF47" s="34"/>
      <c r="BG47" s="34"/>
      <c r="BH47" s="34"/>
      <c r="BI47" s="34"/>
      <c r="BJ47" s="34"/>
    </row>
    <row r="48" spans="1:62" x14ac:dyDescent="0.3">
      <c r="A48" s="34"/>
      <c r="B48" s="80"/>
      <c r="C48" s="80"/>
      <c r="D48" s="80"/>
      <c r="E48" s="86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162" t="str">
        <f t="shared" si="15"/>
        <v/>
      </c>
      <c r="AR48" s="162" t="str">
        <f t="shared" si="16"/>
        <v/>
      </c>
      <c r="AS48" s="162" t="str">
        <f t="shared" si="17"/>
        <v/>
      </c>
      <c r="AT48" s="209"/>
      <c r="AU48" s="80"/>
      <c r="AV48" s="80"/>
      <c r="AW48" s="80"/>
      <c r="AX48" s="83"/>
      <c r="AY48" s="83"/>
      <c r="AZ48" s="80"/>
      <c r="BA48" s="80"/>
      <c r="BB48" s="80"/>
      <c r="BC48" s="34"/>
      <c r="BD48" s="34"/>
      <c r="BE48" s="34"/>
      <c r="BF48" s="34"/>
      <c r="BG48" s="34"/>
      <c r="BH48" s="34"/>
      <c r="BI48" s="34"/>
      <c r="BJ48" s="34"/>
    </row>
    <row r="49" spans="1:62" x14ac:dyDescent="0.3">
      <c r="A49" s="34"/>
      <c r="B49" s="80"/>
      <c r="C49" s="80"/>
      <c r="D49" s="80"/>
      <c r="E49" s="86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162" t="str">
        <f t="shared" si="15"/>
        <v/>
      </c>
      <c r="AR49" s="162" t="str">
        <f t="shared" si="16"/>
        <v/>
      </c>
      <c r="AS49" s="162" t="str">
        <f t="shared" si="17"/>
        <v/>
      </c>
      <c r="AT49" s="209"/>
      <c r="AU49" s="80"/>
      <c r="AV49" s="80"/>
      <c r="AW49" s="80"/>
      <c r="AX49" s="83"/>
      <c r="AY49" s="83"/>
      <c r="AZ49" s="80"/>
      <c r="BA49" s="80"/>
      <c r="BB49" s="80"/>
      <c r="BC49" s="34"/>
      <c r="BD49" s="34"/>
      <c r="BE49" s="34"/>
      <c r="BF49" s="34"/>
      <c r="BG49" s="34"/>
      <c r="BH49" s="34"/>
      <c r="BI49" s="34"/>
      <c r="BJ49" s="34"/>
    </row>
    <row r="50" spans="1:62" x14ac:dyDescent="0.3">
      <c r="A50" s="34"/>
      <c r="B50" s="80"/>
      <c r="C50" s="80"/>
      <c r="D50" s="80"/>
      <c r="E50" s="86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162" t="str">
        <f t="shared" si="15"/>
        <v/>
      </c>
      <c r="AR50" s="162" t="str">
        <f t="shared" si="16"/>
        <v/>
      </c>
      <c r="AS50" s="162" t="str">
        <f t="shared" si="17"/>
        <v/>
      </c>
      <c r="AT50" s="209"/>
      <c r="AU50" s="80"/>
      <c r="AV50" s="80"/>
      <c r="AW50" s="80"/>
      <c r="AX50" s="83"/>
      <c r="AY50" s="83"/>
      <c r="AZ50" s="80"/>
      <c r="BA50" s="80"/>
      <c r="BB50" s="80"/>
      <c r="BC50" s="34"/>
      <c r="BD50" s="34"/>
      <c r="BE50" s="34"/>
      <c r="BF50" s="34"/>
      <c r="BG50" s="34"/>
      <c r="BH50" s="34"/>
      <c r="BI50" s="34"/>
      <c r="BJ50" s="34"/>
    </row>
    <row r="51" spans="1:62" x14ac:dyDescent="0.3">
      <c r="A51" s="34"/>
      <c r="B51" s="80"/>
      <c r="C51" s="80"/>
      <c r="D51" s="80"/>
      <c r="E51" s="86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162" t="str">
        <f t="shared" si="15"/>
        <v/>
      </c>
      <c r="AR51" s="162" t="str">
        <f t="shared" si="16"/>
        <v/>
      </c>
      <c r="AS51" s="162" t="str">
        <f t="shared" si="17"/>
        <v/>
      </c>
      <c r="AT51" s="209"/>
      <c r="AU51" s="80"/>
      <c r="AV51" s="80"/>
      <c r="AW51" s="80"/>
      <c r="AX51" s="83"/>
      <c r="AY51" s="83"/>
      <c r="AZ51" s="80"/>
      <c r="BA51" s="80"/>
      <c r="BB51" s="80"/>
      <c r="BC51" s="34"/>
      <c r="BD51" s="34"/>
      <c r="BE51" s="34"/>
      <c r="BF51" s="34"/>
      <c r="BG51" s="34"/>
      <c r="BH51" s="34"/>
      <c r="BI51" s="34"/>
      <c r="BJ51" s="34"/>
    </row>
    <row r="52" spans="1:62" x14ac:dyDescent="0.3">
      <c r="A52" s="34"/>
      <c r="B52" s="80"/>
      <c r="C52" s="80"/>
      <c r="D52" s="80"/>
      <c r="E52" s="86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162" t="str">
        <f t="shared" si="15"/>
        <v/>
      </c>
      <c r="AR52" s="162" t="str">
        <f t="shared" si="16"/>
        <v/>
      </c>
      <c r="AS52" s="162" t="str">
        <f t="shared" si="17"/>
        <v/>
      </c>
      <c r="AT52" s="209"/>
      <c r="AU52" s="80"/>
      <c r="AV52" s="80"/>
      <c r="AW52" s="80"/>
      <c r="AX52" s="83"/>
      <c r="AY52" s="83"/>
      <c r="AZ52" s="80"/>
      <c r="BA52" s="80"/>
      <c r="BB52" s="80"/>
      <c r="BC52" s="34"/>
      <c r="BD52" s="34"/>
      <c r="BE52" s="34"/>
      <c r="BF52" s="34"/>
      <c r="BG52" s="34"/>
      <c r="BH52" s="34"/>
      <c r="BI52" s="34"/>
      <c r="BJ52" s="34"/>
    </row>
    <row r="53" spans="1:62" x14ac:dyDescent="0.3">
      <c r="A53" s="34"/>
      <c r="B53" s="80"/>
      <c r="C53" s="80"/>
      <c r="D53" s="80"/>
      <c r="E53" s="86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162" t="str">
        <f t="shared" si="15"/>
        <v/>
      </c>
      <c r="AR53" s="162" t="str">
        <f t="shared" si="16"/>
        <v/>
      </c>
      <c r="AS53" s="162" t="str">
        <f t="shared" si="17"/>
        <v/>
      </c>
      <c r="AT53" s="209"/>
      <c r="AU53" s="80"/>
      <c r="AV53" s="80"/>
      <c r="AW53" s="80"/>
      <c r="AX53" s="83"/>
      <c r="AY53" s="83"/>
      <c r="AZ53" s="80"/>
      <c r="BA53" s="80"/>
      <c r="BB53" s="80"/>
      <c r="BC53" s="34"/>
      <c r="BD53" s="34"/>
      <c r="BE53" s="34"/>
      <c r="BF53" s="34"/>
      <c r="BG53" s="34"/>
      <c r="BH53" s="34"/>
      <c r="BI53" s="34"/>
      <c r="BJ53" s="34"/>
    </row>
    <row r="54" spans="1:62" x14ac:dyDescent="0.3">
      <c r="A54" s="34"/>
      <c r="B54" s="80"/>
      <c r="C54" s="80"/>
      <c r="D54" s="80"/>
      <c r="E54" s="86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162" t="str">
        <f t="shared" si="15"/>
        <v/>
      </c>
      <c r="AR54" s="162" t="str">
        <f t="shared" si="16"/>
        <v/>
      </c>
      <c r="AS54" s="162" t="str">
        <f t="shared" si="17"/>
        <v/>
      </c>
      <c r="AT54" s="209"/>
      <c r="AU54" s="80"/>
      <c r="AV54" s="80"/>
      <c r="AW54" s="80"/>
      <c r="AX54" s="83"/>
      <c r="AY54" s="83"/>
      <c r="AZ54" s="80"/>
      <c r="BA54" s="80"/>
      <c r="BB54" s="80"/>
      <c r="BC54" s="34"/>
      <c r="BD54" s="34"/>
      <c r="BE54" s="34"/>
      <c r="BF54" s="34"/>
      <c r="BG54" s="34"/>
      <c r="BH54" s="34"/>
      <c r="BI54" s="34"/>
      <c r="BJ54" s="34"/>
    </row>
    <row r="55" spans="1:62" x14ac:dyDescent="0.3">
      <c r="A55" s="34"/>
      <c r="B55" s="80"/>
      <c r="C55" s="80"/>
      <c r="D55" s="80"/>
      <c r="E55" s="86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162" t="str">
        <f t="shared" si="15"/>
        <v/>
      </c>
      <c r="AR55" s="162" t="str">
        <f t="shared" si="16"/>
        <v/>
      </c>
      <c r="AS55" s="162" t="str">
        <f t="shared" si="17"/>
        <v/>
      </c>
      <c r="AT55" s="209"/>
      <c r="AU55" s="80"/>
      <c r="AV55" s="80"/>
      <c r="AW55" s="80"/>
      <c r="AX55" s="83"/>
      <c r="AY55" s="83"/>
      <c r="AZ55" s="80"/>
      <c r="BA55" s="80"/>
      <c r="BB55" s="80"/>
      <c r="BC55" s="34"/>
      <c r="BD55" s="34"/>
      <c r="BE55" s="34"/>
      <c r="BF55" s="34"/>
      <c r="BG55" s="34"/>
      <c r="BH55" s="34"/>
      <c r="BI55" s="34"/>
      <c r="BJ55" s="34"/>
    </row>
    <row r="56" spans="1:62" x14ac:dyDescent="0.3">
      <c r="A56" s="34"/>
      <c r="B56" s="80"/>
      <c r="C56" s="80"/>
      <c r="D56" s="80"/>
      <c r="E56" s="86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162" t="str">
        <f t="shared" si="15"/>
        <v/>
      </c>
      <c r="AR56" s="162" t="str">
        <f t="shared" si="16"/>
        <v/>
      </c>
      <c r="AS56" s="162" t="str">
        <f t="shared" si="17"/>
        <v/>
      </c>
      <c r="AT56" s="209"/>
      <c r="AU56" s="80"/>
      <c r="AV56" s="80"/>
      <c r="AW56" s="80"/>
      <c r="AX56" s="83"/>
      <c r="AY56" s="83"/>
      <c r="AZ56" s="80"/>
      <c r="BA56" s="80"/>
      <c r="BB56" s="80"/>
      <c r="BC56" s="34"/>
      <c r="BD56" s="34"/>
      <c r="BE56" s="34"/>
      <c r="BF56" s="34"/>
      <c r="BG56" s="34"/>
      <c r="BH56" s="34"/>
      <c r="BI56" s="34"/>
      <c r="BJ56" s="34"/>
    </row>
    <row r="57" spans="1:62" x14ac:dyDescent="0.3">
      <c r="A57" s="34"/>
      <c r="B57" s="80"/>
      <c r="C57" s="80"/>
      <c r="D57" s="80"/>
      <c r="E57" s="86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162" t="str">
        <f t="shared" si="15"/>
        <v/>
      </c>
      <c r="AR57" s="162" t="str">
        <f t="shared" si="16"/>
        <v/>
      </c>
      <c r="AS57" s="162" t="str">
        <f t="shared" si="17"/>
        <v/>
      </c>
      <c r="AT57" s="209"/>
      <c r="AU57" s="80"/>
      <c r="AV57" s="80"/>
      <c r="AW57" s="80"/>
      <c r="AX57" s="83"/>
      <c r="AY57" s="83"/>
      <c r="AZ57" s="80"/>
      <c r="BA57" s="80"/>
      <c r="BB57" s="80"/>
      <c r="BC57" s="34"/>
      <c r="BD57" s="34"/>
      <c r="BE57" s="34"/>
      <c r="BF57" s="34"/>
      <c r="BG57" s="34"/>
      <c r="BH57" s="34"/>
      <c r="BI57" s="34"/>
      <c r="BJ57" s="34"/>
    </row>
    <row r="58" spans="1:62" x14ac:dyDescent="0.3">
      <c r="A58" s="34"/>
      <c r="B58" s="80"/>
      <c r="C58" s="80"/>
      <c r="D58" s="80"/>
      <c r="E58" s="86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162" t="str">
        <f t="shared" si="15"/>
        <v/>
      </c>
      <c r="AR58" s="162" t="str">
        <f t="shared" si="16"/>
        <v/>
      </c>
      <c r="AS58" s="162" t="str">
        <f t="shared" si="17"/>
        <v/>
      </c>
      <c r="AT58" s="209"/>
      <c r="AU58" s="80"/>
      <c r="AV58" s="80"/>
      <c r="AW58" s="80"/>
      <c r="AX58" s="83"/>
      <c r="AY58" s="83"/>
      <c r="AZ58" s="80"/>
      <c r="BA58" s="80"/>
      <c r="BB58" s="80"/>
      <c r="BC58" s="34"/>
      <c r="BD58" s="34"/>
      <c r="BE58" s="34"/>
      <c r="BF58" s="34"/>
      <c r="BG58" s="34"/>
      <c r="BH58" s="34"/>
      <c r="BI58" s="34"/>
      <c r="BJ58" s="34"/>
    </row>
    <row r="59" spans="1:62" x14ac:dyDescent="0.3">
      <c r="A59" s="34"/>
      <c r="B59" s="80"/>
      <c r="C59" s="80"/>
      <c r="D59" s="80"/>
      <c r="E59" s="86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162" t="str">
        <f t="shared" si="15"/>
        <v/>
      </c>
      <c r="AR59" s="162" t="str">
        <f t="shared" si="16"/>
        <v/>
      </c>
      <c r="AS59" s="162" t="str">
        <f t="shared" si="17"/>
        <v/>
      </c>
      <c r="AT59" s="209"/>
      <c r="AU59" s="80"/>
      <c r="AV59" s="80"/>
      <c r="AW59" s="80"/>
      <c r="AX59" s="83"/>
      <c r="AY59" s="83"/>
      <c r="AZ59" s="80"/>
      <c r="BA59" s="80"/>
      <c r="BB59" s="80"/>
      <c r="BC59" s="34"/>
      <c r="BD59" s="34"/>
      <c r="BE59" s="34"/>
      <c r="BF59" s="34"/>
      <c r="BG59" s="34"/>
      <c r="BH59" s="34"/>
      <c r="BI59" s="34"/>
      <c r="BJ59" s="34"/>
    </row>
    <row r="60" spans="1:62" x14ac:dyDescent="0.3">
      <c r="A60" s="34"/>
      <c r="B60" s="438" t="s">
        <v>228</v>
      </c>
      <c r="C60" s="211">
        <f>AVERAGE(C10:C59)</f>
        <v>41.894444444444439</v>
      </c>
      <c r="D60" s="72"/>
      <c r="E60" s="72"/>
      <c r="F60" s="72"/>
      <c r="G60" s="72"/>
      <c r="H60" s="72"/>
      <c r="I60" s="72"/>
      <c r="J60" s="72"/>
      <c r="K60" s="211">
        <f>AVERAGE(K10:K59)</f>
        <v>324.62074999999999</v>
      </c>
      <c r="L60" s="211"/>
      <c r="M60" s="72"/>
      <c r="N60" s="72"/>
      <c r="O60" s="72"/>
      <c r="P60" s="72"/>
      <c r="Q60" s="72"/>
      <c r="R60" s="72"/>
      <c r="S60" s="72"/>
      <c r="T60" s="72"/>
      <c r="U60" s="212">
        <f>AVERAGE(U10:U59)</f>
        <v>0.77551851851851838</v>
      </c>
      <c r="V60" s="212">
        <f t="shared" ref="V60:W60" si="30">AVERAGE(V10:V59)</f>
        <v>0.66249074074074077</v>
      </c>
      <c r="W60" s="212">
        <f t="shared" si="30"/>
        <v>8.447472222222224</v>
      </c>
      <c r="X60" s="212">
        <f>AVERAGE(X10:X59)</f>
        <v>0.6259702697688736</v>
      </c>
      <c r="Y60" s="212">
        <f t="shared" ref="Y60:Z60" si="31">AVERAGE(Y10:Y59)</f>
        <v>0.58318240009881828</v>
      </c>
      <c r="Z60" s="212">
        <f t="shared" si="31"/>
        <v>7.409423109618877</v>
      </c>
      <c r="AA60" s="72"/>
      <c r="AB60" s="72"/>
      <c r="AC60" s="212">
        <f>AVERAGE(AC10:AC15)</f>
        <v>8.4374999999999992E-2</v>
      </c>
      <c r="AD60" s="212">
        <f t="shared" ref="AD60:AE60" si="32">AVERAGE(AD10:AD15)</f>
        <v>0.43374999999999997</v>
      </c>
      <c r="AE60" s="212">
        <f t="shared" si="32"/>
        <v>8.5220833333333328</v>
      </c>
      <c r="AF60" s="212">
        <f>AVERAGE(AF10:AF15)</f>
        <v>2.4500000000000001E-2</v>
      </c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213">
        <f>AVERAGE(AQ10:AQ15)</f>
        <v>0.88734589179370349</v>
      </c>
      <c r="AR60" s="213">
        <f t="shared" ref="AR60:AS60" si="33">AVERAGE(AR10:AR15)</f>
        <v>0.53307728783312214</v>
      </c>
      <c r="AS60" s="213">
        <f t="shared" si="33"/>
        <v>0.30560726959743845</v>
      </c>
      <c r="AT60" s="214"/>
      <c r="AU60" s="89"/>
      <c r="AV60" s="89"/>
      <c r="AW60" s="89"/>
      <c r="AX60" s="215"/>
      <c r="AY60" s="215"/>
      <c r="AZ60" s="216"/>
      <c r="BA60" s="216"/>
      <c r="BB60" s="216"/>
      <c r="BC60" s="34"/>
      <c r="BD60" s="34"/>
      <c r="BE60" s="34"/>
      <c r="BF60" s="34"/>
      <c r="BG60" s="34"/>
      <c r="BH60" s="34"/>
      <c r="BI60" s="34"/>
      <c r="BJ60" s="34"/>
    </row>
    <row r="61" spans="1:62" x14ac:dyDescent="0.3">
      <c r="A61" s="34"/>
      <c r="B61" s="438" t="s">
        <v>59</v>
      </c>
      <c r="C61" s="211">
        <f>SUM(C10:C59)</f>
        <v>125.68333333333332</v>
      </c>
      <c r="D61" s="72"/>
      <c r="E61" s="72"/>
      <c r="F61" s="72"/>
      <c r="G61" s="72"/>
      <c r="H61" s="72"/>
      <c r="I61" s="72"/>
      <c r="J61" s="72"/>
      <c r="K61" s="211">
        <f>SUM(K10:K59)-SUM(R12:R15)</f>
        <v>973.86225000000002</v>
      </c>
      <c r="L61" s="211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89"/>
      <c r="AS61" s="89"/>
      <c r="AT61" s="214"/>
      <c r="AU61" s="89"/>
      <c r="AV61" s="89"/>
      <c r="AW61" s="89"/>
      <c r="AX61" s="215"/>
      <c r="AY61" s="215"/>
      <c r="AZ61" s="217">
        <f>SUM(AZ10:AZ15)</f>
        <v>648.11235300225007</v>
      </c>
      <c r="BA61" s="217">
        <f t="shared" ref="BA61:BB61" si="34">SUM(BA10:BA15)</f>
        <v>363.58799130616012</v>
      </c>
      <c r="BB61" s="217">
        <f t="shared" si="34"/>
        <v>2808.0073535891333</v>
      </c>
      <c r="BC61" s="204">
        <f>SUM(AZ61:BB61)</f>
        <v>3819.7076978975438</v>
      </c>
      <c r="BD61" s="190"/>
      <c r="BE61" s="190"/>
      <c r="BF61" s="34"/>
      <c r="BG61" s="34"/>
      <c r="BH61" s="34"/>
      <c r="BI61" s="34"/>
      <c r="BJ61" s="34"/>
    </row>
    <row r="62" spans="1:62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203"/>
      <c r="L62" s="34"/>
      <c r="M62" s="34"/>
      <c r="N62" s="34"/>
      <c r="O62" s="34"/>
      <c r="P62" s="34"/>
      <c r="Q62" s="34"/>
      <c r="R62" s="34"/>
      <c r="S62" s="34"/>
      <c r="T62" s="435" t="s">
        <v>65</v>
      </c>
      <c r="U62" s="218">
        <f>MEDIAN(U10:U59)</f>
        <v>0.70799999999999996</v>
      </c>
      <c r="V62" s="218">
        <f t="shared" ref="V62:W62" si="35">MEDIAN(V10:V59)</f>
        <v>0.65888888888888886</v>
      </c>
      <c r="W62" s="218">
        <f t="shared" si="35"/>
        <v>9.051111111111112</v>
      </c>
      <c r="X62" s="218">
        <f>MEDIAN(X10:X59)</f>
        <v>0.65897435796966009</v>
      </c>
      <c r="Y62" s="218">
        <f t="shared" ref="Y62:Z62" si="36">MEDIAN(Y10:Y59)</f>
        <v>0.56643603797540276</v>
      </c>
      <c r="Z62" s="218">
        <f t="shared" si="36"/>
        <v>7.4363798214475381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80"/>
      <c r="BA62" s="80"/>
      <c r="BB62" s="80"/>
      <c r="BC62" s="172">
        <f>AZ61/BC61</f>
        <v>0.16967590304331043</v>
      </c>
      <c r="BD62" s="172">
        <f>BA61/BC61</f>
        <v>9.5187386067862589E-2</v>
      </c>
      <c r="BE62" s="172">
        <f>BB61/BC61</f>
        <v>0.73513671088882693</v>
      </c>
      <c r="BF62" s="34"/>
      <c r="BG62" s="34"/>
      <c r="BH62" s="34"/>
      <c r="BI62" s="34"/>
      <c r="BJ62" s="34"/>
    </row>
    <row r="63" spans="1:62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161">
        <f>(U60*K61)*AQ60</f>
        <v>670.16639586113274</v>
      </c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</row>
    <row r="64" spans="1:62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191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</row>
    <row r="65" spans="1:62" ht="22.05" customHeight="1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532" t="s">
        <v>315</v>
      </c>
      <c r="AM65" s="532"/>
      <c r="AN65" s="532"/>
      <c r="AO65" s="532"/>
      <c r="AP65" s="219"/>
      <c r="AQ65" s="34"/>
      <c r="AR65" s="34"/>
      <c r="AS65" s="34"/>
      <c r="AT65" s="34"/>
      <c r="AU65" s="34"/>
      <c r="AV65" s="34"/>
      <c r="AW65" s="34"/>
      <c r="AX65" s="34"/>
      <c r="AY65" s="34"/>
      <c r="AZ65" s="204">
        <f>BC61/2.7</f>
        <v>1414.706554776868</v>
      </c>
      <c r="BA65" s="34"/>
      <c r="BB65" s="34"/>
      <c r="BC65" s="34"/>
      <c r="BD65" s="34"/>
      <c r="BE65" s="34"/>
      <c r="BF65" s="34"/>
      <c r="BG65" s="34"/>
      <c r="BH65" s="34"/>
      <c r="BI65" s="34"/>
      <c r="BJ65" s="34"/>
    </row>
    <row r="66" spans="1:62" ht="24" customHeight="1" x14ac:dyDescent="0.3">
      <c r="A66" s="34"/>
      <c r="B66" s="34"/>
      <c r="C66" s="34"/>
      <c r="D66" s="34"/>
      <c r="E66" s="34"/>
      <c r="F66" s="34"/>
      <c r="G66" s="34"/>
      <c r="H66" s="34"/>
      <c r="I66" s="392" t="s">
        <v>316</v>
      </c>
      <c r="J66" s="392" t="s">
        <v>317</v>
      </c>
      <c r="K66" s="392" t="s">
        <v>318</v>
      </c>
      <c r="L66" s="392"/>
      <c r="M66" s="392" t="s">
        <v>319</v>
      </c>
      <c r="N66" s="392"/>
      <c r="O66" s="392"/>
      <c r="P66" s="392"/>
      <c r="Q66" s="392"/>
      <c r="R66" s="392" t="s">
        <v>320</v>
      </c>
      <c r="S66" s="392"/>
      <c r="T66" s="392"/>
      <c r="U66" s="392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71"/>
      <c r="AM66" s="371" t="s">
        <v>307</v>
      </c>
      <c r="AN66" s="371" t="s">
        <v>308</v>
      </c>
      <c r="AO66" s="371" t="s">
        <v>309</v>
      </c>
      <c r="AP66" s="219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</row>
    <row r="67" spans="1:62" x14ac:dyDescent="0.3">
      <c r="A67" s="34"/>
      <c r="B67" s="34"/>
      <c r="C67" s="34"/>
      <c r="D67" s="34"/>
      <c r="E67" s="34"/>
      <c r="F67" s="34"/>
      <c r="G67" s="34"/>
      <c r="H67" s="34"/>
      <c r="I67" s="200">
        <f>SUM(C10:C15)</f>
        <v>125.68333333333332</v>
      </c>
      <c r="J67" s="200">
        <f>'Milling Down Time Hours'!L59</f>
        <v>61.533333333333331</v>
      </c>
      <c r="K67" s="200">
        <f>K61/I67</f>
        <v>7.7485393183927869</v>
      </c>
      <c r="L67" s="200"/>
      <c r="M67" s="200">
        <f>(K61/I68)</f>
        <v>185.96494364142688</v>
      </c>
      <c r="N67" s="200"/>
      <c r="O67" s="200"/>
      <c r="P67" s="200"/>
      <c r="Q67" s="200"/>
      <c r="R67" s="200">
        <f>(I67+J67)/24</f>
        <v>7.800694444444443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86" t="s">
        <v>321</v>
      </c>
      <c r="AM67" s="184">
        <f>AVERAGE(U10:U15)</f>
        <v>0.77551851851851838</v>
      </c>
      <c r="AN67" s="184">
        <f t="shared" ref="AN67:AO67" si="37">AVERAGE(V10:V15)</f>
        <v>0.66249074074074077</v>
      </c>
      <c r="AO67" s="184">
        <f t="shared" si="37"/>
        <v>8.447472222222224</v>
      </c>
      <c r="AP67" s="218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</row>
    <row r="68" spans="1:62" x14ac:dyDescent="0.3">
      <c r="A68" s="34"/>
      <c r="B68" s="34"/>
      <c r="C68" s="34"/>
      <c r="D68" s="34"/>
      <c r="E68" s="34"/>
      <c r="F68" s="34"/>
      <c r="G68" s="34"/>
      <c r="H68" s="34"/>
      <c r="I68" s="204">
        <f>I67/24</f>
        <v>5.2368055555555548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581" t="s">
        <v>273</v>
      </c>
      <c r="AB68" s="581"/>
      <c r="AC68" s="581"/>
      <c r="AD68" s="581"/>
      <c r="AE68" s="581"/>
      <c r="AF68" s="34"/>
      <c r="AG68" s="34"/>
      <c r="AH68" s="34"/>
      <c r="AI68" s="34"/>
      <c r="AJ68" s="34"/>
      <c r="AK68" s="34"/>
      <c r="AL68" s="438" t="s">
        <v>61</v>
      </c>
      <c r="AM68" s="184">
        <f>MEDIAN(U10:U15)</f>
        <v>0.70799999999999996</v>
      </c>
      <c r="AN68" s="184">
        <f t="shared" ref="AN68:AO68" si="38">MEDIAN(V10:V15)</f>
        <v>0.65888888888888886</v>
      </c>
      <c r="AO68" s="184">
        <f t="shared" si="38"/>
        <v>9.051111111111112</v>
      </c>
      <c r="AP68" s="218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</row>
    <row r="69" spans="1:62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581" t="s">
        <v>255</v>
      </c>
      <c r="AB69" s="581" t="s">
        <v>322</v>
      </c>
      <c r="AC69" s="581" t="s">
        <v>292</v>
      </c>
      <c r="AD69" s="581"/>
      <c r="AE69" s="581"/>
      <c r="AF69" s="34"/>
      <c r="AG69" s="34"/>
      <c r="AH69" s="34"/>
      <c r="AI69" s="34"/>
      <c r="AJ69" s="34"/>
      <c r="AK69" s="34"/>
      <c r="AL69" s="438" t="s">
        <v>64</v>
      </c>
      <c r="AM69" s="184">
        <f>MIN(U10:U15)</f>
        <v>0.68400000000000005</v>
      </c>
      <c r="AN69" s="184">
        <f t="shared" ref="AN69:AO69" si="39">MIN(V10:V15)</f>
        <v>0.53525</v>
      </c>
      <c r="AO69" s="184">
        <f t="shared" si="39"/>
        <v>7.2224166666666676</v>
      </c>
      <c r="AP69" s="218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</row>
    <row r="70" spans="1:62" x14ac:dyDescent="0.3">
      <c r="A70" s="34"/>
      <c r="B70" s="34"/>
      <c r="C70" s="34"/>
      <c r="D70" s="34"/>
      <c r="E70" s="34"/>
      <c r="F70" s="34"/>
      <c r="G70" s="34"/>
      <c r="H70" s="34"/>
      <c r="I70" s="220" t="s">
        <v>316</v>
      </c>
      <c r="J70" s="93">
        <f>I67</f>
        <v>125.68333333333332</v>
      </c>
      <c r="K70" s="34"/>
      <c r="L70" s="203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581"/>
      <c r="AB70" s="581"/>
      <c r="AC70" s="88" t="s">
        <v>307</v>
      </c>
      <c r="AD70" s="88" t="s">
        <v>308</v>
      </c>
      <c r="AE70" s="88" t="s">
        <v>309</v>
      </c>
      <c r="AF70" s="34"/>
      <c r="AG70" s="34"/>
      <c r="AH70" s="34"/>
      <c r="AI70" s="34"/>
      <c r="AJ70" s="34"/>
      <c r="AK70" s="34"/>
      <c r="AL70" s="438" t="s">
        <v>62</v>
      </c>
      <c r="AM70" s="184">
        <f>MAX(U10:U15)</f>
        <v>0.93455555555555547</v>
      </c>
      <c r="AN70" s="184">
        <f t="shared" ref="AN70:AO70" si="40">MAX(V10:V15)</f>
        <v>0.79333333333333333</v>
      </c>
      <c r="AO70" s="184">
        <f t="shared" si="40"/>
        <v>9.0688888888888908</v>
      </c>
      <c r="AP70" s="218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</row>
    <row r="71" spans="1:62" x14ac:dyDescent="0.3">
      <c r="A71" s="34"/>
      <c r="B71" s="34"/>
      <c r="C71" s="34"/>
      <c r="D71" s="34"/>
      <c r="E71" s="34"/>
      <c r="F71" s="34"/>
      <c r="G71" s="34"/>
      <c r="H71" s="34"/>
      <c r="I71" s="220" t="s">
        <v>317</v>
      </c>
      <c r="J71" s="93">
        <f>J67</f>
        <v>61.533333333333331</v>
      </c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86">
        <v>1</v>
      </c>
      <c r="AB71" s="86">
        <v>2</v>
      </c>
      <c r="AC71" s="207">
        <v>0.70799999999999996</v>
      </c>
      <c r="AD71" s="207">
        <v>0.53525</v>
      </c>
      <c r="AE71" s="207">
        <v>7.2224166666666676</v>
      </c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</row>
    <row r="72" spans="1:62" x14ac:dyDescent="0.3">
      <c r="A72" s="34"/>
      <c r="B72" s="34"/>
      <c r="C72" s="34"/>
      <c r="D72" s="34"/>
      <c r="E72" s="34"/>
      <c r="F72" s="34"/>
      <c r="G72" s="34"/>
      <c r="H72" s="34"/>
      <c r="I72" s="434" t="s">
        <v>323</v>
      </c>
      <c r="J72" s="93">
        <f>SUM(J70:J71)</f>
        <v>187.21666666666664</v>
      </c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86">
        <v>2</v>
      </c>
      <c r="AB72" s="86">
        <v>3</v>
      </c>
      <c r="AC72" s="207">
        <v>0.68400000000000005</v>
      </c>
      <c r="AD72" s="207">
        <v>0.79333333333333333</v>
      </c>
      <c r="AE72" s="207">
        <v>9.051111111111112</v>
      </c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</row>
    <row r="73" spans="1:62" x14ac:dyDescent="0.3">
      <c r="A73" s="34"/>
      <c r="B73" s="34"/>
      <c r="C73" s="34"/>
      <c r="D73" s="34"/>
      <c r="E73" s="34"/>
      <c r="F73" s="34"/>
      <c r="G73" s="34"/>
      <c r="H73" s="34"/>
      <c r="I73" s="220" t="s">
        <v>324</v>
      </c>
      <c r="J73" s="221">
        <f>J70/J72</f>
        <v>0.67132555862191756</v>
      </c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</row>
    <row r="74" spans="1:62" x14ac:dyDescent="0.3">
      <c r="A74" s="34"/>
      <c r="B74" s="34"/>
      <c r="C74" s="34"/>
      <c r="D74" s="34"/>
      <c r="E74" s="34"/>
      <c r="F74" s="34"/>
      <c r="G74" s="34"/>
      <c r="H74" s="34"/>
      <c r="I74" s="220" t="s">
        <v>70</v>
      </c>
      <c r="J74" s="222">
        <f>K67</f>
        <v>7.7485393183927869</v>
      </c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</row>
    <row r="75" spans="1:62" x14ac:dyDescent="0.3">
      <c r="A75" s="34"/>
      <c r="B75" s="34"/>
      <c r="C75" s="34"/>
      <c r="D75" s="34"/>
      <c r="E75" s="34"/>
      <c r="F75" s="34"/>
      <c r="G75" s="34"/>
      <c r="H75" s="34"/>
      <c r="I75" s="220" t="s">
        <v>14</v>
      </c>
      <c r="J75" s="93">
        <f>M67</f>
        <v>185.96494364142688</v>
      </c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</row>
    <row r="76" spans="1:62" x14ac:dyDescent="0.3">
      <c r="A76" s="34"/>
      <c r="B76" s="34"/>
      <c r="C76" s="34"/>
      <c r="D76" s="34"/>
      <c r="E76" s="34"/>
      <c r="F76" s="34"/>
      <c r="G76" s="34"/>
      <c r="H76" s="34"/>
      <c r="I76" s="220" t="s">
        <v>320</v>
      </c>
      <c r="J76" s="93">
        <f>R67</f>
        <v>7.800694444444443</v>
      </c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</row>
    <row r="77" spans="1:62" x14ac:dyDescent="0.3">
      <c r="A77" s="34"/>
      <c r="B77" s="34"/>
      <c r="C77" s="34"/>
      <c r="D77" s="34"/>
      <c r="E77" s="34"/>
      <c r="F77" s="34"/>
      <c r="G77" s="34"/>
      <c r="H77" s="34"/>
      <c r="I77" s="220" t="s">
        <v>325</v>
      </c>
      <c r="J77" s="221">
        <f>J67/(I67+J67)</f>
        <v>0.32867444137808249</v>
      </c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</row>
    <row r="78" spans="1:62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</row>
    <row r="79" spans="1:62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</row>
    <row r="80" spans="1:62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</row>
    <row r="81" spans="1:62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</row>
    <row r="82" spans="1:62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</row>
    <row r="83" spans="1:62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</row>
    <row r="84" spans="1:62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</row>
    <row r="85" spans="1:62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</row>
    <row r="86" spans="1:62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</row>
    <row r="87" spans="1:62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</row>
    <row r="88" spans="1:62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</row>
    <row r="89" spans="1:62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</row>
    <row r="90" spans="1:62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</row>
    <row r="91" spans="1:62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</row>
    <row r="92" spans="1:62" ht="22.05" customHeight="1" x14ac:dyDescent="0.3">
      <c r="A92" s="34"/>
      <c r="B92" s="34"/>
      <c r="C92" s="34"/>
      <c r="D92" s="34"/>
      <c r="E92" s="34"/>
      <c r="F92" s="34"/>
      <c r="G92" s="34"/>
      <c r="H92" s="34"/>
      <c r="I92" s="370" t="s">
        <v>255</v>
      </c>
      <c r="J92" s="370" t="s">
        <v>326</v>
      </c>
      <c r="K92" s="370" t="s">
        <v>327</v>
      </c>
      <c r="L92" s="532" t="s">
        <v>328</v>
      </c>
      <c r="M92" s="532"/>
      <c r="N92" s="532"/>
      <c r="O92" s="370"/>
      <c r="P92" s="370"/>
      <c r="Q92" s="370"/>
      <c r="R92" s="532" t="s">
        <v>329</v>
      </c>
      <c r="S92" s="532"/>
      <c r="T92" s="532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</row>
    <row r="93" spans="1:62" ht="24" customHeight="1" x14ac:dyDescent="0.3">
      <c r="A93" s="34"/>
      <c r="B93" s="34"/>
      <c r="C93" s="34"/>
      <c r="D93" s="34"/>
      <c r="E93" s="34"/>
      <c r="F93" s="34"/>
      <c r="G93" s="34"/>
      <c r="H93" s="34"/>
      <c r="I93" s="371" t="s">
        <v>330</v>
      </c>
      <c r="J93" s="371" t="s">
        <v>137</v>
      </c>
      <c r="K93" s="371"/>
      <c r="L93" s="371" t="s">
        <v>307</v>
      </c>
      <c r="M93" s="371" t="s">
        <v>308</v>
      </c>
      <c r="N93" s="371" t="s">
        <v>309</v>
      </c>
      <c r="O93" s="371"/>
      <c r="P93" s="371"/>
      <c r="Q93" s="371"/>
      <c r="R93" s="371" t="s">
        <v>307</v>
      </c>
      <c r="S93" s="371" t="s">
        <v>308</v>
      </c>
      <c r="T93" s="371" t="s">
        <v>309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</row>
    <row r="94" spans="1:62" x14ac:dyDescent="0.3">
      <c r="A94" s="34"/>
      <c r="B94" s="34"/>
      <c r="C94" s="34"/>
      <c r="D94" s="34"/>
      <c r="E94" s="34"/>
      <c r="F94" s="34"/>
      <c r="G94" s="34"/>
      <c r="H94" s="34"/>
      <c r="I94" s="86">
        <v>1</v>
      </c>
      <c r="J94" s="86">
        <v>2</v>
      </c>
      <c r="K94" s="200">
        <f>K10</f>
        <v>292.31359999999995</v>
      </c>
      <c r="L94" s="184">
        <f>U10</f>
        <v>0.70799999999999996</v>
      </c>
      <c r="M94" s="184">
        <f t="shared" ref="M94:N98" si="41">V10</f>
        <v>0.53525</v>
      </c>
      <c r="N94" s="184">
        <f t="shared" si="41"/>
        <v>7.2224166666666676</v>
      </c>
      <c r="O94" s="184"/>
      <c r="P94" s="184"/>
      <c r="Q94" s="184"/>
      <c r="R94" s="184">
        <f>AC10</f>
        <v>0.11299999999999999</v>
      </c>
      <c r="S94" s="184">
        <f t="shared" ref="S94:T98" si="42">AD10</f>
        <v>0.61749999999999994</v>
      </c>
      <c r="T94" s="184">
        <f t="shared" si="42"/>
        <v>8.6916666666666664</v>
      </c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</row>
    <row r="95" spans="1:62" x14ac:dyDescent="0.3">
      <c r="A95" s="34"/>
      <c r="B95" s="34"/>
      <c r="C95" s="34"/>
      <c r="D95" s="34"/>
      <c r="E95" s="34"/>
      <c r="F95" s="34"/>
      <c r="G95" s="34"/>
      <c r="H95" s="34"/>
      <c r="I95" s="86">
        <v>2</v>
      </c>
      <c r="J95" s="86">
        <v>3</v>
      </c>
      <c r="K95" s="200">
        <f>K11</f>
        <v>300.14215000000002</v>
      </c>
      <c r="L95" s="184">
        <f t="shared" ref="L95:L98" si="43">U11</f>
        <v>0.68400000000000005</v>
      </c>
      <c r="M95" s="184">
        <f t="shared" si="41"/>
        <v>0.79333333333333333</v>
      </c>
      <c r="N95" s="184">
        <f t="shared" si="41"/>
        <v>9.051111111111112</v>
      </c>
      <c r="O95" s="184"/>
      <c r="P95" s="184"/>
      <c r="Q95" s="184"/>
      <c r="R95" s="184">
        <f t="shared" ref="R95:R98" si="44">AC11</f>
        <v>5.5749999999999994E-2</v>
      </c>
      <c r="S95" s="184">
        <f t="shared" si="42"/>
        <v>0.25</v>
      </c>
      <c r="T95" s="184">
        <f t="shared" si="42"/>
        <v>8.3524999999999991</v>
      </c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</row>
    <row r="96" spans="1:62" x14ac:dyDescent="0.3">
      <c r="A96" s="34"/>
      <c r="B96" s="34"/>
      <c r="C96" s="34"/>
      <c r="D96" s="34"/>
      <c r="E96" s="34"/>
      <c r="F96" s="34"/>
      <c r="G96" s="34"/>
      <c r="H96" s="34"/>
      <c r="I96" s="86">
        <v>3</v>
      </c>
      <c r="J96" s="86">
        <v>2</v>
      </c>
      <c r="K96" s="200">
        <f>L12</f>
        <v>326.97083025000006</v>
      </c>
      <c r="L96" s="184">
        <f t="shared" si="43"/>
        <v>0.93455555555555547</v>
      </c>
      <c r="M96" s="184">
        <f t="shared" si="41"/>
        <v>0.65888888888888886</v>
      </c>
      <c r="N96" s="184">
        <f t="shared" si="41"/>
        <v>9.0688888888888908</v>
      </c>
      <c r="O96" s="184"/>
      <c r="P96" s="184"/>
      <c r="Q96" s="184"/>
      <c r="R96" s="184">
        <f t="shared" si="44"/>
        <v>0</v>
      </c>
      <c r="S96" s="184">
        <f t="shared" si="42"/>
        <v>0</v>
      </c>
      <c r="T96" s="184">
        <f t="shared" si="42"/>
        <v>0</v>
      </c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</row>
    <row r="97" spans="1:62" x14ac:dyDescent="0.3">
      <c r="A97" s="34"/>
      <c r="B97" s="34"/>
      <c r="C97" s="34"/>
      <c r="D97" s="34"/>
      <c r="E97" s="34"/>
      <c r="F97" s="34"/>
      <c r="G97" s="34"/>
      <c r="H97" s="34"/>
      <c r="I97" s="86">
        <v>4</v>
      </c>
      <c r="J97" s="86">
        <v>3</v>
      </c>
      <c r="K97" s="200">
        <f t="shared" ref="K97:K98" si="45">L13</f>
        <v>0</v>
      </c>
      <c r="L97" s="184">
        <f t="shared" si="43"/>
        <v>0</v>
      </c>
      <c r="M97" s="184">
        <f t="shared" si="41"/>
        <v>0</v>
      </c>
      <c r="N97" s="184">
        <f t="shared" si="41"/>
        <v>0</v>
      </c>
      <c r="O97" s="184"/>
      <c r="P97" s="184"/>
      <c r="Q97" s="184"/>
      <c r="R97" s="184">
        <f t="shared" si="44"/>
        <v>0</v>
      </c>
      <c r="S97" s="184">
        <f t="shared" si="42"/>
        <v>0</v>
      </c>
      <c r="T97" s="184">
        <f t="shared" si="42"/>
        <v>0</v>
      </c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</row>
    <row r="98" spans="1:62" x14ac:dyDescent="0.3">
      <c r="A98" s="34"/>
      <c r="B98" s="34"/>
      <c r="C98" s="34"/>
      <c r="D98" s="34"/>
      <c r="E98" s="34"/>
      <c r="F98" s="34"/>
      <c r="G98" s="34"/>
      <c r="H98" s="34"/>
      <c r="I98" s="86">
        <v>5</v>
      </c>
      <c r="J98" s="86">
        <v>2</v>
      </c>
      <c r="K98" s="200">
        <f t="shared" si="45"/>
        <v>0</v>
      </c>
      <c r="L98" s="184">
        <f t="shared" si="43"/>
        <v>0</v>
      </c>
      <c r="M98" s="184">
        <f t="shared" si="41"/>
        <v>0</v>
      </c>
      <c r="N98" s="184">
        <f t="shared" si="41"/>
        <v>0</v>
      </c>
      <c r="O98" s="184"/>
      <c r="P98" s="184"/>
      <c r="Q98" s="184"/>
      <c r="R98" s="184">
        <f t="shared" si="44"/>
        <v>0</v>
      </c>
      <c r="S98" s="184">
        <f t="shared" si="42"/>
        <v>0</v>
      </c>
      <c r="T98" s="184">
        <f t="shared" si="42"/>
        <v>0</v>
      </c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</row>
    <row r="99" spans="1:62" x14ac:dyDescent="0.3">
      <c r="A99" s="34"/>
      <c r="B99" s="34"/>
      <c r="C99" s="34"/>
      <c r="D99" s="34"/>
      <c r="E99" s="34"/>
      <c r="F99" s="34"/>
      <c r="G99" s="34"/>
      <c r="H99" s="34"/>
      <c r="I99" s="75" t="s">
        <v>331</v>
      </c>
      <c r="J99" s="75"/>
      <c r="K99" s="223"/>
      <c r="L99" s="224">
        <f>AVERAGE(L94:L98)</f>
        <v>0.46531111111111106</v>
      </c>
      <c r="M99" s="224">
        <f t="shared" ref="M99:N99" si="46">AVERAGE(M94:M98)</f>
        <v>0.39749444444444448</v>
      </c>
      <c r="N99" s="224">
        <f t="shared" si="46"/>
        <v>5.0684833333333348</v>
      </c>
      <c r="O99" s="224"/>
      <c r="P99" s="224"/>
      <c r="Q99" s="224"/>
      <c r="R99" s="224">
        <f>AVERAGE(R94:R98)</f>
        <v>3.3749999999999995E-2</v>
      </c>
      <c r="S99" s="224">
        <f t="shared" ref="S99:T99" si="47">AVERAGE(S94:S98)</f>
        <v>0.17349999999999999</v>
      </c>
      <c r="T99" s="224">
        <f t="shared" si="47"/>
        <v>3.4088333333333329</v>
      </c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</row>
    <row r="100" spans="1:62" x14ac:dyDescent="0.3">
      <c r="A100" s="34"/>
      <c r="B100" s="34"/>
      <c r="C100" s="34"/>
      <c r="D100" s="34"/>
      <c r="E100" s="34"/>
      <c r="F100" s="34"/>
      <c r="G100" s="34"/>
      <c r="H100" s="34"/>
      <c r="I100" s="75" t="s">
        <v>332</v>
      </c>
      <c r="J100" s="75"/>
      <c r="K100" s="223">
        <f>SUM(K94:K98)</f>
        <v>919.42658025000003</v>
      </c>
      <c r="L100" s="75"/>
      <c r="M100" s="75"/>
      <c r="N100" s="75"/>
      <c r="O100" s="75"/>
      <c r="P100" s="75"/>
      <c r="Q100" s="75"/>
      <c r="R100" s="75"/>
      <c r="S100" s="75"/>
      <c r="T100" s="75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</row>
  </sheetData>
  <mergeCells count="40">
    <mergeCell ref="AC69:AE69"/>
    <mergeCell ref="AA68:AE68"/>
    <mergeCell ref="AA69:AA70"/>
    <mergeCell ref="AB69:AB70"/>
    <mergeCell ref="AL65:AO65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B7:AB9"/>
    <mergeCell ref="B7:B9"/>
    <mergeCell ref="D7:D9"/>
    <mergeCell ref="E7:E9"/>
    <mergeCell ref="F7:F9"/>
    <mergeCell ref="G7:G9"/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8AE4B"/>
  </sheetPr>
  <dimension ref="A1:AB79"/>
  <sheetViews>
    <sheetView showGridLines="0" workbookViewId="0"/>
  </sheetViews>
  <sheetFormatPr defaultRowHeight="14.4" x14ac:dyDescent="0.3"/>
  <cols>
    <col min="1" max="3" width="8.88671875" style="1"/>
    <col min="4" max="4" width="22.5546875" style="1" customWidth="1"/>
    <col min="5" max="5" width="15.21875" style="27" customWidth="1"/>
    <col min="6" max="14" width="8.88671875" style="1"/>
    <col min="15" max="15" width="18.109375" style="1" customWidth="1"/>
    <col min="16" max="16" width="10.6640625" style="1" customWidth="1"/>
    <col min="17" max="19" width="8.88671875" style="1"/>
    <col min="20" max="20" width="7" style="1" customWidth="1"/>
    <col min="21" max="21" width="6" style="1" customWidth="1"/>
    <col min="22" max="22" width="5.44140625" style="1" customWidth="1"/>
    <col min="23" max="16384" width="8.88671875" style="1"/>
  </cols>
  <sheetData>
    <row r="1" spans="1:28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22.05" customHeight="1" x14ac:dyDescent="0.3">
      <c r="A2" s="34"/>
      <c r="B2" s="532" t="s">
        <v>333</v>
      </c>
      <c r="C2" s="532"/>
      <c r="D2" s="532"/>
      <c r="E2" s="532"/>
      <c r="F2" s="532"/>
      <c r="G2" s="532"/>
      <c r="H2" s="532"/>
      <c r="I2" s="34"/>
      <c r="J2" s="34"/>
      <c r="K2" s="34"/>
      <c r="L2" s="34"/>
      <c r="M2" s="370"/>
      <c r="N2" s="370"/>
      <c r="O2" s="370"/>
      <c r="P2" s="370"/>
      <c r="Q2" s="370"/>
      <c r="R2" s="370"/>
      <c r="S2" s="370"/>
      <c r="T2" s="532" t="s">
        <v>334</v>
      </c>
      <c r="U2" s="532"/>
      <c r="V2" s="532"/>
      <c r="W2" s="370" t="s">
        <v>335</v>
      </c>
      <c r="X2" s="370"/>
      <c r="Y2" s="370"/>
      <c r="Z2" s="370"/>
      <c r="AA2" s="370"/>
      <c r="AB2" s="370"/>
    </row>
    <row r="3" spans="1:28" ht="24" customHeight="1" x14ac:dyDescent="0.3">
      <c r="A3" s="34"/>
      <c r="B3" s="371" t="s">
        <v>72</v>
      </c>
      <c r="C3" s="371" t="s">
        <v>336</v>
      </c>
      <c r="D3" s="371" t="s">
        <v>337</v>
      </c>
      <c r="E3" s="371" t="s">
        <v>338</v>
      </c>
      <c r="F3" s="371" t="s">
        <v>339</v>
      </c>
      <c r="G3" s="371" t="s">
        <v>340</v>
      </c>
      <c r="H3" s="371" t="s">
        <v>77</v>
      </c>
      <c r="I3" s="34"/>
      <c r="J3" s="34"/>
      <c r="K3" s="34"/>
      <c r="L3" s="34"/>
      <c r="M3" s="371" t="s">
        <v>72</v>
      </c>
      <c r="N3" s="371" t="s">
        <v>336</v>
      </c>
      <c r="O3" s="371" t="s">
        <v>337</v>
      </c>
      <c r="P3" s="371" t="s">
        <v>338</v>
      </c>
      <c r="Q3" s="371" t="s">
        <v>339</v>
      </c>
      <c r="R3" s="371" t="s">
        <v>340</v>
      </c>
      <c r="S3" s="371" t="s">
        <v>77</v>
      </c>
      <c r="T3" s="371" t="s">
        <v>307</v>
      </c>
      <c r="U3" s="371" t="s">
        <v>308</v>
      </c>
      <c r="V3" s="371" t="s">
        <v>309</v>
      </c>
      <c r="W3" s="371"/>
      <c r="X3" s="371"/>
      <c r="Y3" s="371"/>
      <c r="Z3" s="371"/>
      <c r="AA3" s="371"/>
      <c r="AB3" s="371"/>
    </row>
    <row r="4" spans="1:28" x14ac:dyDescent="0.3">
      <c r="A4" s="34"/>
      <c r="B4" s="86">
        <v>1</v>
      </c>
      <c r="C4" s="86">
        <v>1</v>
      </c>
      <c r="D4" s="80" t="s">
        <v>341</v>
      </c>
      <c r="E4" s="78">
        <v>46265</v>
      </c>
      <c r="F4" s="227">
        <v>1.0229999999999999</v>
      </c>
      <c r="G4" s="80">
        <v>0.31</v>
      </c>
      <c r="H4" s="80">
        <v>6.1559999999999997</v>
      </c>
      <c r="I4" s="34"/>
      <c r="J4" s="34"/>
      <c r="K4" s="34"/>
      <c r="L4" s="34"/>
      <c r="M4" s="86">
        <v>1</v>
      </c>
      <c r="N4" s="86">
        <v>1</v>
      </c>
      <c r="O4" s="80" t="s">
        <v>342</v>
      </c>
      <c r="P4" s="78">
        <v>46265</v>
      </c>
      <c r="Q4" s="80">
        <v>0.83</v>
      </c>
      <c r="R4" s="80">
        <v>0.45900000000000002</v>
      </c>
      <c r="S4" s="80">
        <v>4.7569999999999997</v>
      </c>
      <c r="T4" s="80"/>
      <c r="U4" s="80"/>
      <c r="V4" s="80"/>
      <c r="W4" s="34"/>
      <c r="X4" s="34"/>
      <c r="Y4" s="34"/>
      <c r="Z4" s="34"/>
      <c r="AA4" s="34"/>
      <c r="AB4" s="34"/>
    </row>
    <row r="5" spans="1:28" x14ac:dyDescent="0.3">
      <c r="A5" s="34"/>
      <c r="B5" s="86">
        <v>2</v>
      </c>
      <c r="C5" s="86">
        <v>1</v>
      </c>
      <c r="D5" s="80" t="s">
        <v>343</v>
      </c>
      <c r="E5" s="78">
        <v>46265</v>
      </c>
      <c r="F5" s="227">
        <v>0.94899999999999995</v>
      </c>
      <c r="G5" s="80">
        <v>0.51300000000000001</v>
      </c>
      <c r="H5" s="80">
        <v>5.9560000000000004</v>
      </c>
      <c r="I5" s="34"/>
      <c r="J5" s="34"/>
      <c r="K5" s="34"/>
      <c r="L5" s="34"/>
      <c r="M5" s="86">
        <v>2</v>
      </c>
      <c r="N5" s="86">
        <v>1</v>
      </c>
      <c r="O5" s="80" t="s">
        <v>344</v>
      </c>
      <c r="P5" s="78">
        <v>46265</v>
      </c>
      <c r="Q5" s="80">
        <v>0.79200000000000004</v>
      </c>
      <c r="R5" s="80">
        <v>0.46</v>
      </c>
      <c r="S5" s="80">
        <v>4.9029999999999996</v>
      </c>
      <c r="T5" s="80"/>
      <c r="U5" s="80"/>
      <c r="V5" s="80"/>
      <c r="W5" s="34"/>
      <c r="X5" s="34"/>
      <c r="Y5" s="34"/>
      <c r="Z5" s="34"/>
      <c r="AA5" s="34"/>
      <c r="AB5" s="34"/>
    </row>
    <row r="6" spans="1:28" x14ac:dyDescent="0.3">
      <c r="A6" s="34"/>
      <c r="B6" s="86">
        <v>3</v>
      </c>
      <c r="C6" s="86">
        <v>1</v>
      </c>
      <c r="D6" s="80" t="s">
        <v>345</v>
      </c>
      <c r="E6" s="78">
        <v>46265</v>
      </c>
      <c r="F6" s="227">
        <v>0.92900000000000005</v>
      </c>
      <c r="G6" s="80">
        <v>0.40699999999999997</v>
      </c>
      <c r="H6" s="80">
        <v>6.2169999999999996</v>
      </c>
      <c r="I6" s="228">
        <f>AVERAGE(F4:F6)</f>
        <v>0.96699999999999997</v>
      </c>
      <c r="J6" s="228">
        <f t="shared" ref="J6:K6" si="0">AVERAGE(G4:G6)</f>
        <v>0.41</v>
      </c>
      <c r="K6" s="228">
        <f t="shared" si="0"/>
        <v>6.1096666666666666</v>
      </c>
      <c r="L6" s="34"/>
      <c r="M6" s="86">
        <v>3</v>
      </c>
      <c r="N6" s="86">
        <v>1</v>
      </c>
      <c r="O6" s="80" t="s">
        <v>346</v>
      </c>
      <c r="P6" s="78">
        <v>46265</v>
      </c>
      <c r="Q6" s="80">
        <v>0.753</v>
      </c>
      <c r="R6" s="80">
        <v>0.58899999999999997</v>
      </c>
      <c r="S6" s="80">
        <v>6.61</v>
      </c>
      <c r="T6" s="80"/>
      <c r="U6" s="80"/>
      <c r="V6" s="80"/>
      <c r="W6" s="34"/>
      <c r="X6" s="34"/>
      <c r="Y6" s="34"/>
      <c r="Z6" s="34"/>
      <c r="AA6" s="34"/>
      <c r="AB6" s="34"/>
    </row>
    <row r="7" spans="1:28" x14ac:dyDescent="0.3">
      <c r="A7" s="34"/>
      <c r="B7" s="86">
        <v>4</v>
      </c>
      <c r="C7" s="86">
        <v>1</v>
      </c>
      <c r="D7" s="80" t="s">
        <v>347</v>
      </c>
      <c r="E7" s="78">
        <v>46265</v>
      </c>
      <c r="F7" s="229">
        <v>0.64100000000000001</v>
      </c>
      <c r="G7" s="80">
        <v>0.55700000000000005</v>
      </c>
      <c r="H7" s="80">
        <v>7.72</v>
      </c>
      <c r="I7" s="34"/>
      <c r="J7" s="34"/>
      <c r="K7" s="34"/>
      <c r="L7" s="34"/>
      <c r="M7" s="86">
        <v>4</v>
      </c>
      <c r="N7" s="86">
        <v>1</v>
      </c>
      <c r="O7" s="80" t="s">
        <v>348</v>
      </c>
      <c r="P7" s="78">
        <v>46265</v>
      </c>
      <c r="Q7" s="80">
        <v>0.97</v>
      </c>
      <c r="R7" s="80">
        <v>0.38300000000000001</v>
      </c>
      <c r="S7" s="80">
        <v>7.6829999999999998</v>
      </c>
      <c r="T7" s="80"/>
      <c r="U7" s="80"/>
      <c r="V7" s="80"/>
      <c r="W7" s="34"/>
      <c r="X7" s="34"/>
      <c r="Y7" s="34"/>
      <c r="Z7" s="34"/>
      <c r="AA7" s="34"/>
      <c r="AB7" s="34"/>
    </row>
    <row r="8" spans="1:28" x14ac:dyDescent="0.3">
      <c r="A8" s="34"/>
      <c r="B8" s="86">
        <v>5</v>
      </c>
      <c r="C8" s="86">
        <v>1</v>
      </c>
      <c r="D8" s="80" t="s">
        <v>349</v>
      </c>
      <c r="E8" s="78">
        <v>46265</v>
      </c>
      <c r="F8" s="229">
        <v>0.63700000000000001</v>
      </c>
      <c r="G8" s="80">
        <v>0.502</v>
      </c>
      <c r="H8" s="80">
        <v>7.51</v>
      </c>
      <c r="I8" s="34"/>
      <c r="J8" s="34"/>
      <c r="K8" s="34"/>
      <c r="L8" s="34"/>
      <c r="M8" s="225">
        <v>5</v>
      </c>
      <c r="N8" s="225">
        <v>1</v>
      </c>
      <c r="O8" s="163" t="s">
        <v>350</v>
      </c>
      <c r="P8" s="226">
        <v>46265</v>
      </c>
      <c r="Q8" s="163">
        <v>1.123</v>
      </c>
      <c r="R8" s="163">
        <v>0.28899999999999998</v>
      </c>
      <c r="S8" s="163">
        <v>7.577</v>
      </c>
      <c r="T8" s="184">
        <f>AVERAGE(Q4:Q8)</f>
        <v>0.89359999999999995</v>
      </c>
      <c r="U8" s="184">
        <f t="shared" ref="U8:V8" si="1">AVERAGE(R4:R8)</f>
        <v>0.43600000000000005</v>
      </c>
      <c r="V8" s="184">
        <f t="shared" si="1"/>
        <v>6.306</v>
      </c>
      <c r="W8" s="183">
        <f>T8-I6</f>
        <v>-7.3400000000000021E-2</v>
      </c>
      <c r="X8" s="183">
        <f>U8-J6</f>
        <v>2.6000000000000079E-2</v>
      </c>
      <c r="Y8" s="183">
        <f t="shared" ref="Y8" si="2">V8-K6</f>
        <v>0.19633333333333347</v>
      </c>
      <c r="Z8" s="161">
        <f>MEDIAN(Q4:Q8)</f>
        <v>0.83</v>
      </c>
      <c r="AA8" s="161">
        <f t="shared" ref="AA8:AB8" si="3">MEDIAN(R4:R8)</f>
        <v>0.45900000000000002</v>
      </c>
      <c r="AB8" s="161">
        <f t="shared" si="3"/>
        <v>6.61</v>
      </c>
    </row>
    <row r="9" spans="1:28" x14ac:dyDescent="0.3">
      <c r="A9" s="34"/>
      <c r="B9" s="86">
        <v>6</v>
      </c>
      <c r="C9" s="86">
        <v>1</v>
      </c>
      <c r="D9" s="80" t="s">
        <v>351</v>
      </c>
      <c r="E9" s="78">
        <v>46265</v>
      </c>
      <c r="F9" s="229">
        <v>0.54900000000000004</v>
      </c>
      <c r="G9" s="80">
        <v>0.52600000000000002</v>
      </c>
      <c r="H9" s="80">
        <v>7.64</v>
      </c>
      <c r="I9" s="34"/>
      <c r="J9" s="34"/>
      <c r="K9" s="34"/>
      <c r="L9" s="34"/>
      <c r="M9" s="86">
        <v>6</v>
      </c>
      <c r="N9" s="86">
        <v>1</v>
      </c>
      <c r="O9" s="80" t="s">
        <v>352</v>
      </c>
      <c r="P9" s="78">
        <v>46266</v>
      </c>
      <c r="Q9" s="80">
        <v>1.802</v>
      </c>
      <c r="R9" s="80">
        <v>1.216</v>
      </c>
      <c r="S9" s="80">
        <v>9.18</v>
      </c>
      <c r="T9" s="80"/>
      <c r="U9" s="80"/>
      <c r="V9" s="80"/>
      <c r="W9" s="34"/>
      <c r="X9" s="34"/>
      <c r="Y9" s="34"/>
      <c r="Z9" s="34"/>
      <c r="AA9" s="34"/>
      <c r="AB9" s="34"/>
    </row>
    <row r="10" spans="1:28" x14ac:dyDescent="0.3">
      <c r="A10" s="34"/>
      <c r="B10" s="86">
        <v>7</v>
      </c>
      <c r="C10" s="86">
        <v>1</v>
      </c>
      <c r="D10" s="80" t="s">
        <v>341</v>
      </c>
      <c r="E10" s="78">
        <v>46266</v>
      </c>
      <c r="F10" s="80">
        <v>0.64600000000000002</v>
      </c>
      <c r="G10" s="80">
        <v>0.68100000000000005</v>
      </c>
      <c r="H10" s="80">
        <v>7.62</v>
      </c>
      <c r="I10" s="34"/>
      <c r="J10" s="34"/>
      <c r="K10" s="34"/>
      <c r="L10" s="34"/>
      <c r="M10" s="86">
        <v>7</v>
      </c>
      <c r="N10" s="86">
        <v>1</v>
      </c>
      <c r="O10" s="80" t="s">
        <v>342</v>
      </c>
      <c r="P10" s="78">
        <v>46266</v>
      </c>
      <c r="Q10" s="80">
        <v>1.264</v>
      </c>
      <c r="R10" s="80">
        <v>1.1559999999999999</v>
      </c>
      <c r="S10" s="80">
        <v>12.08</v>
      </c>
      <c r="T10" s="80"/>
      <c r="U10" s="80"/>
      <c r="V10" s="80"/>
      <c r="W10" s="34"/>
      <c r="X10" s="34"/>
      <c r="Y10" s="34"/>
      <c r="Z10" s="34"/>
      <c r="AA10" s="34"/>
      <c r="AB10" s="34"/>
    </row>
    <row r="11" spans="1:28" x14ac:dyDescent="0.3">
      <c r="A11" s="34"/>
      <c r="B11" s="86">
        <v>8</v>
      </c>
      <c r="C11" s="86">
        <v>1</v>
      </c>
      <c r="D11" s="80" t="s">
        <v>343</v>
      </c>
      <c r="E11" s="78">
        <v>46266</v>
      </c>
      <c r="F11" s="80">
        <v>0.64500000000000002</v>
      </c>
      <c r="G11" s="80">
        <v>0.68700000000000006</v>
      </c>
      <c r="H11" s="80">
        <v>7.55</v>
      </c>
      <c r="I11" s="228">
        <f>AVERAGE(F10:F12)</f>
        <v>0.64699999999999991</v>
      </c>
      <c r="J11" s="228">
        <f t="shared" ref="J11:K11" si="4">AVERAGE(G10:G12)</f>
        <v>0.67433333333333334</v>
      </c>
      <c r="K11" s="228">
        <f t="shared" si="4"/>
        <v>7.5333333333333341</v>
      </c>
      <c r="L11" s="34"/>
      <c r="M11" s="86">
        <v>8</v>
      </c>
      <c r="N11" s="86">
        <v>1</v>
      </c>
      <c r="O11" s="80" t="s">
        <v>344</v>
      </c>
      <c r="P11" s="78">
        <v>46266</v>
      </c>
      <c r="Q11" s="80">
        <v>0.75800000000000001</v>
      </c>
      <c r="R11" s="80">
        <v>0.94899999999999995</v>
      </c>
      <c r="S11" s="80">
        <v>7.46</v>
      </c>
      <c r="T11" s="80"/>
      <c r="U11" s="80"/>
      <c r="V11" s="80"/>
      <c r="W11" s="34"/>
      <c r="X11" s="34"/>
      <c r="Y11" s="34"/>
      <c r="Z11" s="34"/>
      <c r="AA11" s="34"/>
      <c r="AB11" s="34"/>
    </row>
    <row r="12" spans="1:28" x14ac:dyDescent="0.3">
      <c r="A12" s="34"/>
      <c r="B12" s="86">
        <v>9</v>
      </c>
      <c r="C12" s="86">
        <v>1</v>
      </c>
      <c r="D12" s="80" t="s">
        <v>345</v>
      </c>
      <c r="E12" s="78">
        <v>46266</v>
      </c>
      <c r="F12" s="80">
        <v>0.65</v>
      </c>
      <c r="G12" s="80">
        <v>0.65500000000000003</v>
      </c>
      <c r="H12" s="80">
        <v>7.43</v>
      </c>
      <c r="I12" s="34"/>
      <c r="J12" s="34"/>
      <c r="K12" s="34"/>
      <c r="L12" s="34"/>
      <c r="M12" s="86">
        <v>9</v>
      </c>
      <c r="N12" s="86">
        <v>1</v>
      </c>
      <c r="O12" s="80" t="s">
        <v>346</v>
      </c>
      <c r="P12" s="78">
        <v>46266</v>
      </c>
      <c r="Q12" s="80">
        <v>0.77700000000000002</v>
      </c>
      <c r="R12" s="80">
        <v>0.77500000000000002</v>
      </c>
      <c r="S12" s="80">
        <v>7.2</v>
      </c>
      <c r="T12" s="80"/>
      <c r="U12" s="80"/>
      <c r="V12" s="80"/>
      <c r="W12" s="34"/>
      <c r="X12" s="34"/>
      <c r="Y12" s="34"/>
      <c r="Z12" s="34"/>
      <c r="AA12" s="34"/>
      <c r="AB12" s="34"/>
    </row>
    <row r="13" spans="1:28" x14ac:dyDescent="0.3">
      <c r="A13" s="34"/>
      <c r="B13" s="86">
        <v>10</v>
      </c>
      <c r="C13" s="86">
        <v>1</v>
      </c>
      <c r="D13" s="80" t="s">
        <v>347</v>
      </c>
      <c r="E13" s="78">
        <v>46266</v>
      </c>
      <c r="F13" s="80">
        <v>0.64100000000000001</v>
      </c>
      <c r="G13" s="80">
        <v>0.55700000000000005</v>
      </c>
      <c r="H13" s="80">
        <v>7.72</v>
      </c>
      <c r="I13" s="34"/>
      <c r="J13" s="34"/>
      <c r="K13" s="34"/>
      <c r="L13" s="34"/>
      <c r="M13" s="225">
        <v>10</v>
      </c>
      <c r="N13" s="225">
        <v>1</v>
      </c>
      <c r="O13" s="163" t="s">
        <v>350</v>
      </c>
      <c r="P13" s="226">
        <v>46266</v>
      </c>
      <c r="Q13" s="163">
        <v>0.73699999999999999</v>
      </c>
      <c r="R13" s="163">
        <v>0.81499999999999995</v>
      </c>
      <c r="S13" s="163">
        <v>7.21</v>
      </c>
      <c r="T13" s="184">
        <f>AVERAGE(Q9:Q13)</f>
        <v>1.0676000000000001</v>
      </c>
      <c r="U13" s="184">
        <f t="shared" ref="U13:V13" si="5">AVERAGE(R9:R13)</f>
        <v>0.98219999999999996</v>
      </c>
      <c r="V13" s="184">
        <f t="shared" si="5"/>
        <v>8.6260000000000012</v>
      </c>
      <c r="W13" s="183">
        <f>I11-T13</f>
        <v>-0.4206000000000002</v>
      </c>
      <c r="X13" s="183">
        <f t="shared" ref="X13:Y13" si="6">J11-U13</f>
        <v>-0.30786666666666662</v>
      </c>
      <c r="Y13" s="183">
        <f t="shared" si="6"/>
        <v>-1.0926666666666671</v>
      </c>
      <c r="Z13" s="161">
        <f>MEDIAN(Q9:Q13)</f>
        <v>0.77700000000000002</v>
      </c>
      <c r="AA13" s="161">
        <f t="shared" ref="AA13:AB13" si="7">MEDIAN(R9:R13)</f>
        <v>0.94899999999999995</v>
      </c>
      <c r="AB13" s="161">
        <f t="shared" si="7"/>
        <v>7.46</v>
      </c>
    </row>
    <row r="14" spans="1:28" x14ac:dyDescent="0.3">
      <c r="A14" s="34"/>
      <c r="B14" s="86">
        <v>11</v>
      </c>
      <c r="C14" s="86">
        <v>1</v>
      </c>
      <c r="D14" s="80" t="s">
        <v>349</v>
      </c>
      <c r="E14" s="78">
        <v>46266</v>
      </c>
      <c r="F14" s="80">
        <v>0.63700000000000001</v>
      </c>
      <c r="G14" s="80">
        <v>0.502</v>
      </c>
      <c r="H14" s="80">
        <v>7.51</v>
      </c>
      <c r="I14" s="34"/>
      <c r="J14" s="34"/>
      <c r="K14" s="34"/>
      <c r="L14" s="34"/>
      <c r="M14" s="86">
        <v>11</v>
      </c>
      <c r="N14" s="86">
        <v>1</v>
      </c>
      <c r="O14" s="80" t="s">
        <v>353</v>
      </c>
      <c r="P14" s="78">
        <v>46267</v>
      </c>
      <c r="Q14" s="80">
        <v>0.94899999999999995</v>
      </c>
      <c r="R14" s="80">
        <v>0.79</v>
      </c>
      <c r="S14" s="80">
        <v>8.75</v>
      </c>
      <c r="T14" s="80"/>
      <c r="U14" s="80"/>
      <c r="V14" s="80"/>
      <c r="W14" s="34"/>
      <c r="X14" s="34"/>
      <c r="Y14" s="34"/>
      <c r="Z14" s="34"/>
      <c r="AA14" s="34"/>
      <c r="AB14" s="34"/>
    </row>
    <row r="15" spans="1:28" x14ac:dyDescent="0.3">
      <c r="A15" s="34"/>
      <c r="B15" s="86">
        <v>12</v>
      </c>
      <c r="C15" s="86">
        <v>1</v>
      </c>
      <c r="D15" s="80" t="s">
        <v>351</v>
      </c>
      <c r="E15" s="78">
        <v>46266</v>
      </c>
      <c r="F15" s="80">
        <v>0.54900000000000004</v>
      </c>
      <c r="G15" s="80">
        <v>0.52600000000000002</v>
      </c>
      <c r="H15" s="80">
        <v>7.64</v>
      </c>
      <c r="I15" s="34"/>
      <c r="J15" s="34"/>
      <c r="K15" s="34"/>
      <c r="L15" s="34"/>
      <c r="M15" s="86">
        <v>12</v>
      </c>
      <c r="N15" s="86">
        <v>1</v>
      </c>
      <c r="O15" s="80" t="s">
        <v>354</v>
      </c>
      <c r="P15" s="78">
        <v>46267</v>
      </c>
      <c r="Q15" s="80">
        <v>0.97099999999999997</v>
      </c>
      <c r="R15" s="80">
        <v>0.6</v>
      </c>
      <c r="S15" s="80">
        <v>7.56</v>
      </c>
      <c r="T15" s="80"/>
      <c r="U15" s="80"/>
      <c r="V15" s="80"/>
      <c r="W15" s="34"/>
      <c r="X15" s="34"/>
      <c r="Y15" s="34"/>
      <c r="Z15" s="34"/>
      <c r="AA15" s="34"/>
      <c r="AB15" s="34"/>
    </row>
    <row r="16" spans="1:28" x14ac:dyDescent="0.3">
      <c r="A16" s="34"/>
      <c r="B16" s="86">
        <v>13</v>
      </c>
      <c r="C16" s="86">
        <v>2</v>
      </c>
      <c r="D16" s="80" t="s">
        <v>341</v>
      </c>
      <c r="E16" s="78">
        <v>46267</v>
      </c>
      <c r="F16" s="80">
        <v>0.66</v>
      </c>
      <c r="G16" s="80">
        <v>0.32</v>
      </c>
      <c r="H16" s="80">
        <v>9.6300000000000008</v>
      </c>
      <c r="I16" s="34"/>
      <c r="J16" s="34"/>
      <c r="K16" s="34"/>
      <c r="L16" s="34"/>
      <c r="M16" s="86">
        <v>13</v>
      </c>
      <c r="N16" s="86">
        <v>2</v>
      </c>
      <c r="O16" s="80" t="s">
        <v>355</v>
      </c>
      <c r="P16" s="78">
        <v>46267</v>
      </c>
      <c r="Q16" s="80">
        <v>0.98799999999999999</v>
      </c>
      <c r="R16" s="80">
        <v>0.65</v>
      </c>
      <c r="S16" s="80">
        <v>8.44</v>
      </c>
      <c r="T16" s="80"/>
      <c r="U16" s="80"/>
      <c r="V16" s="80"/>
      <c r="W16" s="34"/>
      <c r="X16" s="34"/>
      <c r="Y16" s="34"/>
      <c r="Z16" s="34"/>
      <c r="AA16" s="34"/>
      <c r="AB16" s="34"/>
    </row>
    <row r="17" spans="1:28" x14ac:dyDescent="0.3">
      <c r="A17" s="34"/>
      <c r="B17" s="86">
        <v>14</v>
      </c>
      <c r="C17" s="86">
        <v>2</v>
      </c>
      <c r="D17" s="80" t="s">
        <v>343</v>
      </c>
      <c r="E17" s="78">
        <v>46267</v>
      </c>
      <c r="F17" s="80">
        <v>0.82399999999999995</v>
      </c>
      <c r="G17" s="80">
        <v>0.67</v>
      </c>
      <c r="H17" s="80">
        <v>9.7899999999999991</v>
      </c>
      <c r="I17" s="34"/>
      <c r="J17" s="34"/>
      <c r="K17" s="34"/>
      <c r="L17" s="34"/>
      <c r="M17" s="86">
        <v>14</v>
      </c>
      <c r="N17" s="86">
        <v>2</v>
      </c>
      <c r="O17" s="80" t="s">
        <v>356</v>
      </c>
      <c r="P17" s="78">
        <v>46267</v>
      </c>
      <c r="Q17" s="80">
        <v>1.014</v>
      </c>
      <c r="R17" s="80">
        <v>0.43</v>
      </c>
      <c r="S17" s="80">
        <v>9.0399999999999991</v>
      </c>
      <c r="T17" s="80"/>
      <c r="U17" s="80"/>
      <c r="V17" s="80"/>
      <c r="W17" s="34"/>
      <c r="X17" s="34"/>
      <c r="Y17" s="34"/>
      <c r="Z17" s="34"/>
      <c r="AA17" s="34"/>
      <c r="AB17" s="34"/>
    </row>
    <row r="18" spans="1:28" x14ac:dyDescent="0.3">
      <c r="A18" s="34"/>
      <c r="B18" s="86">
        <v>15</v>
      </c>
      <c r="C18" s="86">
        <v>2</v>
      </c>
      <c r="D18" s="80" t="s">
        <v>345</v>
      </c>
      <c r="E18" s="78">
        <v>46267</v>
      </c>
      <c r="F18" s="80">
        <v>0.75</v>
      </c>
      <c r="G18" s="80">
        <v>0.78</v>
      </c>
      <c r="H18" s="80">
        <v>10.1</v>
      </c>
      <c r="I18" s="228">
        <f>AVERAGE(F16:F18)</f>
        <v>0.7446666666666667</v>
      </c>
      <c r="J18" s="228">
        <f t="shared" ref="J18:K18" si="8">AVERAGE(G16:G18)</f>
        <v>0.59</v>
      </c>
      <c r="K18" s="228">
        <f t="shared" si="8"/>
        <v>9.8400000000000016</v>
      </c>
      <c r="L18" s="34"/>
      <c r="M18" s="225">
        <v>15</v>
      </c>
      <c r="N18" s="225">
        <v>2</v>
      </c>
      <c r="O18" s="163" t="s">
        <v>350</v>
      </c>
      <c r="P18" s="226">
        <v>46267</v>
      </c>
      <c r="Q18" s="163">
        <v>0.95899999999999996</v>
      </c>
      <c r="R18" s="163">
        <v>0.62</v>
      </c>
      <c r="S18" s="163">
        <v>8.31</v>
      </c>
      <c r="T18" s="80">
        <f>AVERAGE(Q14:Q18)</f>
        <v>0.97619999999999985</v>
      </c>
      <c r="U18" s="80">
        <f t="shared" ref="U18:V18" si="9">AVERAGE(R14:R18)</f>
        <v>0.6180000000000001</v>
      </c>
      <c r="V18" s="80">
        <f t="shared" si="9"/>
        <v>8.42</v>
      </c>
      <c r="W18" s="182">
        <f>I18-T18</f>
        <v>-0.23153333333333315</v>
      </c>
      <c r="X18" s="182">
        <f t="shared" ref="X18:Y18" si="10">J18-U18</f>
        <v>-2.8000000000000136E-2</v>
      </c>
      <c r="Y18" s="182">
        <f t="shared" si="10"/>
        <v>1.4200000000000017</v>
      </c>
      <c r="Z18" s="182">
        <f>MEDIAN(Q14:Q17)</f>
        <v>0.97950000000000004</v>
      </c>
      <c r="AA18" s="182">
        <f t="shared" ref="AA18:AB18" si="11">MEDIAN(R14:R17)</f>
        <v>0.625</v>
      </c>
      <c r="AB18" s="182">
        <f t="shared" si="11"/>
        <v>8.5949999999999989</v>
      </c>
    </row>
    <row r="19" spans="1:28" x14ac:dyDescent="0.3">
      <c r="A19" s="34"/>
      <c r="B19" s="86">
        <v>16</v>
      </c>
      <c r="C19" s="86">
        <v>2</v>
      </c>
      <c r="D19" s="80" t="s">
        <v>347</v>
      </c>
      <c r="E19" s="78">
        <v>46267</v>
      </c>
      <c r="F19" s="230">
        <v>0.63200000000000001</v>
      </c>
      <c r="G19" s="231">
        <v>1.103</v>
      </c>
      <c r="H19" s="231">
        <v>9.26</v>
      </c>
      <c r="I19" s="34"/>
      <c r="J19" s="34"/>
      <c r="K19" s="34"/>
      <c r="L19" s="34"/>
      <c r="M19" s="86">
        <v>16</v>
      </c>
      <c r="N19" s="86">
        <v>2</v>
      </c>
      <c r="O19" s="80" t="s">
        <v>344</v>
      </c>
      <c r="P19" s="78">
        <v>46268</v>
      </c>
      <c r="Q19" s="80">
        <v>0.82</v>
      </c>
      <c r="R19" s="80">
        <v>0.65</v>
      </c>
      <c r="S19" s="80">
        <v>6.55</v>
      </c>
      <c r="T19" s="80"/>
      <c r="U19" s="80"/>
      <c r="V19" s="80"/>
      <c r="W19" s="34"/>
      <c r="X19" s="34"/>
      <c r="Y19" s="34"/>
      <c r="Z19" s="34"/>
      <c r="AA19" s="34"/>
      <c r="AB19" s="34"/>
    </row>
    <row r="20" spans="1:28" x14ac:dyDescent="0.3">
      <c r="A20" s="34"/>
      <c r="B20" s="86">
        <v>17</v>
      </c>
      <c r="C20" s="86">
        <v>2</v>
      </c>
      <c r="D20" s="80" t="s">
        <v>349</v>
      </c>
      <c r="E20" s="78">
        <v>46267</v>
      </c>
      <c r="F20" s="231">
        <v>0.63100000000000001</v>
      </c>
      <c r="G20" s="231">
        <v>1.008</v>
      </c>
      <c r="H20" s="231">
        <v>9.24</v>
      </c>
      <c r="I20" s="34"/>
      <c r="J20" s="34"/>
      <c r="K20" s="34"/>
      <c r="L20" s="34"/>
      <c r="M20" s="86">
        <v>17</v>
      </c>
      <c r="N20" s="86">
        <v>2</v>
      </c>
      <c r="O20" s="80" t="s">
        <v>346</v>
      </c>
      <c r="P20" s="78">
        <v>46268</v>
      </c>
      <c r="Q20" s="80">
        <v>0.80900000000000005</v>
      </c>
      <c r="R20" s="80">
        <v>0.66</v>
      </c>
      <c r="S20" s="80">
        <v>6.62</v>
      </c>
      <c r="T20" s="80"/>
      <c r="U20" s="80"/>
      <c r="V20" s="80"/>
      <c r="W20" s="34"/>
      <c r="X20" s="34"/>
      <c r="Y20" s="34"/>
      <c r="Z20" s="34"/>
      <c r="AA20" s="34"/>
      <c r="AB20" s="34"/>
    </row>
    <row r="21" spans="1:28" x14ac:dyDescent="0.3">
      <c r="A21" s="34"/>
      <c r="B21" s="86">
        <v>18</v>
      </c>
      <c r="C21" s="86">
        <v>2</v>
      </c>
      <c r="D21" s="80" t="s">
        <v>351</v>
      </c>
      <c r="E21" s="78">
        <v>46267</v>
      </c>
      <c r="F21" s="231">
        <v>0.67500000000000004</v>
      </c>
      <c r="G21" s="231">
        <v>1.089</v>
      </c>
      <c r="H21" s="231">
        <v>9.27</v>
      </c>
      <c r="I21" s="34"/>
      <c r="J21" s="34"/>
      <c r="K21" s="34"/>
      <c r="L21" s="34"/>
      <c r="M21" s="225">
        <v>18</v>
      </c>
      <c r="N21" s="225">
        <v>2</v>
      </c>
      <c r="O21" s="163" t="s">
        <v>350</v>
      </c>
      <c r="P21" s="226">
        <v>46268</v>
      </c>
      <c r="Q21" s="163">
        <v>0.76400000000000001</v>
      </c>
      <c r="R21" s="163">
        <v>0.67</v>
      </c>
      <c r="S21" s="163">
        <v>7.17</v>
      </c>
      <c r="T21" s="232">
        <f>AVERAGE(Q19:Q21)</f>
        <v>0.79766666666666663</v>
      </c>
      <c r="U21" s="232">
        <f t="shared" ref="U21:V21" si="12">AVERAGE(R19:R21)</f>
        <v>0.66</v>
      </c>
      <c r="V21" s="232">
        <f t="shared" si="12"/>
        <v>6.78</v>
      </c>
      <c r="W21" s="183">
        <f>T21-I24</f>
        <v>0.13633333333333331</v>
      </c>
      <c r="X21" s="183">
        <f t="shared" ref="X21:Y21" si="13">U21-J24</f>
        <v>-6.3333333333333242E-2</v>
      </c>
      <c r="Y21" s="183">
        <f t="shared" si="13"/>
        <v>-1.2766666666666664</v>
      </c>
      <c r="Z21" s="161">
        <f>MEDIAN(Q19:Q21)</f>
        <v>0.80900000000000005</v>
      </c>
      <c r="AA21" s="161">
        <f t="shared" ref="AA21:AB21" si="14">MEDIAN(R19:R21)</f>
        <v>0.66</v>
      </c>
      <c r="AB21" s="161">
        <f t="shared" si="14"/>
        <v>6.62</v>
      </c>
    </row>
    <row r="22" spans="1:28" x14ac:dyDescent="0.3">
      <c r="A22" s="34"/>
      <c r="B22" s="86">
        <v>19</v>
      </c>
      <c r="C22" s="86">
        <v>2</v>
      </c>
      <c r="D22" s="80" t="s">
        <v>341</v>
      </c>
      <c r="E22" s="78">
        <v>46268</v>
      </c>
      <c r="F22" s="80">
        <v>0.66800000000000004</v>
      </c>
      <c r="G22" s="80">
        <v>0.61</v>
      </c>
      <c r="H22" s="80">
        <v>8.17</v>
      </c>
      <c r="I22" s="34"/>
      <c r="J22" s="34"/>
      <c r="K22" s="34"/>
      <c r="L22" s="34"/>
      <c r="M22" s="86">
        <v>19</v>
      </c>
      <c r="N22" s="86">
        <v>3</v>
      </c>
      <c r="O22" s="80" t="s">
        <v>352</v>
      </c>
      <c r="P22" s="78">
        <v>46271</v>
      </c>
      <c r="Q22" s="80">
        <v>1.0609999999999999</v>
      </c>
      <c r="R22" s="80">
        <v>0.73</v>
      </c>
      <c r="S22" s="80">
        <v>8.8699999999999992</v>
      </c>
      <c r="T22" s="34"/>
      <c r="U22" s="34"/>
      <c r="V22" s="34"/>
      <c r="W22" s="34"/>
      <c r="X22" s="34"/>
      <c r="Y22" s="34"/>
      <c r="Z22" s="34"/>
      <c r="AA22" s="34"/>
      <c r="AB22" s="34"/>
    </row>
    <row r="23" spans="1:28" x14ac:dyDescent="0.3">
      <c r="A23" s="34"/>
      <c r="B23" s="86">
        <v>20</v>
      </c>
      <c r="C23" s="86">
        <v>2</v>
      </c>
      <c r="D23" s="80" t="s">
        <v>343</v>
      </c>
      <c r="E23" s="78">
        <v>46268</v>
      </c>
      <c r="F23" s="80">
        <v>0.59399999999999997</v>
      </c>
      <c r="G23" s="80">
        <v>0.71</v>
      </c>
      <c r="H23" s="80">
        <v>7.54</v>
      </c>
      <c r="I23" s="34"/>
      <c r="J23" s="34"/>
      <c r="K23" s="34"/>
      <c r="L23" s="34"/>
      <c r="M23" s="86">
        <v>20</v>
      </c>
      <c r="N23" s="86">
        <v>3</v>
      </c>
      <c r="O23" s="80" t="s">
        <v>342</v>
      </c>
      <c r="P23" s="78">
        <v>46271</v>
      </c>
      <c r="Q23" s="80">
        <v>0.90900000000000003</v>
      </c>
      <c r="R23" s="80">
        <v>0.77</v>
      </c>
      <c r="S23" s="80">
        <v>9.69</v>
      </c>
      <c r="T23" s="34"/>
      <c r="U23" s="34"/>
      <c r="V23" s="34"/>
      <c r="W23" s="34"/>
      <c r="X23" s="34"/>
      <c r="Y23" s="34"/>
      <c r="Z23" s="34"/>
      <c r="AA23" s="34"/>
      <c r="AB23" s="34"/>
    </row>
    <row r="24" spans="1:28" x14ac:dyDescent="0.3">
      <c r="A24" s="34"/>
      <c r="B24" s="86">
        <v>21</v>
      </c>
      <c r="C24" s="86">
        <v>2</v>
      </c>
      <c r="D24" s="80" t="s">
        <v>345</v>
      </c>
      <c r="E24" s="78">
        <v>46268</v>
      </c>
      <c r="F24" s="80">
        <v>0.72199999999999998</v>
      </c>
      <c r="G24" s="80">
        <v>0.85</v>
      </c>
      <c r="H24" s="80">
        <v>8.4600000000000009</v>
      </c>
      <c r="I24" s="228">
        <f>AVERAGE(F22:F24)</f>
        <v>0.66133333333333333</v>
      </c>
      <c r="J24" s="228">
        <f t="shared" ref="J24:K24" si="15">AVERAGE(G22:G24)</f>
        <v>0.72333333333333327</v>
      </c>
      <c r="K24" s="228">
        <f t="shared" si="15"/>
        <v>8.0566666666666666</v>
      </c>
      <c r="L24" s="34"/>
      <c r="M24" s="86">
        <v>21</v>
      </c>
      <c r="N24" s="86">
        <v>3</v>
      </c>
      <c r="O24" s="80" t="s">
        <v>344</v>
      </c>
      <c r="P24" s="78">
        <v>46271</v>
      </c>
      <c r="Q24" s="80">
        <v>0.84799999999999998</v>
      </c>
      <c r="R24" s="80">
        <v>0.66</v>
      </c>
      <c r="S24" s="80">
        <v>8.73</v>
      </c>
      <c r="T24" s="34"/>
      <c r="U24" s="34"/>
      <c r="V24" s="34"/>
      <c r="W24" s="34"/>
      <c r="X24" s="34"/>
      <c r="Y24" s="34"/>
      <c r="Z24" s="34"/>
      <c r="AA24" s="34"/>
      <c r="AB24" s="34"/>
    </row>
    <row r="25" spans="1:28" x14ac:dyDescent="0.3">
      <c r="A25" s="34"/>
      <c r="B25" s="86">
        <v>22</v>
      </c>
      <c r="C25" s="86">
        <v>3</v>
      </c>
      <c r="D25" s="80" t="s">
        <v>347</v>
      </c>
      <c r="E25" s="78">
        <v>46270</v>
      </c>
      <c r="F25" s="80">
        <v>1.0980000000000001</v>
      </c>
      <c r="G25" s="80">
        <v>0.82</v>
      </c>
      <c r="H25" s="80">
        <v>8.17</v>
      </c>
      <c r="I25" s="34"/>
      <c r="J25" s="34"/>
      <c r="K25" s="34"/>
      <c r="L25" s="34"/>
      <c r="M25" s="86">
        <v>21</v>
      </c>
      <c r="N25" s="86">
        <v>3</v>
      </c>
      <c r="O25" s="80" t="s">
        <v>348</v>
      </c>
      <c r="P25" s="78">
        <v>46271</v>
      </c>
      <c r="Q25" s="80">
        <v>0.83</v>
      </c>
      <c r="R25" s="80">
        <v>0.53</v>
      </c>
      <c r="S25" s="80">
        <v>8.7200000000000006</v>
      </c>
      <c r="T25" s="34"/>
      <c r="U25" s="34"/>
      <c r="V25" s="34"/>
      <c r="W25" s="34"/>
      <c r="X25" s="34"/>
      <c r="Y25" s="34"/>
      <c r="Z25" s="34"/>
      <c r="AA25" s="34"/>
      <c r="AB25" s="34"/>
    </row>
    <row r="26" spans="1:28" x14ac:dyDescent="0.3">
      <c r="A26" s="34"/>
      <c r="B26" s="86">
        <v>23</v>
      </c>
      <c r="C26" s="86">
        <v>3</v>
      </c>
      <c r="D26" s="80" t="s">
        <v>349</v>
      </c>
      <c r="E26" s="78">
        <v>46270</v>
      </c>
      <c r="F26" s="80">
        <v>1.0880000000000001</v>
      </c>
      <c r="G26" s="80">
        <v>0.75</v>
      </c>
      <c r="H26" s="80">
        <v>8.1</v>
      </c>
      <c r="I26" s="34"/>
      <c r="J26" s="34"/>
      <c r="K26" s="34"/>
      <c r="L26" s="34"/>
      <c r="M26" s="225">
        <v>21</v>
      </c>
      <c r="N26" s="225">
        <v>3</v>
      </c>
      <c r="O26" s="163" t="s">
        <v>350</v>
      </c>
      <c r="P26" s="226">
        <v>46271</v>
      </c>
      <c r="Q26" s="163">
        <v>1.1679999999999999</v>
      </c>
      <c r="R26" s="163">
        <v>0.83</v>
      </c>
      <c r="S26" s="163">
        <v>9.84</v>
      </c>
      <c r="T26" s="34"/>
      <c r="U26" s="34"/>
      <c r="V26" s="34"/>
      <c r="W26" s="34"/>
      <c r="X26" s="34"/>
      <c r="Y26" s="34"/>
      <c r="Z26" s="34"/>
      <c r="AA26" s="34"/>
      <c r="AB26" s="34"/>
    </row>
    <row r="27" spans="1:28" x14ac:dyDescent="0.3">
      <c r="A27" s="34"/>
      <c r="B27" s="86">
        <v>24</v>
      </c>
      <c r="C27" s="86">
        <v>3</v>
      </c>
      <c r="D27" s="80" t="s">
        <v>351</v>
      </c>
      <c r="E27" s="78">
        <v>46270</v>
      </c>
      <c r="F27" s="80">
        <v>1.075</v>
      </c>
      <c r="G27" s="80">
        <v>0.75</v>
      </c>
      <c r="H27" s="80">
        <v>8.08</v>
      </c>
      <c r="I27" s="34"/>
      <c r="J27" s="34"/>
      <c r="K27" s="34"/>
      <c r="L27" s="34"/>
      <c r="M27" s="80"/>
      <c r="N27" s="80"/>
      <c r="O27" s="80"/>
      <c r="P27" s="86"/>
      <c r="Q27" s="80"/>
      <c r="R27" s="80"/>
      <c r="S27" s="80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x14ac:dyDescent="0.3">
      <c r="A28" s="34"/>
      <c r="B28" s="86">
        <v>25</v>
      </c>
      <c r="C28" s="86">
        <v>3</v>
      </c>
      <c r="D28" s="80" t="s">
        <v>341</v>
      </c>
      <c r="E28" s="78">
        <v>46271</v>
      </c>
      <c r="F28" s="80">
        <v>0.92</v>
      </c>
      <c r="G28" s="80">
        <v>0.56999999999999995</v>
      </c>
      <c r="H28" s="80">
        <v>9.66</v>
      </c>
      <c r="I28" s="34"/>
      <c r="J28" s="34"/>
      <c r="K28" s="34"/>
      <c r="L28" s="34"/>
      <c r="M28" s="80"/>
      <c r="N28" s="80"/>
      <c r="O28" s="80"/>
      <c r="P28" s="86"/>
      <c r="Q28" s="80"/>
      <c r="R28" s="80"/>
      <c r="S28" s="80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x14ac:dyDescent="0.3">
      <c r="A29" s="34"/>
      <c r="B29" s="86">
        <v>26</v>
      </c>
      <c r="C29" s="86">
        <v>3</v>
      </c>
      <c r="D29" s="80" t="s">
        <v>343</v>
      </c>
      <c r="E29" s="78">
        <v>46271</v>
      </c>
      <c r="F29" s="80">
        <v>0.86</v>
      </c>
      <c r="G29" s="80">
        <v>0.54</v>
      </c>
      <c r="H29" s="80">
        <v>9.56</v>
      </c>
      <c r="I29" s="34"/>
      <c r="J29" s="34"/>
      <c r="K29" s="34"/>
      <c r="L29" s="34"/>
      <c r="M29" s="80"/>
      <c r="N29" s="80"/>
      <c r="O29" s="80"/>
      <c r="P29" s="86"/>
      <c r="Q29" s="80"/>
      <c r="R29" s="80"/>
      <c r="S29" s="80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x14ac:dyDescent="0.3">
      <c r="A30" s="34"/>
      <c r="B30" s="86">
        <v>27</v>
      </c>
      <c r="C30" s="86">
        <v>3</v>
      </c>
      <c r="D30" s="80" t="s">
        <v>345</v>
      </c>
      <c r="E30" s="78">
        <v>46271</v>
      </c>
      <c r="F30" s="80">
        <v>0.92700000000000005</v>
      </c>
      <c r="G30" s="80">
        <v>0.6</v>
      </c>
      <c r="H30" s="80">
        <v>9.74</v>
      </c>
      <c r="I30" s="34"/>
      <c r="J30" s="34"/>
      <c r="K30" s="34"/>
      <c r="L30" s="34"/>
      <c r="M30" s="80"/>
      <c r="N30" s="80"/>
      <c r="O30" s="80"/>
      <c r="P30" s="86"/>
      <c r="Q30" s="80"/>
      <c r="R30" s="80"/>
      <c r="S30" s="80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x14ac:dyDescent="0.3">
      <c r="A31" s="34"/>
      <c r="B31" s="86">
        <v>28</v>
      </c>
      <c r="C31" s="86">
        <v>3</v>
      </c>
      <c r="D31" s="80" t="s">
        <v>347</v>
      </c>
      <c r="E31" s="78">
        <v>46271</v>
      </c>
      <c r="F31" s="80">
        <v>0.78800000000000003</v>
      </c>
      <c r="G31" s="80">
        <v>0.62</v>
      </c>
      <c r="H31" s="80">
        <v>9.4600000000000009</v>
      </c>
      <c r="I31" s="34"/>
      <c r="J31" s="34"/>
      <c r="K31" s="34"/>
      <c r="L31" s="34"/>
      <c r="M31" s="80"/>
      <c r="N31" s="80"/>
      <c r="O31" s="80"/>
      <c r="P31" s="86"/>
      <c r="Q31" s="80"/>
      <c r="R31" s="80"/>
      <c r="S31" s="80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x14ac:dyDescent="0.3">
      <c r="A32" s="34"/>
      <c r="B32" s="86">
        <v>29</v>
      </c>
      <c r="C32" s="86">
        <v>3</v>
      </c>
      <c r="D32" s="80" t="s">
        <v>349</v>
      </c>
      <c r="E32" s="78">
        <v>46271</v>
      </c>
      <c r="F32" s="80">
        <v>0.74199999999999999</v>
      </c>
      <c r="G32" s="80">
        <v>0.6</v>
      </c>
      <c r="H32" s="80">
        <v>9.43</v>
      </c>
      <c r="I32" s="34"/>
      <c r="J32" s="34"/>
      <c r="K32" s="34"/>
      <c r="L32" s="34"/>
      <c r="M32" s="80"/>
      <c r="N32" s="80"/>
      <c r="O32" s="80"/>
      <c r="P32" s="86"/>
      <c r="Q32" s="80"/>
      <c r="R32" s="80"/>
      <c r="S32" s="80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x14ac:dyDescent="0.3">
      <c r="A33" s="34"/>
      <c r="B33" s="86">
        <v>30</v>
      </c>
      <c r="C33" s="86">
        <v>3</v>
      </c>
      <c r="D33" s="80" t="s">
        <v>351</v>
      </c>
      <c r="E33" s="78">
        <v>46271</v>
      </c>
      <c r="F33" s="80">
        <v>0.91300000000000003</v>
      </c>
      <c r="G33" s="80">
        <v>0.68</v>
      </c>
      <c r="H33" s="80">
        <v>9.42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x14ac:dyDescent="0.3">
      <c r="A34" s="34"/>
      <c r="B34" s="86">
        <v>31</v>
      </c>
      <c r="C34" s="80"/>
      <c r="D34" s="80"/>
      <c r="E34" s="86"/>
      <c r="F34" s="80"/>
      <c r="G34" s="80"/>
      <c r="H34" s="80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x14ac:dyDescent="0.3">
      <c r="A35" s="34"/>
      <c r="B35" s="86">
        <v>32</v>
      </c>
      <c r="C35" s="80"/>
      <c r="D35" s="80"/>
      <c r="E35" s="86"/>
      <c r="F35" s="80"/>
      <c r="G35" s="80"/>
      <c r="H35" s="80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x14ac:dyDescent="0.3">
      <c r="A36" s="34"/>
      <c r="B36" s="86">
        <v>33</v>
      </c>
      <c r="C36" s="80"/>
      <c r="D36" s="80"/>
      <c r="E36" s="86"/>
      <c r="F36" s="80"/>
      <c r="G36" s="80"/>
      <c r="H36" s="80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x14ac:dyDescent="0.3">
      <c r="A37" s="34"/>
      <c r="B37" s="86">
        <v>34</v>
      </c>
      <c r="C37" s="80"/>
      <c r="D37" s="80"/>
      <c r="E37" s="86"/>
      <c r="F37" s="80"/>
      <c r="G37" s="80"/>
      <c r="H37" s="80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x14ac:dyDescent="0.3">
      <c r="A38" s="34"/>
      <c r="B38" s="86">
        <v>35</v>
      </c>
      <c r="C38" s="80"/>
      <c r="D38" s="80"/>
      <c r="E38" s="86"/>
      <c r="F38" s="80"/>
      <c r="G38" s="80"/>
      <c r="H38" s="80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x14ac:dyDescent="0.3">
      <c r="A39" s="34"/>
      <c r="B39" s="86">
        <v>36</v>
      </c>
      <c r="C39" s="80"/>
      <c r="D39" s="80"/>
      <c r="E39" s="86"/>
      <c r="F39" s="80"/>
      <c r="G39" s="80"/>
      <c r="H39" s="80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x14ac:dyDescent="0.3">
      <c r="A40" s="34"/>
      <c r="B40" s="86">
        <v>37</v>
      </c>
      <c r="C40" s="80"/>
      <c r="D40" s="80"/>
      <c r="E40" s="86"/>
      <c r="F40" s="80"/>
      <c r="G40" s="80"/>
      <c r="H40" s="80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x14ac:dyDescent="0.3">
      <c r="A41" s="34"/>
      <c r="B41" s="86">
        <v>38</v>
      </c>
      <c r="C41" s="80"/>
      <c r="D41" s="80"/>
      <c r="E41" s="86"/>
      <c r="F41" s="80"/>
      <c r="G41" s="80"/>
      <c r="H41" s="80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x14ac:dyDescent="0.3">
      <c r="A42" s="34"/>
      <c r="B42" s="86">
        <v>39</v>
      </c>
      <c r="C42" s="80"/>
      <c r="D42" s="80"/>
      <c r="E42" s="86"/>
      <c r="F42" s="80"/>
      <c r="G42" s="80"/>
      <c r="H42" s="80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x14ac:dyDescent="0.3">
      <c r="A43" s="34"/>
      <c r="B43" s="86">
        <v>40</v>
      </c>
      <c r="C43" s="80"/>
      <c r="D43" s="80"/>
      <c r="E43" s="86"/>
      <c r="F43" s="80"/>
      <c r="G43" s="80"/>
      <c r="H43" s="80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x14ac:dyDescent="0.3">
      <c r="A44" s="34"/>
      <c r="B44" s="86">
        <v>41</v>
      </c>
      <c r="C44" s="80"/>
      <c r="D44" s="80"/>
      <c r="E44" s="86"/>
      <c r="F44" s="80"/>
      <c r="G44" s="80"/>
      <c r="H44" s="80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x14ac:dyDescent="0.3">
      <c r="A45" s="34"/>
      <c r="B45" s="86">
        <v>42</v>
      </c>
      <c r="C45" s="80"/>
      <c r="D45" s="80"/>
      <c r="E45" s="86"/>
      <c r="F45" s="80"/>
      <c r="G45" s="80"/>
      <c r="H45" s="80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1:28" x14ac:dyDescent="0.3">
      <c r="A46" s="34"/>
      <c r="B46" s="86">
        <v>43</v>
      </c>
      <c r="C46" s="80"/>
      <c r="D46" s="80"/>
      <c r="E46" s="86"/>
      <c r="F46" s="80"/>
      <c r="G46" s="80"/>
      <c r="H46" s="80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x14ac:dyDescent="0.3">
      <c r="A47" s="34"/>
      <c r="B47" s="86">
        <v>44</v>
      </c>
      <c r="C47" s="80"/>
      <c r="D47" s="80"/>
      <c r="E47" s="86"/>
      <c r="F47" s="80"/>
      <c r="G47" s="80"/>
      <c r="H47" s="80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x14ac:dyDescent="0.3">
      <c r="A48" s="34"/>
      <c r="B48" s="86">
        <v>45</v>
      </c>
      <c r="C48" s="80"/>
      <c r="D48" s="80"/>
      <c r="E48" s="86"/>
      <c r="F48" s="80"/>
      <c r="G48" s="80"/>
      <c r="H48" s="80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spans="1:28" x14ac:dyDescent="0.3">
      <c r="A49" s="34"/>
      <c r="B49" s="86">
        <v>46</v>
      </c>
      <c r="C49" s="80"/>
      <c r="D49" s="80"/>
      <c r="E49" s="86"/>
      <c r="F49" s="80"/>
      <c r="G49" s="80"/>
      <c r="H49" s="80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x14ac:dyDescent="0.3">
      <c r="A50" s="34"/>
      <c r="B50" s="86">
        <v>47</v>
      </c>
      <c r="C50" s="80"/>
      <c r="D50" s="80"/>
      <c r="E50" s="86"/>
      <c r="F50" s="80"/>
      <c r="G50" s="80"/>
      <c r="H50" s="80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x14ac:dyDescent="0.3">
      <c r="A51" s="34"/>
      <c r="B51" s="86">
        <v>48</v>
      </c>
      <c r="C51" s="80"/>
      <c r="D51" s="80"/>
      <c r="E51" s="86"/>
      <c r="F51" s="80"/>
      <c r="G51" s="80"/>
      <c r="H51" s="80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 x14ac:dyDescent="0.3">
      <c r="A52" s="34"/>
      <c r="B52" s="86">
        <v>49</v>
      </c>
      <c r="C52" s="80"/>
      <c r="D52" s="80"/>
      <c r="E52" s="86"/>
      <c r="F52" s="80"/>
      <c r="G52" s="80"/>
      <c r="H52" s="80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x14ac:dyDescent="0.3">
      <c r="A53" s="34"/>
      <c r="B53" s="86">
        <v>50</v>
      </c>
      <c r="C53" s="80"/>
      <c r="D53" s="80"/>
      <c r="E53" s="86"/>
      <c r="F53" s="80"/>
      <c r="G53" s="80"/>
      <c r="H53" s="80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 x14ac:dyDescent="0.3">
      <c r="A54" s="34"/>
      <c r="B54" s="86">
        <v>51</v>
      </c>
      <c r="C54" s="80"/>
      <c r="D54" s="80"/>
      <c r="E54" s="86"/>
      <c r="F54" s="80"/>
      <c r="G54" s="80"/>
      <c r="H54" s="80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 x14ac:dyDescent="0.3">
      <c r="A55" s="34"/>
      <c r="B55" s="86">
        <v>52</v>
      </c>
      <c r="C55" s="80"/>
      <c r="D55" s="80"/>
      <c r="E55" s="86"/>
      <c r="F55" s="80"/>
      <c r="G55" s="80"/>
      <c r="H55" s="80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x14ac:dyDescent="0.3">
      <c r="A56" s="34"/>
      <c r="B56" s="86">
        <v>53</v>
      </c>
      <c r="C56" s="80"/>
      <c r="D56" s="80"/>
      <c r="E56" s="86"/>
      <c r="F56" s="80"/>
      <c r="G56" s="80"/>
      <c r="H56" s="80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 x14ac:dyDescent="0.3">
      <c r="A57" s="34"/>
      <c r="B57" s="86">
        <v>54</v>
      </c>
      <c r="C57" s="80"/>
      <c r="D57" s="80"/>
      <c r="E57" s="86"/>
      <c r="F57" s="80"/>
      <c r="G57" s="80"/>
      <c r="H57" s="80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 x14ac:dyDescent="0.3">
      <c r="A58" s="34"/>
      <c r="B58" s="86">
        <v>55</v>
      </c>
      <c r="C58" s="80"/>
      <c r="D58" s="80"/>
      <c r="E58" s="86"/>
      <c r="F58" s="80"/>
      <c r="G58" s="80"/>
      <c r="H58" s="80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x14ac:dyDescent="0.3">
      <c r="A59" s="34"/>
      <c r="B59" s="86">
        <v>56</v>
      </c>
      <c r="C59" s="80"/>
      <c r="D59" s="80"/>
      <c r="E59" s="86"/>
      <c r="F59" s="80"/>
      <c r="G59" s="80"/>
      <c r="H59" s="80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x14ac:dyDescent="0.3">
      <c r="A60" s="34"/>
      <c r="B60" s="86">
        <v>57</v>
      </c>
      <c r="C60" s="80"/>
      <c r="D60" s="80"/>
      <c r="E60" s="86"/>
      <c r="F60" s="80"/>
      <c r="G60" s="80"/>
      <c r="H60" s="80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spans="1:28" x14ac:dyDescent="0.3">
      <c r="A61" s="34"/>
      <c r="B61" s="86">
        <v>58</v>
      </c>
      <c r="C61" s="80"/>
      <c r="D61" s="80"/>
      <c r="E61" s="86"/>
      <c r="F61" s="80"/>
      <c r="G61" s="80"/>
      <c r="H61" s="80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x14ac:dyDescent="0.3">
      <c r="A62" s="34"/>
      <c r="B62" s="86">
        <v>59</v>
      </c>
      <c r="C62" s="80"/>
      <c r="D62" s="80"/>
      <c r="E62" s="86"/>
      <c r="F62" s="80"/>
      <c r="G62" s="80"/>
      <c r="H62" s="80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 x14ac:dyDescent="0.3">
      <c r="A63" s="34"/>
      <c r="B63" s="86">
        <v>60</v>
      </c>
      <c r="C63" s="80"/>
      <c r="D63" s="80"/>
      <c r="E63" s="86"/>
      <c r="F63" s="80"/>
      <c r="G63" s="80"/>
      <c r="H63" s="80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spans="1:28" x14ac:dyDescent="0.3">
      <c r="A64" s="34"/>
      <c r="B64" s="86">
        <v>61</v>
      </c>
      <c r="C64" s="80"/>
      <c r="D64" s="80"/>
      <c r="E64" s="86"/>
      <c r="F64" s="80"/>
      <c r="G64" s="80"/>
      <c r="H64" s="80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x14ac:dyDescent="0.3">
      <c r="A65" s="34"/>
      <c r="B65" s="86">
        <v>62</v>
      </c>
      <c r="C65" s="80"/>
      <c r="D65" s="80"/>
      <c r="E65" s="86"/>
      <c r="F65" s="80"/>
      <c r="G65" s="80"/>
      <c r="H65" s="80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spans="1:28" x14ac:dyDescent="0.3">
      <c r="A66" s="34"/>
      <c r="B66" s="86">
        <v>63</v>
      </c>
      <c r="C66" s="80"/>
      <c r="D66" s="80"/>
      <c r="E66" s="86"/>
      <c r="F66" s="80"/>
      <c r="G66" s="80"/>
      <c r="H66" s="80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spans="1:28" x14ac:dyDescent="0.3">
      <c r="A67" s="34"/>
      <c r="B67" s="86">
        <v>64</v>
      </c>
      <c r="C67" s="80"/>
      <c r="D67" s="80"/>
      <c r="E67" s="86"/>
      <c r="F67" s="80"/>
      <c r="G67" s="80"/>
      <c r="H67" s="80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x14ac:dyDescent="0.3">
      <c r="A68" s="34"/>
      <c r="B68" s="86">
        <v>65</v>
      </c>
      <c r="C68" s="80"/>
      <c r="D68" s="80"/>
      <c r="E68" s="86"/>
      <c r="F68" s="80"/>
      <c r="G68" s="80"/>
      <c r="H68" s="80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 x14ac:dyDescent="0.3">
      <c r="A69" s="34"/>
      <c r="B69" s="86">
        <v>66</v>
      </c>
      <c r="C69" s="80"/>
      <c r="D69" s="80"/>
      <c r="E69" s="86"/>
      <c r="F69" s="80"/>
      <c r="G69" s="80"/>
      <c r="H69" s="80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spans="1:28" x14ac:dyDescent="0.3">
      <c r="A70" s="34"/>
      <c r="B70" s="86">
        <v>67</v>
      </c>
      <c r="C70" s="80"/>
      <c r="D70" s="80"/>
      <c r="E70" s="86"/>
      <c r="F70" s="80"/>
      <c r="G70" s="80"/>
      <c r="H70" s="80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x14ac:dyDescent="0.3">
      <c r="A71" s="34"/>
      <c r="B71" s="86">
        <v>68</v>
      </c>
      <c r="C71" s="80"/>
      <c r="D71" s="80"/>
      <c r="E71" s="86"/>
      <c r="F71" s="80"/>
      <c r="G71" s="80"/>
      <c r="H71" s="80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spans="1:28" x14ac:dyDescent="0.3">
      <c r="A72" s="34"/>
      <c r="B72" s="86">
        <v>69</v>
      </c>
      <c r="C72" s="80"/>
      <c r="D72" s="80"/>
      <c r="E72" s="86"/>
      <c r="F72" s="80"/>
      <c r="G72" s="80"/>
      <c r="H72" s="80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spans="1:28" x14ac:dyDescent="0.3">
      <c r="A73" s="34"/>
      <c r="B73" s="86">
        <v>70</v>
      </c>
      <c r="C73" s="80"/>
      <c r="D73" s="80"/>
      <c r="E73" s="86"/>
      <c r="F73" s="80"/>
      <c r="G73" s="80"/>
      <c r="H73" s="80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spans="1:28" x14ac:dyDescent="0.3">
      <c r="A74" s="34"/>
      <c r="B74" s="86">
        <v>71</v>
      </c>
      <c r="C74" s="80"/>
      <c r="D74" s="80"/>
      <c r="E74" s="86"/>
      <c r="F74" s="80"/>
      <c r="G74" s="80"/>
      <c r="H74" s="80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spans="1:28" x14ac:dyDescent="0.3">
      <c r="A75" s="34"/>
      <c r="B75" s="86">
        <v>72</v>
      </c>
      <c r="C75" s="80"/>
      <c r="D75" s="80"/>
      <c r="E75" s="86"/>
      <c r="F75" s="80"/>
      <c r="G75" s="80"/>
      <c r="H75" s="80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spans="1:28" x14ac:dyDescent="0.3">
      <c r="A76" s="34"/>
      <c r="B76" s="86">
        <v>73</v>
      </c>
      <c r="C76" s="80"/>
      <c r="D76" s="80"/>
      <c r="E76" s="86"/>
      <c r="F76" s="80"/>
      <c r="G76" s="80"/>
      <c r="H76" s="80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spans="1:28" x14ac:dyDescent="0.3">
      <c r="A77" s="34"/>
      <c r="B77" s="86">
        <v>74</v>
      </c>
      <c r="C77" s="80"/>
      <c r="D77" s="80"/>
      <c r="E77" s="86"/>
      <c r="F77" s="80"/>
      <c r="G77" s="80"/>
      <c r="H77" s="80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spans="1:28" x14ac:dyDescent="0.3">
      <c r="A78" s="34"/>
      <c r="B78" s="86">
        <v>75</v>
      </c>
      <c r="C78" s="80"/>
      <c r="D78" s="80"/>
      <c r="E78" s="86"/>
      <c r="F78" s="80"/>
      <c r="G78" s="80"/>
      <c r="H78" s="80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spans="1:28" x14ac:dyDescent="0.3">
      <c r="A79" s="34"/>
      <c r="B79" s="86">
        <v>76</v>
      </c>
      <c r="C79" s="80"/>
      <c r="D79" s="80"/>
      <c r="E79" s="86"/>
      <c r="F79" s="80"/>
      <c r="G79" s="80"/>
      <c r="H79" s="80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</sheetData>
  <mergeCells count="2">
    <mergeCell ref="B2:H2"/>
    <mergeCell ref="T2:V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74C67"/>
  </sheetPr>
  <dimension ref="A1:AG102"/>
  <sheetViews>
    <sheetView showGridLines="0" workbookViewId="0">
      <pane ySplit="4" topLeftCell="A5" activePane="bottomLeft" state="frozen"/>
      <selection pane="bottomLeft"/>
    </sheetView>
  </sheetViews>
  <sheetFormatPr defaultColWidth="8.77734375" defaultRowHeight="14.4" x14ac:dyDescent="0.3"/>
  <cols>
    <col min="1" max="1" width="8.77734375" style="1"/>
    <col min="2" max="2" width="10.44140625" style="1" customWidth="1"/>
    <col min="3" max="3" width="9.77734375" style="1" customWidth="1"/>
    <col min="4" max="4" width="23.44140625" style="1" customWidth="1"/>
    <col min="5" max="5" width="38" style="1" customWidth="1"/>
    <col min="6" max="6" width="9.77734375" style="1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" customWidth="1"/>
    <col min="13" max="13" width="27.88671875" style="1" customWidth="1"/>
    <col min="14" max="14" width="16.6640625" style="1" customWidth="1"/>
    <col min="15" max="15" width="8.77734375" style="1"/>
    <col min="16" max="16" width="18.88671875" style="5" customWidth="1"/>
    <col min="17" max="17" width="18.88671875" style="1" customWidth="1"/>
    <col min="18" max="18" width="14.21875" style="1" customWidth="1"/>
    <col min="19" max="19" width="14.6640625" style="1" customWidth="1"/>
    <col min="20" max="22" width="14.77734375" style="1" customWidth="1"/>
    <col min="23" max="23" width="17.44140625" style="1" customWidth="1"/>
    <col min="24" max="25" width="14.77734375" style="1" customWidth="1"/>
    <col min="26" max="26" width="13.77734375" style="1" customWidth="1"/>
    <col min="27" max="27" width="35.6640625" style="1" customWidth="1"/>
    <col min="28" max="28" width="8.77734375" style="1"/>
    <col min="29" max="29" width="11.5546875" style="1" customWidth="1"/>
    <col min="30" max="30" width="15.88671875" style="1" customWidth="1"/>
    <col min="31" max="31" width="14.88671875" style="1" customWidth="1"/>
    <col min="32" max="32" width="14.109375" style="1" customWidth="1"/>
    <col min="33" max="33" width="12.21875" style="1" customWidth="1"/>
    <col min="34" max="16384" width="8.77734375" style="1"/>
  </cols>
  <sheetData>
    <row r="1" spans="1:33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3" ht="22.05" customHeight="1" x14ac:dyDescent="0.3">
      <c r="A2" s="34"/>
      <c r="B2" s="392" t="s">
        <v>357</v>
      </c>
      <c r="C2" s="392" t="s">
        <v>358</v>
      </c>
      <c r="D2" s="161"/>
      <c r="E2" s="161"/>
      <c r="F2" s="34"/>
      <c r="G2" s="34"/>
      <c r="H2" s="533" t="s">
        <v>359</v>
      </c>
      <c r="I2" s="533"/>
      <c r="J2" s="533"/>
      <c r="K2" s="533"/>
      <c r="L2" s="368"/>
      <c r="M2" s="368"/>
      <c r="N2" s="368"/>
      <c r="O2" s="368">
        <f>720+180</f>
        <v>900</v>
      </c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4"/>
      <c r="AA2" s="34"/>
      <c r="AB2" s="34"/>
      <c r="AC2" s="34"/>
      <c r="AD2" s="34"/>
      <c r="AE2" s="34"/>
      <c r="AF2" s="34"/>
    </row>
    <row r="3" spans="1:33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3" ht="22.05" customHeight="1" x14ac:dyDescent="0.3">
      <c r="A4" s="34"/>
      <c r="B4" s="532" t="s">
        <v>74</v>
      </c>
      <c r="C4" s="532"/>
      <c r="D4" s="370" t="s">
        <v>143</v>
      </c>
      <c r="E4" s="370" t="s">
        <v>189</v>
      </c>
      <c r="F4" s="370" t="s">
        <v>142</v>
      </c>
      <c r="G4" s="370" t="s">
        <v>360</v>
      </c>
      <c r="H4" s="370" t="s">
        <v>361</v>
      </c>
      <c r="I4" s="370" t="s">
        <v>362</v>
      </c>
      <c r="J4" s="370" t="s">
        <v>363</v>
      </c>
      <c r="K4" s="370" t="s">
        <v>364</v>
      </c>
      <c r="L4" s="370" t="s">
        <v>365</v>
      </c>
      <c r="M4" s="370" t="s">
        <v>366</v>
      </c>
      <c r="N4" s="370" t="s">
        <v>69</v>
      </c>
      <c r="O4" s="370" t="s">
        <v>70</v>
      </c>
      <c r="P4" s="370" t="s">
        <v>367</v>
      </c>
      <c r="Q4" s="370" t="s">
        <v>368</v>
      </c>
      <c r="R4" s="370" t="s">
        <v>369</v>
      </c>
      <c r="S4" s="370" t="s">
        <v>370</v>
      </c>
      <c r="T4" s="370" t="s">
        <v>371</v>
      </c>
      <c r="U4" s="370" t="s">
        <v>372</v>
      </c>
      <c r="V4" s="370" t="s">
        <v>373</v>
      </c>
      <c r="W4" s="370" t="s">
        <v>374</v>
      </c>
      <c r="X4" s="370" t="s">
        <v>375</v>
      </c>
      <c r="Y4" s="370" t="s">
        <v>376</v>
      </c>
      <c r="Z4" s="197" t="s">
        <v>377</v>
      </c>
      <c r="AA4" s="34"/>
      <c r="AB4" s="34"/>
      <c r="AC4" s="34"/>
      <c r="AD4" s="34"/>
      <c r="AE4" s="34"/>
      <c r="AF4" s="34"/>
    </row>
    <row r="5" spans="1:33" ht="22.05" customHeight="1" x14ac:dyDescent="0.3">
      <c r="A5" s="34"/>
      <c r="B5" s="540">
        <v>46265</v>
      </c>
      <c r="C5" s="541"/>
      <c r="D5" s="233" t="s">
        <v>163</v>
      </c>
      <c r="E5" s="414" t="s">
        <v>378</v>
      </c>
      <c r="F5" s="280" t="s">
        <v>154</v>
      </c>
      <c r="G5" s="99">
        <v>0.2271</v>
      </c>
      <c r="H5" s="235">
        <v>116.84</v>
      </c>
      <c r="I5" s="235">
        <f t="shared" ref="I5:I11" si="0">H5/((720-R5)/60)</f>
        <v>11.198722044728434</v>
      </c>
      <c r="J5" s="235">
        <f>H5</f>
        <v>116.84</v>
      </c>
      <c r="K5" s="294">
        <v>1.135</v>
      </c>
      <c r="L5" s="99">
        <v>0.68</v>
      </c>
      <c r="M5" s="235">
        <f>H5*K5*G5</f>
        <v>30.116503140000003</v>
      </c>
      <c r="N5" s="584">
        <f>SUM(M5:M6)</f>
        <v>74.069659139999999</v>
      </c>
      <c r="O5" s="235">
        <f t="shared" ref="O5:O11" si="1">M5/((720-R5)/60)</f>
        <v>2.8865657961661344</v>
      </c>
      <c r="P5" s="610">
        <f>'Milling Down Time Hours'!M5</f>
        <v>22.433333333333334</v>
      </c>
      <c r="Q5" s="237"/>
      <c r="R5" s="93">
        <f>'Milling Down Time Hours'!L5</f>
        <v>94</v>
      </c>
      <c r="S5" s="584">
        <f>SUM(M5:M8)</f>
        <v>292.31360000000001</v>
      </c>
      <c r="T5" s="238">
        <f>AVERAGE('LT Ball Mill'!F4:F6)</f>
        <v>0.96699999999999997</v>
      </c>
      <c r="U5" s="238">
        <f>AVERAGE('LT Ball Mill'!G4:G6)</f>
        <v>0.41</v>
      </c>
      <c r="V5" s="238">
        <f>AVERAGE('LT Ball Mill'!H4:H6)</f>
        <v>6.1096666666666666</v>
      </c>
      <c r="W5" s="239">
        <f t="shared" ref="W5:W45" si="2">T5*M5</f>
        <v>29.122658536380001</v>
      </c>
      <c r="X5" s="93">
        <f t="shared" ref="X5:X45" si="3">M5*U5</f>
        <v>12.347766287400001</v>
      </c>
      <c r="Y5" s="93">
        <f t="shared" ref="Y5:Y45" si="4">M5*V5</f>
        <v>184.00179535102001</v>
      </c>
      <c r="Z5" s="295">
        <f>W5*$AF$6</f>
        <v>72806646.340949997</v>
      </c>
      <c r="AA5" s="370" t="s">
        <v>379</v>
      </c>
      <c r="AB5" s="370"/>
      <c r="AC5" s="370"/>
      <c r="AD5" s="370"/>
      <c r="AE5" s="370"/>
      <c r="AF5" s="370"/>
    </row>
    <row r="6" spans="1:33" x14ac:dyDescent="0.3">
      <c r="A6" s="34"/>
      <c r="B6" s="542"/>
      <c r="C6" s="543"/>
      <c r="D6" s="240" t="s">
        <v>165</v>
      </c>
      <c r="E6" s="414" t="s">
        <v>378</v>
      </c>
      <c r="F6" s="298" t="s">
        <v>164</v>
      </c>
      <c r="G6" s="299">
        <v>0.36</v>
      </c>
      <c r="H6" s="241">
        <f>J6-H5</f>
        <v>98.859999999999985</v>
      </c>
      <c r="I6" s="235">
        <f t="shared" si="0"/>
        <v>8.2383333333333315</v>
      </c>
      <c r="J6" s="244">
        <v>215.7</v>
      </c>
      <c r="K6" s="300">
        <v>1.2350000000000001</v>
      </c>
      <c r="L6" s="299">
        <v>0.68</v>
      </c>
      <c r="M6" s="235">
        <f>H6*K6*G6</f>
        <v>43.953155999999993</v>
      </c>
      <c r="N6" s="585"/>
      <c r="O6" s="235">
        <f t="shared" si="1"/>
        <v>3.6627629999999995</v>
      </c>
      <c r="P6" s="593"/>
      <c r="Q6" s="243"/>
      <c r="R6" s="93">
        <v>0</v>
      </c>
      <c r="S6" s="592"/>
      <c r="T6" s="245">
        <f>AVERAGE('LT Ball Mill'!F7:F9)</f>
        <v>0.60899999999999999</v>
      </c>
      <c r="U6" s="245">
        <f>AVERAGE('LT Ball Mill'!G7:G9)</f>
        <v>0.52833333333333343</v>
      </c>
      <c r="V6" s="245">
        <f>AVERAGE('LT Ball Mill'!H7:H9)</f>
        <v>7.623333333333334</v>
      </c>
      <c r="W6" s="239">
        <f t="shared" si="2"/>
        <v>26.767472003999995</v>
      </c>
      <c r="X6" s="93">
        <f t="shared" si="3"/>
        <v>23.22191742</v>
      </c>
      <c r="Y6" s="93">
        <f t="shared" si="4"/>
        <v>335.06955923999999</v>
      </c>
      <c r="Z6" s="301">
        <f>W6*$AF$6</f>
        <v>66918680.00999999</v>
      </c>
      <c r="AA6" s="296"/>
      <c r="AB6" s="297"/>
      <c r="AC6" s="297"/>
      <c r="AD6" s="297"/>
      <c r="AE6" s="34"/>
      <c r="AF6" s="301">
        <v>2500000</v>
      </c>
      <c r="AG6" s="14"/>
    </row>
    <row r="7" spans="1:33" s="26" customFormat="1" x14ac:dyDescent="0.3">
      <c r="A7" s="34"/>
      <c r="B7" s="604">
        <v>46266</v>
      </c>
      <c r="C7" s="605"/>
      <c r="D7" s="246" t="s">
        <v>163</v>
      </c>
      <c r="E7" s="415" t="s">
        <v>378</v>
      </c>
      <c r="F7" s="302" t="s">
        <v>154</v>
      </c>
      <c r="G7" s="303">
        <v>0.38790000000000002</v>
      </c>
      <c r="H7" s="247">
        <f>J7-SUM(H5:H6)</f>
        <v>143.30000000000001</v>
      </c>
      <c r="I7" s="304">
        <f t="shared" si="0"/>
        <v>12.371223021582734</v>
      </c>
      <c r="J7" s="304">
        <v>359</v>
      </c>
      <c r="K7" s="302">
        <v>1.2549999999999999</v>
      </c>
      <c r="L7" s="303">
        <v>0.7</v>
      </c>
      <c r="M7" s="304">
        <f>(K7*J7*G7)-(SUM(M5:M6))</f>
        <v>100.69674635999999</v>
      </c>
      <c r="N7" s="616">
        <f>SUM(M7:M8)</f>
        <v>218.24394086000001</v>
      </c>
      <c r="O7" s="304">
        <f t="shared" si="1"/>
        <v>8.6932442900719415</v>
      </c>
      <c r="P7" s="608">
        <f>'Milling Down Time Hours'!M6</f>
        <v>22.9</v>
      </c>
      <c r="Q7" s="305"/>
      <c r="R7" s="250">
        <v>25</v>
      </c>
      <c r="S7" s="592"/>
      <c r="T7" s="248">
        <f>AVERAGE('LT Ball Mill'!F10:F12)</f>
        <v>0.64699999999999991</v>
      </c>
      <c r="U7" s="248">
        <f>AVERAGE('LT Ball Mill'!G10:G12)</f>
        <v>0.67433333333333334</v>
      </c>
      <c r="V7" s="248">
        <f>AVERAGE('LT Ball Mill'!H10:H12)</f>
        <v>7.5333333333333341</v>
      </c>
      <c r="W7" s="249">
        <f t="shared" si="2"/>
        <v>65.150794894919983</v>
      </c>
      <c r="X7" s="250">
        <f t="shared" si="3"/>
        <v>67.903172628759989</v>
      </c>
      <c r="Y7" s="250">
        <f t="shared" si="4"/>
        <v>758.58215591199996</v>
      </c>
      <c r="Z7" s="301">
        <f>W7*$AF$6</f>
        <v>162876987.23729995</v>
      </c>
      <c r="AA7" s="306"/>
      <c r="AB7" s="306"/>
      <c r="AC7" s="306"/>
      <c r="AD7" s="306"/>
      <c r="AE7" s="34"/>
      <c r="AF7" s="34"/>
    </row>
    <row r="8" spans="1:33" s="26" customFormat="1" x14ac:dyDescent="0.3">
      <c r="A8" s="34"/>
      <c r="B8" s="606"/>
      <c r="C8" s="607"/>
      <c r="D8" s="251" t="s">
        <v>165</v>
      </c>
      <c r="E8" s="415" t="s">
        <v>380</v>
      </c>
      <c r="F8" s="307" t="s">
        <v>164</v>
      </c>
      <c r="G8" s="308">
        <v>0.41</v>
      </c>
      <c r="H8" s="252">
        <f>J8-SUM(H5:H7)</f>
        <v>198</v>
      </c>
      <c r="I8" s="304">
        <f t="shared" si="0"/>
        <v>17.496318114874818</v>
      </c>
      <c r="J8" s="305">
        <v>557</v>
      </c>
      <c r="K8" s="307">
        <v>1.28</v>
      </c>
      <c r="L8" s="308">
        <v>0.7</v>
      </c>
      <c r="M8" s="304">
        <f>(K8*J8*G8)-(SUM(M5:M7))</f>
        <v>117.54719450000002</v>
      </c>
      <c r="N8" s="609"/>
      <c r="O8" s="304">
        <f t="shared" si="1"/>
        <v>10.387086406480119</v>
      </c>
      <c r="P8" s="609"/>
      <c r="Q8" s="305"/>
      <c r="R8" s="250">
        <v>41</v>
      </c>
      <c r="S8" s="585"/>
      <c r="T8" s="254">
        <f>AVERAGE('LT Ball Mill'!F13:F15)</f>
        <v>0.60899999999999999</v>
      </c>
      <c r="U8" s="254">
        <f>AVERAGE('LT Ball Mill'!G13:G15)</f>
        <v>0.52833333333333343</v>
      </c>
      <c r="V8" s="254">
        <f>AVERAGE('LT Ball Mill'!H13:H15)</f>
        <v>7.623333333333334</v>
      </c>
      <c r="W8" s="249">
        <f t="shared" si="2"/>
        <v>71.586241450500012</v>
      </c>
      <c r="X8" s="250">
        <f t="shared" si="3"/>
        <v>62.104101094166687</v>
      </c>
      <c r="Y8" s="250">
        <f t="shared" si="4"/>
        <v>896.10144607166683</v>
      </c>
      <c r="Z8" s="301">
        <f>W8*$AF$6</f>
        <v>178965603.62625003</v>
      </c>
      <c r="AA8" s="306"/>
      <c r="AB8" s="306" t="s">
        <v>381</v>
      </c>
      <c r="AC8" s="309">
        <v>1290</v>
      </c>
      <c r="AD8" s="306" t="s">
        <v>301</v>
      </c>
      <c r="AE8" s="34"/>
      <c r="AF8" s="310"/>
    </row>
    <row r="9" spans="1:33" x14ac:dyDescent="0.3">
      <c r="A9" s="34"/>
      <c r="B9" s="540">
        <v>46267</v>
      </c>
      <c r="C9" s="541"/>
      <c r="D9" s="233" t="s">
        <v>163</v>
      </c>
      <c r="E9" s="414" t="s">
        <v>382</v>
      </c>
      <c r="F9" s="280" t="s">
        <v>154</v>
      </c>
      <c r="G9" s="99">
        <v>0.39</v>
      </c>
      <c r="H9" s="280">
        <f>J9</f>
        <v>215</v>
      </c>
      <c r="I9" s="235">
        <f t="shared" si="0"/>
        <v>21.5</v>
      </c>
      <c r="J9" s="280">
        <v>215</v>
      </c>
      <c r="K9" s="280">
        <v>1.26</v>
      </c>
      <c r="L9" s="99">
        <v>0.72</v>
      </c>
      <c r="M9" s="277">
        <f>H9*K9*G9</f>
        <v>105.651</v>
      </c>
      <c r="N9" s="584">
        <f>SUM(M9:M10)</f>
        <v>209.804</v>
      </c>
      <c r="O9" s="235">
        <f t="shared" si="1"/>
        <v>10.565099999999999</v>
      </c>
      <c r="P9" s="584">
        <f>'Milling Down Time Hours'!M7</f>
        <v>22</v>
      </c>
      <c r="Q9" s="244"/>
      <c r="R9" s="200">
        <f>'Milling Down Time Hours'!L7</f>
        <v>120.00000000000001</v>
      </c>
      <c r="S9" s="584">
        <f>SUM(M9:M11)</f>
        <v>300.14215000000002</v>
      </c>
      <c r="T9" s="238">
        <f>AVERAGE('LT Ball Mill'!F16:F18)</f>
        <v>0.7446666666666667</v>
      </c>
      <c r="U9" s="238">
        <f>AVERAGE('LT Ball Mill'!G16:G18)</f>
        <v>0.59</v>
      </c>
      <c r="V9" s="238">
        <f>AVERAGE('LT Ball Mill'!H16:H18)</f>
        <v>9.8400000000000016</v>
      </c>
      <c r="W9" s="239">
        <f t="shared" si="2"/>
        <v>78.674778000000003</v>
      </c>
      <c r="X9" s="93">
        <f t="shared" si="3"/>
        <v>62.334089999999996</v>
      </c>
      <c r="Y9" s="93">
        <f t="shared" si="4"/>
        <v>1039.6058400000002</v>
      </c>
      <c r="Z9" s="301">
        <f t="shared" ref="Z9:Z17" si="5">W9*$AF$6</f>
        <v>196686945</v>
      </c>
      <c r="AA9" s="297"/>
      <c r="AB9" s="297" t="s">
        <v>383</v>
      </c>
      <c r="AC9" s="311">
        <v>1000</v>
      </c>
      <c r="AD9" s="297" t="s">
        <v>384</v>
      </c>
      <c r="AE9" s="34"/>
      <c r="AF9" s="34"/>
    </row>
    <row r="10" spans="1:33" x14ac:dyDescent="0.3">
      <c r="A10" s="34"/>
      <c r="B10" s="542"/>
      <c r="C10" s="543"/>
      <c r="D10" s="240" t="s">
        <v>385</v>
      </c>
      <c r="E10" s="416"/>
      <c r="F10" s="298" t="s">
        <v>164</v>
      </c>
      <c r="G10" s="299">
        <v>0.4</v>
      </c>
      <c r="H10" s="298">
        <f>J10-H9</f>
        <v>198</v>
      </c>
      <c r="I10" s="235">
        <f t="shared" si="0"/>
        <v>16.5</v>
      </c>
      <c r="J10" s="298">
        <v>413</v>
      </c>
      <c r="K10" s="298">
        <v>1.27</v>
      </c>
      <c r="L10" s="99">
        <v>0.72</v>
      </c>
      <c r="M10" s="277">
        <f>K10*J10*G10-SUM(M9)</f>
        <v>104.15300000000001</v>
      </c>
      <c r="N10" s="585"/>
      <c r="O10" s="235">
        <f t="shared" si="1"/>
        <v>8.6794166666666666</v>
      </c>
      <c r="P10" s="585"/>
      <c r="Q10" s="244"/>
      <c r="R10" s="200">
        <v>0</v>
      </c>
      <c r="S10" s="592"/>
      <c r="T10" s="245">
        <f>AVERAGE('LT Ball Mill'!F19:F21)</f>
        <v>0.64600000000000002</v>
      </c>
      <c r="U10" s="245">
        <f>AVERAGE('LT Ball Mill'!G19:G21)</f>
        <v>1.0666666666666667</v>
      </c>
      <c r="V10" s="245">
        <f>AVERAGE('LT Ball Mill'!H19:H21)</f>
        <v>9.2566666666666659</v>
      </c>
      <c r="W10" s="239">
        <f t="shared" si="2"/>
        <v>67.282838000000012</v>
      </c>
      <c r="X10" s="93">
        <f t="shared" si="3"/>
        <v>111.09653333333334</v>
      </c>
      <c r="Y10" s="93">
        <f t="shared" si="4"/>
        <v>964.10960333333333</v>
      </c>
      <c r="Z10" s="301">
        <f t="shared" si="5"/>
        <v>168207095.00000003</v>
      </c>
      <c r="AA10" s="297"/>
      <c r="AB10" s="297" t="s">
        <v>386</v>
      </c>
      <c r="AC10" s="312">
        <f>+AC8/AC9</f>
        <v>1.29</v>
      </c>
      <c r="AD10" s="297" t="s">
        <v>387</v>
      </c>
      <c r="AE10" s="34"/>
      <c r="AF10" s="34"/>
    </row>
    <row r="11" spans="1:33" s="26" customFormat="1" x14ac:dyDescent="0.3">
      <c r="A11" s="34"/>
      <c r="B11" s="604">
        <v>46268</v>
      </c>
      <c r="C11" s="605"/>
      <c r="D11" s="246" t="s">
        <v>163</v>
      </c>
      <c r="E11" s="417" t="s">
        <v>388</v>
      </c>
      <c r="F11" s="302" t="s">
        <v>154</v>
      </c>
      <c r="G11" s="303">
        <v>0.43</v>
      </c>
      <c r="H11" s="307">
        <f>J11-H10-H9</f>
        <v>126</v>
      </c>
      <c r="I11" s="304">
        <f t="shared" si="0"/>
        <v>11.454545454545455</v>
      </c>
      <c r="J11" s="302">
        <v>539</v>
      </c>
      <c r="K11" s="302">
        <v>1.2949999999999999</v>
      </c>
      <c r="L11" s="303">
        <v>0.71</v>
      </c>
      <c r="M11" s="252">
        <f>J11*K11*G11-SUM(M9:M10)</f>
        <v>90.338150000000013</v>
      </c>
      <c r="N11" s="616">
        <f>SUM(M11:M12)</f>
        <v>90.338150000000013</v>
      </c>
      <c r="O11" s="304">
        <f t="shared" si="1"/>
        <v>8.2125590909090924</v>
      </c>
      <c r="P11" s="617">
        <f>'Milling Down Time Hours'!M8</f>
        <v>11.016666666666667</v>
      </c>
      <c r="Q11" s="313"/>
      <c r="R11" s="305">
        <v>60</v>
      </c>
      <c r="S11" s="592"/>
      <c r="T11" s="248">
        <f>AVERAGE('LT Ball Mill'!F22:F24)</f>
        <v>0.66133333333333333</v>
      </c>
      <c r="U11" s="248">
        <f>AVERAGE('LT Ball Mill'!G22:G24)</f>
        <v>0.72333333333333327</v>
      </c>
      <c r="V11" s="248">
        <f>AVERAGE('LT Ball Mill'!H22:H24)</f>
        <v>8.0566666666666666</v>
      </c>
      <c r="W11" s="249">
        <f t="shared" si="2"/>
        <v>59.743629866666673</v>
      </c>
      <c r="X11" s="250">
        <f t="shared" si="3"/>
        <v>65.344595166666664</v>
      </c>
      <c r="Y11" s="250">
        <f t="shared" si="4"/>
        <v>727.82436183333346</v>
      </c>
      <c r="Z11" s="301">
        <f t="shared" si="5"/>
        <v>149359074.66666669</v>
      </c>
      <c r="AA11" s="306"/>
      <c r="AB11" s="306" t="s">
        <v>389</v>
      </c>
      <c r="AC11" s="314">
        <f>2.1</f>
        <v>2.1</v>
      </c>
      <c r="AD11" s="306" t="s">
        <v>387</v>
      </c>
      <c r="AE11" s="34"/>
      <c r="AF11" s="34"/>
    </row>
    <row r="12" spans="1:33" s="26" customFormat="1" x14ac:dyDescent="0.3">
      <c r="A12" s="34"/>
      <c r="B12" s="606"/>
      <c r="C12" s="607"/>
      <c r="D12" s="251" t="s">
        <v>385</v>
      </c>
      <c r="E12" s="418" t="s">
        <v>390</v>
      </c>
      <c r="F12" s="307" t="s">
        <v>164</v>
      </c>
      <c r="G12" s="308"/>
      <c r="H12" s="307"/>
      <c r="I12" s="304"/>
      <c r="J12" s="307"/>
      <c r="K12" s="307"/>
      <c r="L12" s="308"/>
      <c r="M12" s="252">
        <f t="shared" ref="M12:M40" si="6">H12*K12*G12</f>
        <v>0</v>
      </c>
      <c r="N12" s="609"/>
      <c r="O12" s="304"/>
      <c r="P12" s="618"/>
      <c r="Q12" s="315"/>
      <c r="R12" s="253">
        <v>720</v>
      </c>
      <c r="S12" s="593"/>
      <c r="T12" s="256"/>
      <c r="U12" s="256"/>
      <c r="V12" s="257"/>
      <c r="W12" s="249">
        <f t="shared" si="2"/>
        <v>0</v>
      </c>
      <c r="X12" s="250">
        <f t="shared" si="3"/>
        <v>0</v>
      </c>
      <c r="Y12" s="250">
        <f t="shared" si="4"/>
        <v>0</v>
      </c>
      <c r="Z12" s="301">
        <f t="shared" si="5"/>
        <v>0</v>
      </c>
      <c r="AA12" s="306"/>
      <c r="AB12" s="306" t="s">
        <v>391</v>
      </c>
      <c r="AC12" s="314">
        <v>1</v>
      </c>
      <c r="AD12" s="306" t="s">
        <v>387</v>
      </c>
      <c r="AE12" s="34"/>
      <c r="AF12" s="34"/>
    </row>
    <row r="13" spans="1:33" x14ac:dyDescent="0.3">
      <c r="A13" s="34"/>
      <c r="B13" s="540">
        <v>46269</v>
      </c>
      <c r="C13" s="541"/>
      <c r="D13" s="612" t="s">
        <v>392</v>
      </c>
      <c r="E13" s="419"/>
      <c r="F13" s="276" t="s">
        <v>154</v>
      </c>
      <c r="G13" s="316"/>
      <c r="H13" s="276"/>
      <c r="I13" s="235"/>
      <c r="J13" s="276"/>
      <c r="K13" s="276"/>
      <c r="L13" s="317"/>
      <c r="M13" s="277">
        <f t="shared" si="6"/>
        <v>0</v>
      </c>
      <c r="N13" s="277"/>
      <c r="O13" s="276"/>
      <c r="P13" s="584">
        <f>'Milling Down Time Hours'!M9</f>
        <v>3.3333333333333333E-2</v>
      </c>
      <c r="Q13" s="236"/>
      <c r="R13" s="584">
        <f>'Milling Down Time Hours'!L9</f>
        <v>1438</v>
      </c>
      <c r="S13" s="200"/>
      <c r="T13" s="238"/>
      <c r="U13" s="238"/>
      <c r="V13" s="259"/>
      <c r="W13" s="239">
        <f t="shared" si="2"/>
        <v>0</v>
      </c>
      <c r="X13" s="93">
        <f t="shared" si="3"/>
        <v>0</v>
      </c>
      <c r="Y13" s="93">
        <f t="shared" si="4"/>
        <v>0</v>
      </c>
      <c r="Z13" s="301">
        <f t="shared" si="5"/>
        <v>0</v>
      </c>
      <c r="AA13" s="297"/>
      <c r="AB13" s="297" t="s">
        <v>393</v>
      </c>
      <c r="AC13" s="318">
        <f>+(AC10-1)/(AC10-AC10/AC11)</f>
        <v>0.42917547568710362</v>
      </c>
      <c r="AD13" s="297"/>
      <c r="AE13" s="172"/>
      <c r="AF13" s="161"/>
    </row>
    <row r="14" spans="1:33" x14ac:dyDescent="0.3">
      <c r="A14" s="34"/>
      <c r="B14" s="582"/>
      <c r="C14" s="583"/>
      <c r="D14" s="613"/>
      <c r="E14" s="420"/>
      <c r="F14" s="319" t="s">
        <v>164</v>
      </c>
      <c r="G14" s="320"/>
      <c r="H14" s="319"/>
      <c r="I14" s="236"/>
      <c r="J14" s="319"/>
      <c r="K14" s="319"/>
      <c r="L14" s="320"/>
      <c r="M14" s="237">
        <f t="shared" si="6"/>
        <v>0</v>
      </c>
      <c r="N14" s="237"/>
      <c r="O14" s="237">
        <f>(N14/SUM(P5:P14))</f>
        <v>0</v>
      </c>
      <c r="P14" s="592"/>
      <c r="Q14" s="244"/>
      <c r="R14" s="593"/>
      <c r="S14" s="319"/>
      <c r="T14" s="261"/>
      <c r="U14" s="261"/>
      <c r="V14" s="262"/>
      <c r="W14" s="263">
        <f t="shared" si="2"/>
        <v>0</v>
      </c>
      <c r="X14" s="264">
        <f t="shared" si="3"/>
        <v>0</v>
      </c>
      <c r="Y14" s="264">
        <f t="shared" si="4"/>
        <v>0</v>
      </c>
      <c r="Z14" s="301">
        <f t="shared" si="5"/>
        <v>0</v>
      </c>
      <c r="AA14" s="297"/>
      <c r="AB14" s="297" t="s">
        <v>394</v>
      </c>
      <c r="AC14" s="321">
        <f>+AC13*AC8</f>
        <v>553.63636363636363</v>
      </c>
      <c r="AD14" s="297" t="s">
        <v>301</v>
      </c>
      <c r="AE14" s="172"/>
      <c r="AF14" s="161"/>
    </row>
    <row r="15" spans="1:33" x14ac:dyDescent="0.3">
      <c r="A15" s="34"/>
      <c r="B15" s="615">
        <v>46270</v>
      </c>
      <c r="C15" s="615"/>
      <c r="D15" s="77"/>
      <c r="E15" s="421" t="s">
        <v>395</v>
      </c>
      <c r="F15" s="86" t="s">
        <v>154</v>
      </c>
      <c r="G15" s="86"/>
      <c r="H15" s="86"/>
      <c r="I15" s="200"/>
      <c r="J15" s="86"/>
      <c r="K15" s="86"/>
      <c r="L15" s="162"/>
      <c r="M15" s="200">
        <f t="shared" si="6"/>
        <v>0</v>
      </c>
      <c r="N15" s="86"/>
      <c r="O15" s="86"/>
      <c r="P15" s="200">
        <v>0</v>
      </c>
      <c r="Q15" s="200">
        <f>720-R15</f>
        <v>0</v>
      </c>
      <c r="R15" s="200">
        <v>720</v>
      </c>
      <c r="S15" s="86"/>
      <c r="T15" s="184"/>
      <c r="U15" s="184"/>
      <c r="V15" s="184"/>
      <c r="W15" s="239">
        <f t="shared" si="2"/>
        <v>0</v>
      </c>
      <c r="X15" s="93">
        <f t="shared" si="3"/>
        <v>0</v>
      </c>
      <c r="Y15" s="93">
        <f t="shared" si="4"/>
        <v>0</v>
      </c>
      <c r="Z15" s="301">
        <f t="shared" si="5"/>
        <v>0</v>
      </c>
      <c r="AA15" s="297"/>
      <c r="AB15" s="297" t="s">
        <v>396</v>
      </c>
      <c r="AC15" s="321">
        <f>(AC8-AC14)</f>
        <v>736.36363636363637</v>
      </c>
      <c r="AD15" s="297" t="s">
        <v>301</v>
      </c>
      <c r="AE15" s="172"/>
      <c r="AF15" s="161"/>
    </row>
    <row r="16" spans="1:33" x14ac:dyDescent="0.3">
      <c r="A16" s="34"/>
      <c r="B16" s="615"/>
      <c r="C16" s="615"/>
      <c r="D16" s="265" t="s">
        <v>165</v>
      </c>
      <c r="E16" s="265" t="s">
        <v>397</v>
      </c>
      <c r="F16" s="322" t="s">
        <v>164</v>
      </c>
      <c r="G16" s="323">
        <v>0.38</v>
      </c>
      <c r="H16" s="266">
        <f>J16-'Au Cal Leaching Tank'!$Q$10</f>
        <v>62.150000000000006</v>
      </c>
      <c r="I16" s="266">
        <v>5.57</v>
      </c>
      <c r="J16" s="322">
        <v>170</v>
      </c>
      <c r="K16" s="322">
        <v>1.25</v>
      </c>
      <c r="L16" s="323"/>
      <c r="M16" s="266">
        <f>(J16*K16*G16)-'Au Cal Leaching Tank'!$R$10</f>
        <v>26.314330250000005</v>
      </c>
      <c r="N16" s="324">
        <f>SUM(M15:M16)</f>
        <v>26.314330250000005</v>
      </c>
      <c r="O16" s="266">
        <f t="shared" ref="O16:O21" si="7">M16/P16</f>
        <v>2.325272187039765</v>
      </c>
      <c r="P16" s="266">
        <f>Q16/60</f>
        <v>11.316666666666666</v>
      </c>
      <c r="Q16" s="266">
        <f>720-R16</f>
        <v>679</v>
      </c>
      <c r="R16" s="266">
        <v>41</v>
      </c>
      <c r="S16" s="322"/>
      <c r="T16" s="267">
        <f>AVERAGE('LT Ball Mill'!F25:F27)</f>
        <v>1.087</v>
      </c>
      <c r="U16" s="267">
        <f>AVERAGE('LT Ball Mill'!G25:G27)</f>
        <v>0.77333333333333332</v>
      </c>
      <c r="V16" s="267">
        <f>AVERAGE('LT Ball Mill'!H25:H27)</f>
        <v>8.1166666666666671</v>
      </c>
      <c r="W16" s="249">
        <f>T16*M16</f>
        <v>28.603676981750006</v>
      </c>
      <c r="X16" s="250">
        <f t="shared" si="3"/>
        <v>20.349748726666668</v>
      </c>
      <c r="Y16" s="250">
        <f t="shared" si="4"/>
        <v>213.58464719583338</v>
      </c>
      <c r="Z16" s="301">
        <f t="shared" si="5"/>
        <v>71509192.454375014</v>
      </c>
      <c r="AA16" s="297"/>
      <c r="AB16" s="297"/>
      <c r="AC16" s="297"/>
      <c r="AD16" s="297"/>
      <c r="AE16" s="172"/>
      <c r="AF16" s="161"/>
    </row>
    <row r="17" spans="1:32" x14ac:dyDescent="0.3">
      <c r="A17" s="34"/>
      <c r="B17" s="582">
        <v>46271</v>
      </c>
      <c r="C17" s="583"/>
      <c r="D17" s="258" t="s">
        <v>165</v>
      </c>
      <c r="E17" s="419" t="s">
        <v>398</v>
      </c>
      <c r="F17" s="276" t="s">
        <v>154</v>
      </c>
      <c r="G17" s="316">
        <v>0.47</v>
      </c>
      <c r="H17" s="200">
        <f>J17-SUM(H16)-'Au Cal Leaching Tank'!$Q$10</f>
        <v>45</v>
      </c>
      <c r="I17" s="243">
        <f t="shared" ref="I17:I22" si="8">H17/((720-R17)/60)</f>
        <v>4.5762711864406773</v>
      </c>
      <c r="J17" s="276">
        <v>215</v>
      </c>
      <c r="K17" s="276">
        <v>1.33</v>
      </c>
      <c r="L17" s="316">
        <v>0.65</v>
      </c>
      <c r="M17" s="242">
        <f>J17*K17*G17-SUM(M16)-'Au Cal Leaching Tank'!$R$10</f>
        <v>53.646499999999968</v>
      </c>
      <c r="N17" s="592">
        <f>SUM(M17:M18)</f>
        <v>173.32450000000003</v>
      </c>
      <c r="O17" s="200">
        <f t="shared" si="7"/>
        <v>5.4555762711864366</v>
      </c>
      <c r="P17" s="200">
        <f>(720-R17)/60</f>
        <v>9.8333333333333339</v>
      </c>
      <c r="Q17" s="200">
        <f t="shared" ref="Q17" si="9">720-R17</f>
        <v>590</v>
      </c>
      <c r="R17" s="200">
        <f>'Milling Down Time Hours'!L11</f>
        <v>130</v>
      </c>
      <c r="S17" s="276"/>
      <c r="T17" s="268">
        <f>AVERAGE('LT Ball Mill'!F28:F30)</f>
        <v>0.90233333333333332</v>
      </c>
      <c r="U17" s="268">
        <f>AVERAGE('LT Ball Mill'!G28:G30)</f>
        <v>0.56999999999999995</v>
      </c>
      <c r="V17" s="268">
        <f>AVERAGE('LT Ball Mill'!H28:H30)</f>
        <v>9.6533333333333342</v>
      </c>
      <c r="W17" s="269">
        <f>T17*M17</f>
        <v>48.407025166666635</v>
      </c>
      <c r="X17" s="270">
        <f t="shared" si="3"/>
        <v>30.578504999999979</v>
      </c>
      <c r="Y17" s="270">
        <f t="shared" si="4"/>
        <v>517.86754666666639</v>
      </c>
      <c r="Z17" s="301">
        <f t="shared" si="5"/>
        <v>121017562.91666658</v>
      </c>
      <c r="AA17" s="34"/>
      <c r="AB17" s="34"/>
      <c r="AC17" s="34"/>
      <c r="AD17" s="34"/>
      <c r="AE17" s="204"/>
      <c r="AF17" s="161"/>
    </row>
    <row r="18" spans="1:32" x14ac:dyDescent="0.3">
      <c r="A18" s="34"/>
      <c r="B18" s="542"/>
      <c r="C18" s="543"/>
      <c r="D18" s="255" t="s">
        <v>163</v>
      </c>
      <c r="E18" s="416"/>
      <c r="F18" s="298" t="s">
        <v>164</v>
      </c>
      <c r="G18" s="299">
        <v>0.45</v>
      </c>
      <c r="H18" s="200">
        <f>J18-SUM(H16:H17)-'Au Cal Leaching Tank'!$Q$10</f>
        <v>216.00000000000003</v>
      </c>
      <c r="I18" s="235">
        <f t="shared" si="8"/>
        <v>18.000000000000004</v>
      </c>
      <c r="J18" s="298">
        <v>431</v>
      </c>
      <c r="K18" s="298">
        <v>1.31</v>
      </c>
      <c r="L18" s="299">
        <v>0.65</v>
      </c>
      <c r="M18" s="242">
        <f>J18*K18*G18-SUM(M16:M17)-'Au Cal Leaching Tank'!$R$10</f>
        <v>119.67800000000005</v>
      </c>
      <c r="N18" s="585"/>
      <c r="O18" s="200">
        <f t="shared" si="7"/>
        <v>9.9731666666666712</v>
      </c>
      <c r="P18" s="200">
        <f>(720-R18)/60</f>
        <v>12</v>
      </c>
      <c r="Q18" s="200">
        <f>720-R18</f>
        <v>720</v>
      </c>
      <c r="R18" s="200">
        <v>0</v>
      </c>
      <c r="S18" s="277"/>
      <c r="T18" s="245">
        <f>AVERAGE('LT Ball Mill'!F31:F33)</f>
        <v>0.81433333333333335</v>
      </c>
      <c r="U18" s="245">
        <f>AVERAGE('LT Ball Mill'!G31:G33)</f>
        <v>0.6333333333333333</v>
      </c>
      <c r="V18" s="245">
        <f>AVERAGE('LT Ball Mill'!H31:H33)</f>
        <v>9.4366666666666674</v>
      </c>
      <c r="W18" s="239">
        <f>T18*M18</f>
        <v>97.457784666666711</v>
      </c>
      <c r="X18" s="93">
        <f t="shared" si="3"/>
        <v>75.796066666666704</v>
      </c>
      <c r="Y18" s="93">
        <f t="shared" si="4"/>
        <v>1129.361393333334</v>
      </c>
      <c r="Z18" s="193"/>
      <c r="AA18" s="183"/>
      <c r="AB18" s="34"/>
      <c r="AC18" s="161">
        <f>1490-180</f>
        <v>1310</v>
      </c>
      <c r="AD18" s="34"/>
      <c r="AE18" s="34"/>
      <c r="AF18" s="34"/>
    </row>
    <row r="19" spans="1:32" x14ac:dyDescent="0.3">
      <c r="A19" s="34"/>
      <c r="B19" s="540">
        <v>46272</v>
      </c>
      <c r="C19" s="541"/>
      <c r="D19" s="271" t="s">
        <v>199</v>
      </c>
      <c r="E19" s="422" t="s">
        <v>399</v>
      </c>
      <c r="F19" s="325" t="s">
        <v>154</v>
      </c>
      <c r="G19" s="326">
        <v>0.45</v>
      </c>
      <c r="H19" s="327">
        <f>J19-SUM(H16:H18)-'Au Cal Leaching Tank'!$Q$10</f>
        <v>215.99999999999997</v>
      </c>
      <c r="I19" s="328">
        <f t="shared" si="8"/>
        <v>19.31445603576751</v>
      </c>
      <c r="J19" s="325">
        <v>647</v>
      </c>
      <c r="K19" s="325">
        <v>1.31</v>
      </c>
      <c r="L19" s="326">
        <v>0.73</v>
      </c>
      <c r="M19" s="329">
        <f>J19*K19*G19-SUM(M16:M18)-'Au Cal Leaching Tank'!$R$10</f>
        <v>127.33200000000005</v>
      </c>
      <c r="N19" s="584">
        <f>SUM(M19:M20)</f>
        <v>185.59190000000007</v>
      </c>
      <c r="O19" s="200">
        <f t="shared" si="7"/>
        <v>8.9775793184488872</v>
      </c>
      <c r="P19" s="200">
        <f>(900-R19)/60</f>
        <v>14.183333333333334</v>
      </c>
      <c r="Q19" s="200">
        <f>900-R19</f>
        <v>851</v>
      </c>
      <c r="R19" s="200">
        <f>'Milling Down Time Hours'!G13+30</f>
        <v>49</v>
      </c>
      <c r="S19" s="243"/>
      <c r="T19" s="272"/>
      <c r="U19" s="272"/>
      <c r="V19" s="273"/>
      <c r="W19" s="239">
        <f t="shared" si="2"/>
        <v>0</v>
      </c>
      <c r="X19" s="93">
        <f t="shared" si="3"/>
        <v>0</v>
      </c>
      <c r="Y19" s="93">
        <f t="shared" si="4"/>
        <v>0</v>
      </c>
      <c r="Z19" s="34"/>
      <c r="AA19" s="34"/>
      <c r="AB19" s="34"/>
      <c r="AC19" s="172">
        <f>(AC10-1)/(AC10-AC10/AC11)</f>
        <v>0.42917547568710362</v>
      </c>
      <c r="AD19" s="34"/>
      <c r="AE19" s="34"/>
      <c r="AF19" s="34"/>
    </row>
    <row r="20" spans="1:32" x14ac:dyDescent="0.3">
      <c r="A20" s="34"/>
      <c r="B20" s="542"/>
      <c r="C20" s="543"/>
      <c r="D20" s="78" t="s">
        <v>400</v>
      </c>
      <c r="E20" s="423" t="s">
        <v>401</v>
      </c>
      <c r="F20" s="86" t="s">
        <v>164</v>
      </c>
      <c r="G20" s="162">
        <v>0.41</v>
      </c>
      <c r="H20" s="200">
        <f>J20-'Au Cal Leaching Tank'!$Q$11</f>
        <v>107.15</v>
      </c>
      <c r="I20" s="235">
        <f>H20/((720-R20)/60)</f>
        <v>9.5103550295857993</v>
      </c>
      <c r="J20" s="86">
        <v>215</v>
      </c>
      <c r="K20" s="86">
        <v>1.28</v>
      </c>
      <c r="L20" s="162">
        <v>0.73</v>
      </c>
      <c r="M20" s="277">
        <f>J20*K20*G20-'Au Cal Leaching Tank'!$R$11</f>
        <v>58.259900000000002</v>
      </c>
      <c r="N20" s="614"/>
      <c r="O20" s="200">
        <f t="shared" si="7"/>
        <v>6.2870395683453237</v>
      </c>
      <c r="P20" s="200">
        <f>(600-R20)/60</f>
        <v>9.2666666666666675</v>
      </c>
      <c r="Q20" s="200">
        <f>600-R20</f>
        <v>556</v>
      </c>
      <c r="R20" s="200">
        <f>'Milling Down Time Hours'!G14-30</f>
        <v>44</v>
      </c>
      <c r="S20" s="86"/>
      <c r="T20" s="274"/>
      <c r="U20" s="274"/>
      <c r="V20" s="275"/>
      <c r="W20" s="239">
        <f t="shared" si="2"/>
        <v>0</v>
      </c>
      <c r="X20" s="93">
        <f t="shared" si="3"/>
        <v>0</v>
      </c>
      <c r="Y20" s="93">
        <f t="shared" si="4"/>
        <v>0</v>
      </c>
      <c r="Z20" s="34"/>
      <c r="AA20" s="34"/>
      <c r="AB20" s="34"/>
      <c r="AC20" s="34"/>
      <c r="AD20" s="34"/>
      <c r="AE20" s="34"/>
      <c r="AF20" s="34"/>
    </row>
    <row r="21" spans="1:32" x14ac:dyDescent="0.3">
      <c r="A21" s="34"/>
      <c r="B21" s="540">
        <v>46273</v>
      </c>
      <c r="C21" s="541"/>
      <c r="D21" s="78" t="s">
        <v>199</v>
      </c>
      <c r="E21" s="423" t="s">
        <v>402</v>
      </c>
      <c r="F21" s="86" t="s">
        <v>154</v>
      </c>
      <c r="G21" s="162">
        <v>0.42</v>
      </c>
      <c r="H21" s="200">
        <f>J21-'Au Cal Leaching Tank'!$Q$11-SUM(H20)</f>
        <v>188.99999999999997</v>
      </c>
      <c r="I21" s="235">
        <f t="shared" si="8"/>
        <v>18.290322580645157</v>
      </c>
      <c r="J21" s="86">
        <v>404</v>
      </c>
      <c r="K21" s="86">
        <v>1.29</v>
      </c>
      <c r="L21" s="162">
        <v>0.75</v>
      </c>
      <c r="M21" s="277">
        <f>J21*K21*G21-'Au Cal Leaching Tank'!$R$11-SUM(M20)</f>
        <v>106.05519999999997</v>
      </c>
      <c r="N21" s="584">
        <f>SUM(M21:M22)</f>
        <v>106.05519999999997</v>
      </c>
      <c r="O21" s="200">
        <f t="shared" si="7"/>
        <v>10.2634064516129</v>
      </c>
      <c r="P21" s="200">
        <f>(720-R21)/60</f>
        <v>10.333333333333334</v>
      </c>
      <c r="Q21" s="200">
        <f>720-R21</f>
        <v>620</v>
      </c>
      <c r="R21" s="200">
        <f>'Milling Down Time Hours'!G15</f>
        <v>100</v>
      </c>
      <c r="S21" s="86"/>
      <c r="T21" s="588"/>
      <c r="U21" s="588"/>
      <c r="V21" s="590"/>
      <c r="W21" s="239">
        <f t="shared" si="2"/>
        <v>0</v>
      </c>
      <c r="X21" s="93">
        <f t="shared" si="3"/>
        <v>0</v>
      </c>
      <c r="Y21" s="93">
        <f t="shared" si="4"/>
        <v>0</v>
      </c>
      <c r="Z21" s="34"/>
      <c r="AA21" s="86" t="s">
        <v>403</v>
      </c>
      <c r="AB21" s="86">
        <v>10.7</v>
      </c>
      <c r="AC21" s="80" t="s">
        <v>404</v>
      </c>
      <c r="AD21" s="34"/>
      <c r="AE21" s="34"/>
      <c r="AF21" s="34"/>
    </row>
    <row r="22" spans="1:32" x14ac:dyDescent="0.3">
      <c r="A22" s="34"/>
      <c r="B22" s="542"/>
      <c r="C22" s="543"/>
      <c r="D22" s="260"/>
      <c r="E22" s="420"/>
      <c r="F22" s="319" t="s">
        <v>164</v>
      </c>
      <c r="G22" s="319"/>
      <c r="H22" s="319"/>
      <c r="I22" s="235">
        <f t="shared" si="8"/>
        <v>0</v>
      </c>
      <c r="J22" s="319"/>
      <c r="K22" s="319"/>
      <c r="L22" s="319"/>
      <c r="M22" s="277">
        <f t="shared" si="6"/>
        <v>0</v>
      </c>
      <c r="N22" s="614"/>
      <c r="O22" s="319"/>
      <c r="P22" s="330"/>
      <c r="Q22" s="244"/>
      <c r="R22" s="331"/>
      <c r="S22" s="319"/>
      <c r="T22" s="594"/>
      <c r="U22" s="594"/>
      <c r="V22" s="595"/>
      <c r="W22" s="239">
        <f t="shared" si="2"/>
        <v>0</v>
      </c>
      <c r="X22" s="93">
        <f t="shared" si="3"/>
        <v>0</v>
      </c>
      <c r="Y22" s="93">
        <f t="shared" si="4"/>
        <v>0</v>
      </c>
      <c r="Z22" s="34"/>
      <c r="AA22" s="86" t="s">
        <v>405</v>
      </c>
      <c r="AB22" s="86">
        <v>2.4</v>
      </c>
      <c r="AC22" s="80" t="s">
        <v>404</v>
      </c>
      <c r="AD22" s="34"/>
      <c r="AE22" s="34"/>
      <c r="AF22" s="34"/>
    </row>
    <row r="23" spans="1:32" x14ac:dyDescent="0.3">
      <c r="A23" s="34"/>
      <c r="B23" s="540">
        <v>46274</v>
      </c>
      <c r="C23" s="541"/>
      <c r="D23" s="234"/>
      <c r="E23" s="414"/>
      <c r="F23" s="280" t="s">
        <v>154</v>
      </c>
      <c r="G23" s="99"/>
      <c r="H23" s="280"/>
      <c r="I23" s="280"/>
      <c r="J23" s="280"/>
      <c r="K23" s="280"/>
      <c r="L23" s="99"/>
      <c r="M23" s="277">
        <f t="shared" si="6"/>
        <v>0</v>
      </c>
      <c r="N23" s="235"/>
      <c r="O23" s="584">
        <f>S23/(P23+P25)</f>
        <v>0</v>
      </c>
      <c r="P23" s="611">
        <f>'Milling Down Time Hours'!M14</f>
        <v>22.766666666666666</v>
      </c>
      <c r="Q23" s="236"/>
      <c r="R23" s="584">
        <f>'Milling Down Time Hours'!L24</f>
        <v>0</v>
      </c>
      <c r="S23" s="584">
        <f>SUM(N23:N25)</f>
        <v>0</v>
      </c>
      <c r="T23" s="238"/>
      <c r="U23" s="238"/>
      <c r="V23" s="259"/>
      <c r="W23" s="239">
        <f t="shared" si="2"/>
        <v>0</v>
      </c>
      <c r="X23" s="93">
        <f t="shared" si="3"/>
        <v>0</v>
      </c>
      <c r="Y23" s="93">
        <f t="shared" si="4"/>
        <v>0</v>
      </c>
      <c r="Z23" s="34"/>
      <c r="AA23" s="86" t="s">
        <v>406</v>
      </c>
      <c r="AB23" s="86">
        <f>AB21*0.5</f>
        <v>5.35</v>
      </c>
      <c r="AC23" s="80"/>
      <c r="AD23" s="34"/>
      <c r="AE23" s="34"/>
      <c r="AF23" s="34"/>
    </row>
    <row r="24" spans="1:32" x14ac:dyDescent="0.3">
      <c r="A24" s="34"/>
      <c r="B24" s="542"/>
      <c r="C24" s="543"/>
      <c r="D24" s="260"/>
      <c r="E24" s="420"/>
      <c r="F24" s="319" t="s">
        <v>164</v>
      </c>
      <c r="G24" s="320"/>
      <c r="H24" s="319"/>
      <c r="I24" s="319"/>
      <c r="J24" s="319"/>
      <c r="K24" s="319"/>
      <c r="L24" s="320"/>
      <c r="M24" s="277">
        <f t="shared" si="6"/>
        <v>0</v>
      </c>
      <c r="N24" s="237"/>
      <c r="O24" s="592"/>
      <c r="P24" s="610"/>
      <c r="Q24" s="244" t="s">
        <v>407</v>
      </c>
      <c r="R24" s="592"/>
      <c r="S24" s="592"/>
      <c r="T24" s="261"/>
      <c r="U24" s="261"/>
      <c r="V24" s="262"/>
      <c r="W24" s="239">
        <f t="shared" si="2"/>
        <v>0</v>
      </c>
      <c r="X24" s="93">
        <f t="shared" si="3"/>
        <v>0</v>
      </c>
      <c r="Y24" s="93">
        <f t="shared" si="4"/>
        <v>0</v>
      </c>
      <c r="Z24" s="34"/>
      <c r="AA24" s="86" t="s">
        <v>408</v>
      </c>
      <c r="AB24" s="207">
        <f>3.14*AB23*AB23*AB22</f>
        <v>215.69915999999998</v>
      </c>
      <c r="AC24" s="80"/>
      <c r="AD24" s="34"/>
      <c r="AE24" s="34"/>
      <c r="AF24" s="34"/>
    </row>
    <row r="25" spans="1:32" x14ac:dyDescent="0.3">
      <c r="A25" s="34"/>
      <c r="B25" s="540">
        <v>46275</v>
      </c>
      <c r="C25" s="541"/>
      <c r="D25" s="255"/>
      <c r="E25" s="416"/>
      <c r="F25" s="280" t="s">
        <v>154</v>
      </c>
      <c r="G25" s="299"/>
      <c r="H25" s="298"/>
      <c r="I25" s="298"/>
      <c r="J25" s="298"/>
      <c r="K25" s="298"/>
      <c r="L25" s="299"/>
      <c r="M25" s="277">
        <f t="shared" si="6"/>
        <v>0</v>
      </c>
      <c r="N25" s="277"/>
      <c r="O25" s="585"/>
      <c r="P25" s="277">
        <v>6</v>
      </c>
      <c r="Q25" s="242"/>
      <c r="R25" s="585"/>
      <c r="S25" s="585"/>
      <c r="T25" s="278"/>
      <c r="U25" s="278"/>
      <c r="V25" s="278"/>
      <c r="W25" s="239">
        <f t="shared" si="2"/>
        <v>0</v>
      </c>
      <c r="X25" s="93">
        <f t="shared" si="3"/>
        <v>0</v>
      </c>
      <c r="Y25" s="93">
        <f t="shared" si="4"/>
        <v>0</v>
      </c>
      <c r="Z25" s="34"/>
      <c r="AA25" s="190" t="s">
        <v>409</v>
      </c>
      <c r="AB25" s="228">
        <f>AB24*AC10*41%</f>
        <v>114.08328572399998</v>
      </c>
      <c r="AC25" s="34"/>
      <c r="AD25" s="34"/>
      <c r="AE25" s="34"/>
      <c r="AF25" s="34"/>
    </row>
    <row r="26" spans="1:32" x14ac:dyDescent="0.3">
      <c r="A26" s="34"/>
      <c r="B26" s="542"/>
      <c r="C26" s="543"/>
      <c r="D26" s="234"/>
      <c r="E26" s="414"/>
      <c r="F26" s="319" t="s">
        <v>164</v>
      </c>
      <c r="G26" s="99"/>
      <c r="H26" s="280"/>
      <c r="I26" s="280"/>
      <c r="J26" s="280"/>
      <c r="K26" s="280"/>
      <c r="L26" s="99"/>
      <c r="M26" s="277">
        <f t="shared" si="6"/>
        <v>0</v>
      </c>
      <c r="N26" s="279"/>
      <c r="O26" s="584">
        <f>SUM(N26:N29)/SUM(P26:P29)</f>
        <v>0</v>
      </c>
      <c r="P26" s="235">
        <v>6</v>
      </c>
      <c r="Q26" s="235"/>
      <c r="R26" s="235"/>
      <c r="S26" s="280"/>
      <c r="T26" s="278"/>
      <c r="U26" s="278"/>
      <c r="V26" s="278"/>
      <c r="W26" s="239">
        <f t="shared" si="2"/>
        <v>0</v>
      </c>
      <c r="X26" s="93">
        <f t="shared" si="3"/>
        <v>0</v>
      </c>
      <c r="Y26" s="93">
        <f t="shared" si="4"/>
        <v>0</v>
      </c>
      <c r="Z26" s="34"/>
      <c r="AA26" s="190"/>
      <c r="AB26" s="228">
        <f>AB25-33.43</f>
        <v>80.653285723999971</v>
      </c>
      <c r="AC26" s="34"/>
      <c r="AD26" s="34"/>
      <c r="AE26" s="34"/>
      <c r="AF26" s="34"/>
    </row>
    <row r="27" spans="1:32" x14ac:dyDescent="0.3">
      <c r="A27" s="34"/>
      <c r="B27" s="540">
        <v>46276</v>
      </c>
      <c r="C27" s="541"/>
      <c r="D27" s="255"/>
      <c r="E27" s="424"/>
      <c r="F27" s="280" t="s">
        <v>154</v>
      </c>
      <c r="G27" s="99"/>
      <c r="H27" s="298"/>
      <c r="I27" s="298"/>
      <c r="J27" s="298"/>
      <c r="K27" s="298"/>
      <c r="L27" s="299"/>
      <c r="M27" s="277">
        <f t="shared" si="6"/>
        <v>0</v>
      </c>
      <c r="N27" s="279"/>
      <c r="O27" s="592"/>
      <c r="P27" s="242">
        <v>12</v>
      </c>
      <c r="Q27" s="242"/>
      <c r="R27" s="242"/>
      <c r="S27" s="125"/>
      <c r="T27" s="245"/>
      <c r="U27" s="245"/>
      <c r="V27" s="281"/>
      <c r="W27" s="239">
        <f t="shared" si="2"/>
        <v>0</v>
      </c>
      <c r="X27" s="93">
        <f t="shared" si="3"/>
        <v>0</v>
      </c>
      <c r="Y27" s="93">
        <f t="shared" si="4"/>
        <v>0</v>
      </c>
      <c r="Z27" s="34"/>
      <c r="AA27" s="34"/>
      <c r="AB27" s="34"/>
      <c r="AC27" s="34"/>
      <c r="AD27" s="332"/>
      <c r="AE27" s="34"/>
      <c r="AF27" s="34"/>
    </row>
    <row r="28" spans="1:32" x14ac:dyDescent="0.3">
      <c r="A28" s="34"/>
      <c r="B28" s="542"/>
      <c r="C28" s="543"/>
      <c r="D28" s="234"/>
      <c r="E28" s="414"/>
      <c r="F28" s="319" t="s">
        <v>164</v>
      </c>
      <c r="G28" s="99"/>
      <c r="H28" s="280"/>
      <c r="I28" s="280"/>
      <c r="J28" s="280"/>
      <c r="K28" s="280"/>
      <c r="L28" s="96"/>
      <c r="M28" s="277">
        <f t="shared" si="6"/>
        <v>0</v>
      </c>
      <c r="N28" s="279"/>
      <c r="O28" s="592"/>
      <c r="P28" s="584">
        <f>'Milling Down Time Hours'!M17</f>
        <v>24</v>
      </c>
      <c r="Q28" s="236"/>
      <c r="R28" s="584">
        <f>'Milling Down Time Hours'!L17</f>
        <v>0</v>
      </c>
      <c r="S28" s="96"/>
      <c r="T28" s="238"/>
      <c r="U28" s="238"/>
      <c r="V28" s="238"/>
      <c r="W28" s="239">
        <f t="shared" si="2"/>
        <v>0</v>
      </c>
      <c r="X28" s="93">
        <f t="shared" si="3"/>
        <v>0</v>
      </c>
      <c r="Y28" s="93">
        <f t="shared" si="4"/>
        <v>0</v>
      </c>
      <c r="Z28" s="34"/>
      <c r="AA28" s="34"/>
      <c r="AB28" s="34"/>
      <c r="AC28" s="34"/>
      <c r="AD28" s="34"/>
      <c r="AE28" s="34"/>
      <c r="AF28" s="34"/>
    </row>
    <row r="29" spans="1:32" x14ac:dyDescent="0.3">
      <c r="A29" s="34"/>
      <c r="B29" s="540">
        <v>46277</v>
      </c>
      <c r="C29" s="541"/>
      <c r="D29" s="255"/>
      <c r="E29" s="416"/>
      <c r="F29" s="280" t="s">
        <v>154</v>
      </c>
      <c r="G29" s="299"/>
      <c r="H29" s="298"/>
      <c r="I29" s="298"/>
      <c r="J29" s="298"/>
      <c r="K29" s="298"/>
      <c r="L29" s="125"/>
      <c r="M29" s="277">
        <f t="shared" si="6"/>
        <v>0</v>
      </c>
      <c r="N29" s="279"/>
      <c r="O29" s="585"/>
      <c r="P29" s="585"/>
      <c r="Q29" s="242"/>
      <c r="R29" s="585"/>
      <c r="S29" s="125"/>
      <c r="T29" s="245"/>
      <c r="U29" s="238"/>
      <c r="V29" s="238"/>
      <c r="W29" s="239">
        <f t="shared" si="2"/>
        <v>0</v>
      </c>
      <c r="X29" s="93">
        <f t="shared" si="3"/>
        <v>0</v>
      </c>
      <c r="Y29" s="93">
        <f t="shared" si="4"/>
        <v>0</v>
      </c>
      <c r="Z29" s="34"/>
      <c r="AA29" s="34"/>
      <c r="AB29" s="34"/>
      <c r="AC29" s="34"/>
      <c r="AD29" s="34"/>
      <c r="AE29" s="34"/>
      <c r="AF29" s="34"/>
    </row>
    <row r="30" spans="1:32" x14ac:dyDescent="0.3">
      <c r="A30" s="34"/>
      <c r="B30" s="542"/>
      <c r="C30" s="543"/>
      <c r="D30" s="234"/>
      <c r="E30" s="414"/>
      <c r="F30" s="319" t="s">
        <v>164</v>
      </c>
      <c r="G30" s="96"/>
      <c r="H30" s="96"/>
      <c r="I30" s="96"/>
      <c r="J30" s="96"/>
      <c r="K30" s="96"/>
      <c r="L30" s="96"/>
      <c r="M30" s="277">
        <f t="shared" si="6"/>
        <v>0</v>
      </c>
      <c r="N30" s="279"/>
      <c r="O30" s="584">
        <f>N31/P30</f>
        <v>0</v>
      </c>
      <c r="P30" s="584">
        <f>'Milling Down Time Hours'!M18</f>
        <v>24</v>
      </c>
      <c r="Q30" s="236"/>
      <c r="R30" s="584">
        <f>'Milling Down Time Hours'!L18</f>
        <v>0</v>
      </c>
      <c r="S30" s="333"/>
      <c r="T30" s="272"/>
      <c r="U30" s="272"/>
      <c r="V30" s="273"/>
      <c r="W30" s="239">
        <f t="shared" si="2"/>
        <v>0</v>
      </c>
      <c r="X30" s="93">
        <f t="shared" si="3"/>
        <v>0</v>
      </c>
      <c r="Y30" s="93">
        <f t="shared" si="4"/>
        <v>0</v>
      </c>
      <c r="Z30" s="34"/>
      <c r="AA30" s="191"/>
      <c r="AB30" s="182"/>
      <c r="AC30" s="34"/>
      <c r="AD30" s="34"/>
      <c r="AE30" s="34"/>
      <c r="AF30" s="34"/>
    </row>
    <row r="31" spans="1:32" x14ac:dyDescent="0.3">
      <c r="A31" s="34"/>
      <c r="B31" s="540">
        <v>46278</v>
      </c>
      <c r="C31" s="541"/>
      <c r="D31" s="255"/>
      <c r="E31" s="416"/>
      <c r="F31" s="280" t="s">
        <v>154</v>
      </c>
      <c r="G31" s="299"/>
      <c r="H31" s="298"/>
      <c r="I31" s="298"/>
      <c r="J31" s="298"/>
      <c r="K31" s="298"/>
      <c r="L31" s="299"/>
      <c r="M31" s="277">
        <f t="shared" si="6"/>
        <v>0</v>
      </c>
      <c r="N31" s="279"/>
      <c r="O31" s="585"/>
      <c r="P31" s="585"/>
      <c r="Q31" s="242"/>
      <c r="R31" s="585"/>
      <c r="S31" s="334"/>
      <c r="T31" s="245"/>
      <c r="U31" s="245"/>
      <c r="V31" s="281"/>
      <c r="W31" s="239">
        <f t="shared" si="2"/>
        <v>0</v>
      </c>
      <c r="X31" s="93">
        <f t="shared" si="3"/>
        <v>0</v>
      </c>
      <c r="Y31" s="93">
        <f t="shared" si="4"/>
        <v>0</v>
      </c>
      <c r="Z31" s="34"/>
      <c r="AA31" s="34"/>
      <c r="AB31" s="34"/>
      <c r="AC31" s="34"/>
      <c r="AD31" s="34"/>
      <c r="AE31" s="34"/>
      <c r="AF31" s="34"/>
    </row>
    <row r="32" spans="1:32" x14ac:dyDescent="0.3">
      <c r="A32" s="34"/>
      <c r="B32" s="542"/>
      <c r="C32" s="543"/>
      <c r="D32" s="258"/>
      <c r="E32" s="419"/>
      <c r="F32" s="319" t="s">
        <v>164</v>
      </c>
      <c r="G32" s="316"/>
      <c r="H32" s="276"/>
      <c r="I32" s="276"/>
      <c r="J32" s="276"/>
      <c r="K32" s="276"/>
      <c r="L32" s="299"/>
      <c r="M32" s="277">
        <f t="shared" si="6"/>
        <v>0</v>
      </c>
      <c r="N32" s="279"/>
      <c r="O32" s="584">
        <f>SUM(N32:N33)/P32</f>
        <v>0</v>
      </c>
      <c r="P32" s="592">
        <f>'Milling Down Time Hours'!M19</f>
        <v>24</v>
      </c>
      <c r="Q32" s="244"/>
      <c r="R32" s="584">
        <f>'Milling Down Time Hours'!L19</f>
        <v>0</v>
      </c>
      <c r="S32" s="317"/>
      <c r="T32" s="238"/>
      <c r="U32" s="238"/>
      <c r="V32" s="259"/>
      <c r="W32" s="239">
        <f t="shared" si="2"/>
        <v>0</v>
      </c>
      <c r="X32" s="93">
        <f t="shared" si="3"/>
        <v>0</v>
      </c>
      <c r="Y32" s="93">
        <f t="shared" si="4"/>
        <v>0</v>
      </c>
      <c r="Z32" s="34"/>
      <c r="AA32" s="301"/>
      <c r="AB32" s="34"/>
      <c r="AC32" s="34"/>
      <c r="AD32" s="34"/>
      <c r="AE32" s="34"/>
      <c r="AF32" s="34"/>
    </row>
    <row r="33" spans="1:32" x14ac:dyDescent="0.3">
      <c r="A33" s="34"/>
      <c r="B33" s="540">
        <v>46279</v>
      </c>
      <c r="C33" s="541"/>
      <c r="D33" s="78"/>
      <c r="E33" s="423"/>
      <c r="F33" s="280" t="s">
        <v>154</v>
      </c>
      <c r="G33" s="162"/>
      <c r="H33" s="86"/>
      <c r="I33" s="86"/>
      <c r="J33" s="86"/>
      <c r="K33" s="86"/>
      <c r="L33" s="299"/>
      <c r="M33" s="277">
        <f t="shared" si="6"/>
        <v>0</v>
      </c>
      <c r="N33" s="279"/>
      <c r="O33" s="585"/>
      <c r="P33" s="585"/>
      <c r="Q33" s="242"/>
      <c r="R33" s="585"/>
      <c r="S33" s="80"/>
      <c r="T33" s="245"/>
      <c r="U33" s="245"/>
      <c r="V33" s="281"/>
      <c r="W33" s="239">
        <f t="shared" si="2"/>
        <v>0</v>
      </c>
      <c r="X33" s="93">
        <f t="shared" si="3"/>
        <v>0</v>
      </c>
      <c r="Y33" s="93">
        <f t="shared" si="4"/>
        <v>0</v>
      </c>
      <c r="Z33" s="34"/>
      <c r="AA33" s="34"/>
      <c r="AB33" s="34"/>
      <c r="AC33" s="34"/>
      <c r="AD33" s="34"/>
      <c r="AE33" s="34"/>
      <c r="AF33" s="34"/>
    </row>
    <row r="34" spans="1:32" x14ac:dyDescent="0.3">
      <c r="A34" s="34"/>
      <c r="B34" s="542"/>
      <c r="C34" s="543"/>
      <c r="D34" s="78"/>
      <c r="E34" s="423"/>
      <c r="F34" s="319" t="s">
        <v>164</v>
      </c>
      <c r="G34" s="162"/>
      <c r="H34" s="86"/>
      <c r="I34" s="86"/>
      <c r="J34" s="86"/>
      <c r="K34" s="86"/>
      <c r="L34" s="299"/>
      <c r="M34" s="277">
        <f t="shared" si="6"/>
        <v>0</v>
      </c>
      <c r="N34" s="279"/>
      <c r="O34" s="584">
        <f>SUM(N34:N35)/P34</f>
        <v>0</v>
      </c>
      <c r="P34" s="584">
        <f>'Milling Down Time Hours'!M20</f>
        <v>24</v>
      </c>
      <c r="Q34" s="236"/>
      <c r="R34" s="584">
        <f>'Milling Down Time Hours'!L20</f>
        <v>0</v>
      </c>
      <c r="S34" s="80"/>
      <c r="T34" s="238"/>
      <c r="U34" s="238"/>
      <c r="V34" s="259"/>
      <c r="W34" s="239">
        <f t="shared" si="2"/>
        <v>0</v>
      </c>
      <c r="X34" s="93">
        <f t="shared" si="3"/>
        <v>0</v>
      </c>
      <c r="Y34" s="93">
        <f t="shared" si="4"/>
        <v>0</v>
      </c>
      <c r="Z34" s="34"/>
      <c r="AA34" s="203"/>
      <c r="AB34" s="34"/>
      <c r="AC34" s="34"/>
      <c r="AD34" s="34"/>
      <c r="AE34" s="34"/>
      <c r="AF34" s="34"/>
    </row>
    <row r="35" spans="1:32" x14ac:dyDescent="0.3">
      <c r="A35" s="34"/>
      <c r="B35" s="540">
        <v>46280</v>
      </c>
      <c r="C35" s="541"/>
      <c r="D35" s="78"/>
      <c r="E35" s="423"/>
      <c r="F35" s="280" t="s">
        <v>154</v>
      </c>
      <c r="G35" s="162"/>
      <c r="H35" s="86"/>
      <c r="I35" s="86"/>
      <c r="J35" s="86"/>
      <c r="K35" s="86"/>
      <c r="L35" s="162"/>
      <c r="M35" s="277">
        <f t="shared" si="6"/>
        <v>0</v>
      </c>
      <c r="N35" s="279"/>
      <c r="O35" s="585"/>
      <c r="P35" s="585"/>
      <c r="Q35" s="242"/>
      <c r="R35" s="585"/>
      <c r="S35" s="80"/>
      <c r="T35" s="245"/>
      <c r="U35" s="245"/>
      <c r="V35" s="281"/>
      <c r="W35" s="239">
        <f t="shared" si="2"/>
        <v>0</v>
      </c>
      <c r="X35" s="93">
        <f t="shared" si="3"/>
        <v>0</v>
      </c>
      <c r="Y35" s="93">
        <f t="shared" si="4"/>
        <v>0</v>
      </c>
      <c r="Z35" s="34"/>
      <c r="AA35" s="203"/>
      <c r="AB35" s="34"/>
      <c r="AC35" s="34"/>
      <c r="AD35" s="34"/>
      <c r="AE35" s="34"/>
      <c r="AF35" s="34"/>
    </row>
    <row r="36" spans="1:32" x14ac:dyDescent="0.3">
      <c r="A36" s="34"/>
      <c r="B36" s="542"/>
      <c r="C36" s="543"/>
      <c r="D36" s="282"/>
      <c r="E36" s="425"/>
      <c r="F36" s="319" t="s">
        <v>164</v>
      </c>
      <c r="G36" s="335"/>
      <c r="H36" s="336"/>
      <c r="I36" s="336"/>
      <c r="J36" s="336"/>
      <c r="K36" s="336"/>
      <c r="L36" s="335"/>
      <c r="M36" s="277">
        <f t="shared" si="6"/>
        <v>0</v>
      </c>
      <c r="N36" s="283"/>
      <c r="O36" s="586">
        <f>SUM(N36:N37)/P36</f>
        <v>0</v>
      </c>
      <c r="P36" s="586">
        <f>'Milling Down Time Hours'!M21</f>
        <v>24</v>
      </c>
      <c r="Q36" s="284"/>
      <c r="R36" s="586">
        <f>'Milling Down Time Hours'!L21</f>
        <v>0</v>
      </c>
      <c r="S36" s="336"/>
      <c r="T36" s="285"/>
      <c r="U36" s="285"/>
      <c r="V36" s="286"/>
      <c r="W36" s="239">
        <f t="shared" si="2"/>
        <v>0</v>
      </c>
      <c r="X36" s="93">
        <f t="shared" si="3"/>
        <v>0</v>
      </c>
      <c r="Y36" s="93">
        <f t="shared" si="4"/>
        <v>0</v>
      </c>
      <c r="Z36" s="34"/>
      <c r="AA36" s="191"/>
      <c r="AB36" s="34"/>
      <c r="AC36" s="34"/>
      <c r="AD36" s="34"/>
      <c r="AE36" s="34"/>
      <c r="AF36" s="34"/>
    </row>
    <row r="37" spans="1:32" x14ac:dyDescent="0.3">
      <c r="A37" s="34"/>
      <c r="B37" s="540">
        <v>46281</v>
      </c>
      <c r="C37" s="541"/>
      <c r="D37" s="282"/>
      <c r="E37" s="425"/>
      <c r="F37" s="280" t="s">
        <v>154</v>
      </c>
      <c r="G37" s="335"/>
      <c r="H37" s="336"/>
      <c r="I37" s="336"/>
      <c r="J37" s="336"/>
      <c r="K37" s="336"/>
      <c r="L37" s="335"/>
      <c r="M37" s="277">
        <f t="shared" si="6"/>
        <v>0</v>
      </c>
      <c r="N37" s="283"/>
      <c r="O37" s="587"/>
      <c r="P37" s="587"/>
      <c r="Q37" s="287"/>
      <c r="R37" s="587"/>
      <c r="S37" s="336"/>
      <c r="T37" s="288"/>
      <c r="U37" s="288"/>
      <c r="V37" s="289"/>
      <c r="W37" s="239">
        <f t="shared" si="2"/>
        <v>0</v>
      </c>
      <c r="X37" s="93">
        <f t="shared" si="3"/>
        <v>0</v>
      </c>
      <c r="Y37" s="93">
        <f t="shared" si="4"/>
        <v>0</v>
      </c>
      <c r="Z37" s="34"/>
      <c r="AA37" s="191"/>
      <c r="AB37" s="34"/>
      <c r="AC37" s="34"/>
      <c r="AD37" s="34"/>
      <c r="AE37" s="34"/>
      <c r="AF37" s="34"/>
    </row>
    <row r="38" spans="1:32" x14ac:dyDescent="0.3">
      <c r="A38" s="34"/>
      <c r="B38" s="542"/>
      <c r="C38" s="543"/>
      <c r="D38" s="78"/>
      <c r="E38" s="423"/>
      <c r="F38" s="319" t="s">
        <v>164</v>
      </c>
      <c r="G38" s="80"/>
      <c r="H38" s="80"/>
      <c r="I38" s="80"/>
      <c r="J38" s="80"/>
      <c r="K38" s="80"/>
      <c r="L38" s="80"/>
      <c r="M38" s="277">
        <f t="shared" si="6"/>
        <v>0</v>
      </c>
      <c r="N38" s="80"/>
      <c r="O38" s="586">
        <f t="shared" ref="O38" si="10">SUM(N38:N39)/P38</f>
        <v>0</v>
      </c>
      <c r="P38" s="584">
        <f>'Milling Down Time Hours'!M22</f>
        <v>24</v>
      </c>
      <c r="Q38" s="236"/>
      <c r="R38" s="584">
        <f>'Milling Down Time Hours'!L22</f>
        <v>0</v>
      </c>
      <c r="S38" s="80"/>
      <c r="T38" s="588"/>
      <c r="U38" s="588"/>
      <c r="V38" s="590"/>
      <c r="W38" s="239">
        <f t="shared" si="2"/>
        <v>0</v>
      </c>
      <c r="X38" s="93">
        <f t="shared" si="3"/>
        <v>0</v>
      </c>
      <c r="Y38" s="93">
        <f t="shared" si="4"/>
        <v>0</v>
      </c>
      <c r="Z38" s="34"/>
      <c r="AA38" s="191"/>
      <c r="AB38" s="34"/>
      <c r="AC38" s="34"/>
      <c r="AD38" s="34"/>
      <c r="AE38" s="34"/>
      <c r="AF38" s="34"/>
    </row>
    <row r="39" spans="1:32" x14ac:dyDescent="0.3">
      <c r="A39" s="34"/>
      <c r="B39" s="540">
        <v>46282</v>
      </c>
      <c r="C39" s="541"/>
      <c r="D39" s="80"/>
      <c r="E39" s="180"/>
      <c r="F39" s="280" t="s">
        <v>154</v>
      </c>
      <c r="G39" s="80"/>
      <c r="H39" s="80"/>
      <c r="I39" s="80"/>
      <c r="J39" s="80"/>
      <c r="K39" s="80"/>
      <c r="L39" s="80"/>
      <c r="M39" s="277">
        <f t="shared" si="6"/>
        <v>0</v>
      </c>
      <c r="N39" s="80"/>
      <c r="O39" s="587"/>
      <c r="P39" s="585"/>
      <c r="Q39" s="242"/>
      <c r="R39" s="585"/>
      <c r="S39" s="80"/>
      <c r="T39" s="589"/>
      <c r="U39" s="589"/>
      <c r="V39" s="591"/>
      <c r="W39" s="239">
        <f t="shared" si="2"/>
        <v>0</v>
      </c>
      <c r="X39" s="93">
        <f t="shared" si="3"/>
        <v>0</v>
      </c>
      <c r="Y39" s="93">
        <f t="shared" si="4"/>
        <v>0</v>
      </c>
      <c r="Z39" s="34"/>
      <c r="AA39" s="191" t="s">
        <v>410</v>
      </c>
      <c r="AB39" s="34"/>
      <c r="AC39" s="34"/>
      <c r="AD39" s="34"/>
      <c r="AE39" s="34"/>
      <c r="AF39" s="161">
        <f>53-6-17</f>
        <v>30</v>
      </c>
    </row>
    <row r="40" spans="1:32" x14ac:dyDescent="0.3">
      <c r="A40" s="34"/>
      <c r="B40" s="542"/>
      <c r="C40" s="543"/>
      <c r="D40" s="78"/>
      <c r="E40" s="423"/>
      <c r="F40" s="319" t="s">
        <v>164</v>
      </c>
      <c r="G40" s="162"/>
      <c r="H40" s="200"/>
      <c r="I40" s="200"/>
      <c r="J40" s="200"/>
      <c r="K40" s="86"/>
      <c r="L40" s="162"/>
      <c r="M40" s="277">
        <f t="shared" si="6"/>
        <v>0</v>
      </c>
      <c r="N40" s="200"/>
      <c r="O40" s="586">
        <f>SUM(N40:N41)/P40</f>
        <v>0</v>
      </c>
      <c r="P40" s="584">
        <f>'Milling Down Time Hours'!M23</f>
        <v>24</v>
      </c>
      <c r="Q40" s="236"/>
      <c r="R40" s="584">
        <f>'Milling Down Time Hours'!L23</f>
        <v>0</v>
      </c>
      <c r="S40" s="80"/>
      <c r="T40" s="238"/>
      <c r="U40" s="238"/>
      <c r="V40" s="259"/>
      <c r="W40" s="239">
        <f t="shared" si="2"/>
        <v>0</v>
      </c>
      <c r="X40" s="93">
        <f t="shared" si="3"/>
        <v>0</v>
      </c>
      <c r="Y40" s="93">
        <f t="shared" si="4"/>
        <v>0</v>
      </c>
      <c r="Z40" s="34"/>
      <c r="AA40" s="191"/>
      <c r="AB40" s="34"/>
      <c r="AC40" s="34"/>
      <c r="AD40" s="191"/>
      <c r="AE40" s="191"/>
      <c r="AF40" s="34"/>
    </row>
    <row r="41" spans="1:32" x14ac:dyDescent="0.3">
      <c r="A41" s="34"/>
      <c r="B41" s="540">
        <v>46283</v>
      </c>
      <c r="C41" s="541"/>
      <c r="D41" s="86"/>
      <c r="E41" s="180"/>
      <c r="F41" s="280" t="s">
        <v>154</v>
      </c>
      <c r="G41" s="162"/>
      <c r="H41" s="86"/>
      <c r="I41" s="86"/>
      <c r="J41" s="86"/>
      <c r="K41" s="86"/>
      <c r="L41" s="162"/>
      <c r="M41" s="277">
        <f t="shared" ref="M41:M71" si="11">H41*K41*G41</f>
        <v>0</v>
      </c>
      <c r="N41" s="200"/>
      <c r="O41" s="587"/>
      <c r="P41" s="585"/>
      <c r="Q41" s="242"/>
      <c r="R41" s="585"/>
      <c r="S41" s="80"/>
      <c r="T41" s="290"/>
      <c r="U41" s="290"/>
      <c r="V41" s="291"/>
      <c r="W41" s="239">
        <f t="shared" si="2"/>
        <v>0</v>
      </c>
      <c r="X41" s="93">
        <f t="shared" si="3"/>
        <v>0</v>
      </c>
      <c r="Y41" s="93">
        <f t="shared" si="4"/>
        <v>0</v>
      </c>
      <c r="Z41" s="34"/>
      <c r="AA41" s="34"/>
      <c r="AB41" s="34"/>
      <c r="AC41" s="34"/>
      <c r="AD41" s="34"/>
      <c r="AE41" s="34"/>
      <c r="AF41" s="34"/>
    </row>
    <row r="42" spans="1:32" x14ac:dyDescent="0.3">
      <c r="A42" s="34"/>
      <c r="B42" s="542"/>
      <c r="C42" s="543"/>
      <c r="D42" s="78"/>
      <c r="E42" s="423"/>
      <c r="F42" s="319" t="s">
        <v>164</v>
      </c>
      <c r="G42" s="162"/>
      <c r="H42" s="86"/>
      <c r="I42" s="86"/>
      <c r="J42" s="86"/>
      <c r="K42" s="86"/>
      <c r="L42" s="162"/>
      <c r="M42" s="277">
        <f t="shared" si="11"/>
        <v>0</v>
      </c>
      <c r="N42" s="200"/>
      <c r="O42" s="86"/>
      <c r="P42" s="236">
        <f>'Milling Down Time Hours'!M24</f>
        <v>24</v>
      </c>
      <c r="Q42" s="236"/>
      <c r="R42" s="236">
        <f>'Milling Down Time Hours'!L24</f>
        <v>0</v>
      </c>
      <c r="S42" s="86"/>
      <c r="T42" s="238"/>
      <c r="U42" s="238"/>
      <c r="V42" s="259"/>
      <c r="W42" s="239">
        <f t="shared" si="2"/>
        <v>0</v>
      </c>
      <c r="X42" s="93">
        <f t="shared" si="3"/>
        <v>0</v>
      </c>
      <c r="Y42" s="93">
        <f t="shared" si="4"/>
        <v>0</v>
      </c>
      <c r="Z42" s="34"/>
      <c r="AA42" s="34"/>
      <c r="AB42" s="34"/>
      <c r="AC42" s="34"/>
      <c r="AD42" s="34"/>
      <c r="AE42" s="34"/>
      <c r="AF42" s="34"/>
    </row>
    <row r="43" spans="1:32" x14ac:dyDescent="0.3">
      <c r="A43" s="34"/>
      <c r="B43" s="540">
        <v>46284</v>
      </c>
      <c r="C43" s="541"/>
      <c r="D43" s="80"/>
      <c r="E43" s="171"/>
      <c r="F43" s="280" t="s">
        <v>154</v>
      </c>
      <c r="G43" s="162"/>
      <c r="H43" s="86"/>
      <c r="I43" s="86"/>
      <c r="J43" s="86"/>
      <c r="K43" s="86"/>
      <c r="L43" s="162"/>
      <c r="M43" s="277">
        <f t="shared" si="11"/>
        <v>0</v>
      </c>
      <c r="N43" s="200"/>
      <c r="O43" s="86"/>
      <c r="P43" s="242"/>
      <c r="Q43" s="331"/>
      <c r="R43" s="331"/>
      <c r="S43" s="80"/>
      <c r="T43" s="274"/>
      <c r="U43" s="290"/>
      <c r="V43" s="291"/>
      <c r="W43" s="239">
        <f t="shared" si="2"/>
        <v>0</v>
      </c>
      <c r="X43" s="93">
        <f t="shared" si="3"/>
        <v>0</v>
      </c>
      <c r="Y43" s="93">
        <f t="shared" si="4"/>
        <v>0</v>
      </c>
      <c r="Z43" s="34"/>
      <c r="AA43" s="34"/>
      <c r="AB43" s="34"/>
      <c r="AC43" s="34"/>
      <c r="AD43" s="34"/>
      <c r="AE43" s="34"/>
      <c r="AF43" s="34"/>
    </row>
    <row r="44" spans="1:32" x14ac:dyDescent="0.3">
      <c r="A44" s="34"/>
      <c r="B44" s="542"/>
      <c r="C44" s="543"/>
      <c r="D44" s="78"/>
      <c r="E44" s="423"/>
      <c r="F44" s="319" t="s">
        <v>164</v>
      </c>
      <c r="G44" s="162"/>
      <c r="H44" s="86"/>
      <c r="I44" s="86"/>
      <c r="J44" s="86"/>
      <c r="K44" s="86"/>
      <c r="L44" s="162"/>
      <c r="M44" s="277">
        <f t="shared" si="11"/>
        <v>0</v>
      </c>
      <c r="N44" s="200"/>
      <c r="O44" s="190"/>
      <c r="P44" s="584">
        <f>'Milling Down Time Hours'!M25</f>
        <v>24</v>
      </c>
      <c r="Q44" s="236"/>
      <c r="R44" s="584">
        <f>'Milling Down Time Hours'!L25</f>
        <v>0</v>
      </c>
      <c r="S44" s="80"/>
      <c r="T44" s="238"/>
      <c r="U44" s="238"/>
      <c r="V44" s="259"/>
      <c r="W44" s="239">
        <f t="shared" si="2"/>
        <v>0</v>
      </c>
      <c r="X44" s="93">
        <f t="shared" si="3"/>
        <v>0</v>
      </c>
      <c r="Y44" s="93">
        <f t="shared" si="4"/>
        <v>0</v>
      </c>
      <c r="Z44" s="34"/>
      <c r="AA44" s="34"/>
      <c r="AB44" s="34"/>
      <c r="AC44" s="34"/>
      <c r="AD44" s="34"/>
      <c r="AE44" s="34"/>
      <c r="AF44" s="34"/>
    </row>
    <row r="45" spans="1:32" x14ac:dyDescent="0.3">
      <c r="A45" s="34"/>
      <c r="B45" s="540">
        <v>46285</v>
      </c>
      <c r="C45" s="541"/>
      <c r="D45" s="80"/>
      <c r="E45" s="171"/>
      <c r="F45" s="280" t="s">
        <v>154</v>
      </c>
      <c r="G45" s="80"/>
      <c r="H45" s="80"/>
      <c r="I45" s="80"/>
      <c r="J45" s="80"/>
      <c r="K45" s="86"/>
      <c r="L45" s="86"/>
      <c r="M45" s="277">
        <f t="shared" si="11"/>
        <v>0</v>
      </c>
      <c r="N45" s="200"/>
      <c r="O45" s="86"/>
      <c r="P45" s="585"/>
      <c r="Q45" s="242"/>
      <c r="R45" s="585"/>
      <c r="S45" s="80"/>
      <c r="T45" s="274"/>
      <c r="U45" s="274"/>
      <c r="V45" s="275"/>
      <c r="W45" s="239">
        <f t="shared" si="2"/>
        <v>0</v>
      </c>
      <c r="X45" s="93">
        <f t="shared" si="3"/>
        <v>0</v>
      </c>
      <c r="Y45" s="93">
        <f t="shared" si="4"/>
        <v>0</v>
      </c>
      <c r="Z45" s="34"/>
      <c r="AA45" s="34"/>
      <c r="AB45" s="34"/>
      <c r="AC45" s="34"/>
      <c r="AD45" s="34"/>
      <c r="AE45" s="34"/>
      <c r="AF45" s="34"/>
    </row>
    <row r="46" spans="1:32" x14ac:dyDescent="0.3">
      <c r="A46" s="34"/>
      <c r="B46" s="542"/>
      <c r="C46" s="543"/>
      <c r="D46" s="78"/>
      <c r="E46" s="423"/>
      <c r="F46" s="319" t="s">
        <v>164</v>
      </c>
      <c r="G46" s="221"/>
      <c r="H46" s="86"/>
      <c r="I46" s="86"/>
      <c r="J46" s="86"/>
      <c r="K46" s="86"/>
      <c r="L46" s="162"/>
      <c r="M46" s="277">
        <f t="shared" si="11"/>
        <v>0</v>
      </c>
      <c r="N46" s="200"/>
      <c r="O46" s="80"/>
      <c r="P46" s="584">
        <f>'Milling Down Time Hours'!M26</f>
        <v>24</v>
      </c>
      <c r="Q46" s="236"/>
      <c r="R46" s="584">
        <f>'Milling Down Time Hours'!L26</f>
        <v>0</v>
      </c>
      <c r="S46" s="80"/>
      <c r="T46" s="588"/>
      <c r="U46" s="588"/>
      <c r="V46" s="590"/>
      <c r="W46" s="239"/>
      <c r="X46" s="93"/>
      <c r="Y46" s="93"/>
      <c r="Z46" s="34"/>
      <c r="AA46" s="34"/>
      <c r="AB46" s="34"/>
      <c r="AC46" s="34"/>
      <c r="AD46" s="34"/>
      <c r="AE46" s="34"/>
      <c r="AF46" s="34"/>
    </row>
    <row r="47" spans="1:32" x14ac:dyDescent="0.3">
      <c r="A47" s="34"/>
      <c r="B47" s="540">
        <v>46286</v>
      </c>
      <c r="C47" s="541"/>
      <c r="D47" s="80"/>
      <c r="E47" s="171"/>
      <c r="F47" s="280" t="s">
        <v>154</v>
      </c>
      <c r="G47" s="80"/>
      <c r="H47" s="80"/>
      <c r="I47" s="80"/>
      <c r="J47" s="80"/>
      <c r="K47" s="80"/>
      <c r="L47" s="80"/>
      <c r="M47" s="277">
        <f t="shared" si="11"/>
        <v>0</v>
      </c>
      <c r="N47" s="80"/>
      <c r="O47" s="80"/>
      <c r="P47" s="585"/>
      <c r="Q47" s="242"/>
      <c r="R47" s="585"/>
      <c r="S47" s="80"/>
      <c r="T47" s="589"/>
      <c r="U47" s="589"/>
      <c r="V47" s="591"/>
      <c r="W47" s="239"/>
      <c r="X47" s="93"/>
      <c r="Y47" s="93"/>
      <c r="Z47" s="34"/>
      <c r="AA47" s="34"/>
      <c r="AB47" s="34"/>
      <c r="AC47" s="34"/>
      <c r="AD47" s="34"/>
      <c r="AE47" s="34"/>
      <c r="AF47" s="34"/>
    </row>
    <row r="48" spans="1:32" x14ac:dyDescent="0.3">
      <c r="A48" s="34"/>
      <c r="B48" s="542"/>
      <c r="C48" s="543"/>
      <c r="D48" s="78"/>
      <c r="E48" s="423"/>
      <c r="F48" s="319" t="s">
        <v>164</v>
      </c>
      <c r="G48" s="80"/>
      <c r="H48" s="80"/>
      <c r="I48" s="80"/>
      <c r="J48" s="80"/>
      <c r="K48" s="80"/>
      <c r="L48" s="80"/>
      <c r="M48" s="277">
        <f t="shared" si="11"/>
        <v>0</v>
      </c>
      <c r="N48" s="80"/>
      <c r="O48" s="80"/>
      <c r="P48" s="584">
        <f>'Milling Down Time Hours'!M54</f>
        <v>0</v>
      </c>
      <c r="Q48" s="236"/>
      <c r="R48" s="584">
        <f>'Milling Down Time Hours'!L54</f>
        <v>0</v>
      </c>
      <c r="S48" s="80"/>
      <c r="T48" s="588"/>
      <c r="U48" s="588"/>
      <c r="V48" s="590"/>
      <c r="W48" s="239"/>
      <c r="X48" s="93"/>
      <c r="Y48" s="93"/>
      <c r="Z48" s="34"/>
      <c r="AA48" s="34"/>
      <c r="AB48" s="34"/>
      <c r="AC48" s="34"/>
      <c r="AD48" s="34"/>
      <c r="AE48" s="34"/>
      <c r="AF48" s="34"/>
    </row>
    <row r="49" spans="1:32" x14ac:dyDescent="0.3">
      <c r="A49" s="34"/>
      <c r="B49" s="540">
        <v>46287</v>
      </c>
      <c r="C49" s="541"/>
      <c r="D49" s="80"/>
      <c r="E49" s="171"/>
      <c r="F49" s="280" t="s">
        <v>154</v>
      </c>
      <c r="G49" s="80"/>
      <c r="H49" s="80"/>
      <c r="I49" s="80"/>
      <c r="J49" s="80"/>
      <c r="K49" s="80"/>
      <c r="L49" s="80"/>
      <c r="M49" s="277">
        <f t="shared" si="11"/>
        <v>0</v>
      </c>
      <c r="N49" s="80"/>
      <c r="O49" s="80"/>
      <c r="P49" s="585"/>
      <c r="Q49" s="242"/>
      <c r="R49" s="585"/>
      <c r="S49" s="80"/>
      <c r="T49" s="589"/>
      <c r="U49" s="589"/>
      <c r="V49" s="591"/>
      <c r="W49" s="239"/>
      <c r="X49" s="93"/>
      <c r="Y49" s="93"/>
      <c r="Z49" s="34"/>
      <c r="AA49" s="34"/>
      <c r="AB49" s="34"/>
      <c r="AC49" s="34"/>
      <c r="AD49" s="34"/>
      <c r="AE49" s="34"/>
      <c r="AF49" s="34"/>
    </row>
    <row r="50" spans="1:32" x14ac:dyDescent="0.3">
      <c r="A50" s="34"/>
      <c r="B50" s="542"/>
      <c r="C50" s="543"/>
      <c r="D50" s="78"/>
      <c r="E50" s="423"/>
      <c r="F50" s="319" t="s">
        <v>164</v>
      </c>
      <c r="G50" s="80"/>
      <c r="H50" s="80"/>
      <c r="I50" s="80"/>
      <c r="J50" s="80"/>
      <c r="K50" s="80"/>
      <c r="L50" s="80"/>
      <c r="M50" s="277">
        <f t="shared" si="11"/>
        <v>0</v>
      </c>
      <c r="N50" s="80"/>
      <c r="O50" s="80"/>
      <c r="P50" s="584">
        <f>'Milling Down Time Hours'!M56</f>
        <v>0</v>
      </c>
      <c r="Q50" s="236"/>
      <c r="R50" s="584">
        <f>'Milling Down Time Hours'!L56</f>
        <v>0</v>
      </c>
      <c r="S50" s="80"/>
      <c r="T50" s="588"/>
      <c r="U50" s="588"/>
      <c r="V50" s="590"/>
      <c r="W50" s="239"/>
      <c r="X50" s="93"/>
      <c r="Y50" s="93"/>
      <c r="Z50" s="34"/>
      <c r="AA50" s="34"/>
      <c r="AB50" s="34"/>
      <c r="AC50" s="34"/>
      <c r="AD50" s="34"/>
      <c r="AE50" s="34"/>
      <c r="AF50" s="34"/>
    </row>
    <row r="51" spans="1:32" x14ac:dyDescent="0.3">
      <c r="A51" s="34"/>
      <c r="B51" s="540">
        <v>46288</v>
      </c>
      <c r="C51" s="541"/>
      <c r="D51" s="80"/>
      <c r="E51" s="171"/>
      <c r="F51" s="280" t="s">
        <v>154</v>
      </c>
      <c r="G51" s="80"/>
      <c r="H51" s="80"/>
      <c r="I51" s="80"/>
      <c r="J51" s="80"/>
      <c r="K51" s="80"/>
      <c r="L51" s="80"/>
      <c r="M51" s="277">
        <f t="shared" si="11"/>
        <v>0</v>
      </c>
      <c r="N51" s="80"/>
      <c r="O51" s="80"/>
      <c r="P51" s="585"/>
      <c r="Q51" s="242"/>
      <c r="R51" s="585"/>
      <c r="S51" s="80"/>
      <c r="T51" s="589"/>
      <c r="U51" s="589"/>
      <c r="V51" s="591"/>
      <c r="W51" s="239"/>
      <c r="X51" s="93"/>
      <c r="Y51" s="93"/>
      <c r="Z51" s="34"/>
      <c r="AA51" s="34"/>
      <c r="AB51" s="34"/>
      <c r="AC51" s="34"/>
      <c r="AD51" s="34"/>
      <c r="AE51" s="34"/>
      <c r="AF51" s="34"/>
    </row>
    <row r="52" spans="1:32" x14ac:dyDescent="0.3">
      <c r="A52" s="34"/>
      <c r="B52" s="542"/>
      <c r="C52" s="543"/>
      <c r="D52" s="78"/>
      <c r="E52" s="423"/>
      <c r="F52" s="319" t="s">
        <v>164</v>
      </c>
      <c r="G52" s="80"/>
      <c r="H52" s="80"/>
      <c r="I52" s="80"/>
      <c r="J52" s="80"/>
      <c r="K52" s="80"/>
      <c r="L52" s="80"/>
      <c r="M52" s="277">
        <f t="shared" si="11"/>
        <v>0</v>
      </c>
      <c r="N52" s="80"/>
      <c r="O52" s="80"/>
      <c r="P52" s="584"/>
      <c r="Q52" s="236"/>
      <c r="R52" s="584"/>
      <c r="S52" s="80"/>
      <c r="T52" s="588"/>
      <c r="U52" s="588"/>
      <c r="V52" s="590"/>
      <c r="W52" s="239"/>
      <c r="X52" s="93"/>
      <c r="Y52" s="93"/>
      <c r="Z52" s="34"/>
      <c r="AA52" s="34"/>
      <c r="AB52" s="34"/>
      <c r="AC52" s="34"/>
      <c r="AD52" s="34"/>
      <c r="AE52" s="34"/>
      <c r="AF52" s="34"/>
    </row>
    <row r="53" spans="1:32" x14ac:dyDescent="0.3">
      <c r="A53" s="34"/>
      <c r="B53" s="540">
        <v>46289</v>
      </c>
      <c r="C53" s="541"/>
      <c r="D53" s="80"/>
      <c r="E53" s="171"/>
      <c r="F53" s="280" t="s">
        <v>154</v>
      </c>
      <c r="G53" s="80"/>
      <c r="H53" s="80"/>
      <c r="I53" s="80"/>
      <c r="J53" s="80"/>
      <c r="K53" s="80"/>
      <c r="L53" s="80"/>
      <c r="M53" s="277">
        <f t="shared" si="11"/>
        <v>0</v>
      </c>
      <c r="N53" s="80"/>
      <c r="O53" s="80"/>
      <c r="P53" s="585"/>
      <c r="Q53" s="242"/>
      <c r="R53" s="585"/>
      <c r="S53" s="80"/>
      <c r="T53" s="589"/>
      <c r="U53" s="589"/>
      <c r="V53" s="591"/>
      <c r="W53" s="239"/>
      <c r="X53" s="93"/>
      <c r="Y53" s="93"/>
      <c r="Z53" s="34"/>
      <c r="AA53" s="34"/>
      <c r="AB53" s="161">
        <v>9570</v>
      </c>
      <c r="AC53" s="34"/>
      <c r="AD53" s="34"/>
      <c r="AE53" s="34"/>
      <c r="AF53" s="34"/>
    </row>
    <row r="54" spans="1:32" x14ac:dyDescent="0.3">
      <c r="A54" s="34"/>
      <c r="B54" s="542"/>
      <c r="C54" s="543"/>
      <c r="D54" s="78"/>
      <c r="E54" s="423"/>
      <c r="F54" s="319" t="s">
        <v>164</v>
      </c>
      <c r="G54" s="162"/>
      <c r="H54" s="80"/>
      <c r="I54" s="80"/>
      <c r="J54" s="80"/>
      <c r="K54" s="86"/>
      <c r="L54" s="162"/>
      <c r="M54" s="277">
        <f t="shared" si="11"/>
        <v>0</v>
      </c>
      <c r="N54" s="162"/>
      <c r="O54" s="80"/>
      <c r="P54" s="584">
        <f>'Milling Down Time Hours'!M60</f>
        <v>23.000000000000004</v>
      </c>
      <c r="Q54" s="236"/>
      <c r="R54" s="584">
        <f>'Milling Down Time Hours'!L60</f>
        <v>0</v>
      </c>
      <c r="S54" s="80"/>
      <c r="T54" s="588"/>
      <c r="U54" s="588"/>
      <c r="V54" s="590"/>
      <c r="W54" s="239"/>
      <c r="X54" s="93"/>
      <c r="Y54" s="93"/>
      <c r="Z54" s="34"/>
      <c r="AA54" s="34"/>
      <c r="AB54" s="161">
        <v>8795</v>
      </c>
      <c r="AC54" s="34"/>
      <c r="AD54" s="34"/>
      <c r="AE54" s="34"/>
      <c r="AF54" s="34"/>
    </row>
    <row r="55" spans="1:32" x14ac:dyDescent="0.3">
      <c r="A55" s="34"/>
      <c r="B55" s="540">
        <v>46290</v>
      </c>
      <c r="C55" s="541"/>
      <c r="D55" s="80"/>
      <c r="E55" s="171"/>
      <c r="F55" s="280" t="s">
        <v>154</v>
      </c>
      <c r="G55" s="162"/>
      <c r="H55" s="80"/>
      <c r="I55" s="80"/>
      <c r="J55" s="80"/>
      <c r="K55" s="86"/>
      <c r="L55" s="162"/>
      <c r="M55" s="277">
        <f t="shared" si="11"/>
        <v>0</v>
      </c>
      <c r="N55" s="162"/>
      <c r="O55" s="80"/>
      <c r="P55" s="585"/>
      <c r="Q55" s="242"/>
      <c r="R55" s="585"/>
      <c r="S55" s="80"/>
      <c r="T55" s="589"/>
      <c r="U55" s="589"/>
      <c r="V55" s="591"/>
      <c r="W55" s="239"/>
      <c r="X55" s="93"/>
      <c r="Y55" s="93"/>
      <c r="Z55" s="34"/>
      <c r="AA55" s="34"/>
      <c r="AB55" s="161">
        <f>(AB53-AB54)/AB53</f>
        <v>8.0982236154649945E-2</v>
      </c>
      <c r="AC55" s="34"/>
      <c r="AD55" s="34"/>
      <c r="AE55" s="34"/>
      <c r="AF55" s="34"/>
    </row>
    <row r="56" spans="1:32" x14ac:dyDescent="0.3">
      <c r="A56" s="34"/>
      <c r="B56" s="542"/>
      <c r="C56" s="543"/>
      <c r="D56" s="78"/>
      <c r="E56" s="423"/>
      <c r="F56" s="319" t="s">
        <v>164</v>
      </c>
      <c r="G56" s="162"/>
      <c r="H56" s="80"/>
      <c r="I56" s="80"/>
      <c r="J56" s="80"/>
      <c r="K56" s="80"/>
      <c r="L56" s="162"/>
      <c r="M56" s="277">
        <f t="shared" si="11"/>
        <v>0</v>
      </c>
      <c r="N56" s="162"/>
      <c r="O56" s="80"/>
      <c r="P56" s="584">
        <f>'Milling Down Time Hours'!M62</f>
        <v>0</v>
      </c>
      <c r="Q56" s="236"/>
      <c r="R56" s="584">
        <f>'Milling Down Time Hours'!L62</f>
        <v>0</v>
      </c>
      <c r="S56" s="80"/>
      <c r="T56" s="588"/>
      <c r="U56" s="588"/>
      <c r="V56" s="590"/>
      <c r="W56" s="239"/>
      <c r="X56" s="93"/>
      <c r="Y56" s="93"/>
      <c r="Z56" s="34"/>
      <c r="AA56" s="34"/>
      <c r="AB56" s="34"/>
      <c r="AC56" s="34"/>
      <c r="AD56" s="34"/>
      <c r="AE56" s="34"/>
      <c r="AF56" s="34"/>
    </row>
    <row r="57" spans="1:32" x14ac:dyDescent="0.3">
      <c r="A57" s="34"/>
      <c r="B57" s="540">
        <v>46291</v>
      </c>
      <c r="C57" s="541"/>
      <c r="D57" s="80"/>
      <c r="E57" s="171"/>
      <c r="F57" s="280" t="s">
        <v>154</v>
      </c>
      <c r="G57" s="80"/>
      <c r="H57" s="80"/>
      <c r="I57" s="80"/>
      <c r="J57" s="80"/>
      <c r="K57" s="80"/>
      <c r="L57" s="80"/>
      <c r="M57" s="277">
        <f t="shared" si="11"/>
        <v>0</v>
      </c>
      <c r="N57" s="80"/>
      <c r="O57" s="80"/>
      <c r="P57" s="585"/>
      <c r="Q57" s="242"/>
      <c r="R57" s="585"/>
      <c r="S57" s="80"/>
      <c r="T57" s="589"/>
      <c r="U57" s="589"/>
      <c r="V57" s="591"/>
      <c r="W57" s="239"/>
      <c r="X57" s="93"/>
      <c r="Y57" s="93"/>
      <c r="Z57" s="34"/>
      <c r="AA57" s="34"/>
      <c r="AB57" s="34"/>
      <c r="AC57" s="34"/>
      <c r="AD57" s="34"/>
      <c r="AE57" s="34"/>
      <c r="AF57" s="34"/>
    </row>
    <row r="58" spans="1:32" x14ac:dyDescent="0.3">
      <c r="A58" s="34"/>
      <c r="B58" s="542"/>
      <c r="C58" s="543"/>
      <c r="D58" s="78"/>
      <c r="E58" s="423"/>
      <c r="F58" s="319" t="s">
        <v>164</v>
      </c>
      <c r="G58" s="80"/>
      <c r="H58" s="80"/>
      <c r="I58" s="80"/>
      <c r="J58" s="80"/>
      <c r="K58" s="80"/>
      <c r="L58" s="80"/>
      <c r="M58" s="277">
        <f t="shared" si="11"/>
        <v>0</v>
      </c>
      <c r="N58" s="80"/>
      <c r="O58" s="80"/>
      <c r="P58" s="584">
        <f>'Milling Down Time Hours'!M64</f>
        <v>0</v>
      </c>
      <c r="Q58" s="236"/>
      <c r="R58" s="584">
        <f>'Milling Down Time Hours'!L64</f>
        <v>0</v>
      </c>
      <c r="S58" s="80"/>
      <c r="T58" s="588"/>
      <c r="U58" s="588"/>
      <c r="V58" s="590"/>
      <c r="W58" s="239"/>
      <c r="X58" s="93"/>
      <c r="Y58" s="93"/>
      <c r="Z58" s="34"/>
      <c r="AA58" s="34"/>
      <c r="AB58" s="34"/>
      <c r="AC58" s="34"/>
      <c r="AD58" s="34"/>
      <c r="AE58" s="34"/>
      <c r="AF58" s="34"/>
    </row>
    <row r="59" spans="1:32" x14ac:dyDescent="0.3">
      <c r="A59" s="34"/>
      <c r="B59" s="540">
        <v>46292</v>
      </c>
      <c r="C59" s="541"/>
      <c r="D59" s="80"/>
      <c r="E59" s="171"/>
      <c r="F59" s="280" t="s">
        <v>154</v>
      </c>
      <c r="G59" s="80"/>
      <c r="H59" s="80"/>
      <c r="I59" s="80"/>
      <c r="J59" s="80"/>
      <c r="K59" s="80"/>
      <c r="L59" s="80"/>
      <c r="M59" s="277">
        <f t="shared" si="11"/>
        <v>0</v>
      </c>
      <c r="N59" s="80"/>
      <c r="O59" s="80"/>
      <c r="P59" s="585"/>
      <c r="Q59" s="242"/>
      <c r="R59" s="585"/>
      <c r="S59" s="80"/>
      <c r="T59" s="589"/>
      <c r="U59" s="589"/>
      <c r="V59" s="591"/>
      <c r="W59" s="239"/>
      <c r="X59" s="93"/>
      <c r="Y59" s="93"/>
      <c r="Z59" s="34"/>
      <c r="AA59" s="34"/>
      <c r="AB59" s="34"/>
      <c r="AC59" s="34"/>
      <c r="AD59" s="34"/>
      <c r="AE59" s="34"/>
      <c r="AF59" s="34"/>
    </row>
    <row r="60" spans="1:32" x14ac:dyDescent="0.3">
      <c r="A60" s="34"/>
      <c r="B60" s="542"/>
      <c r="C60" s="543"/>
      <c r="D60" s="78"/>
      <c r="E60" s="423"/>
      <c r="F60" s="319" t="s">
        <v>164</v>
      </c>
      <c r="G60" s="80"/>
      <c r="H60" s="80"/>
      <c r="I60" s="80"/>
      <c r="J60" s="80"/>
      <c r="K60" s="80"/>
      <c r="L60" s="80"/>
      <c r="M60" s="277">
        <f t="shared" si="11"/>
        <v>0</v>
      </c>
      <c r="N60" s="80"/>
      <c r="O60" s="80"/>
      <c r="P60" s="584">
        <f>'Milling Down Time Hours'!M66</f>
        <v>0</v>
      </c>
      <c r="Q60" s="236"/>
      <c r="R60" s="584">
        <f>'Milling Down Time Hours'!L66</f>
        <v>0</v>
      </c>
      <c r="S60" s="80"/>
      <c r="T60" s="588"/>
      <c r="U60" s="588"/>
      <c r="V60" s="590"/>
      <c r="W60" s="239"/>
      <c r="X60" s="93"/>
      <c r="Y60" s="93"/>
      <c r="Z60" s="34"/>
      <c r="AA60" s="34"/>
      <c r="AB60" s="34"/>
      <c r="AC60" s="34"/>
      <c r="AD60" s="34"/>
      <c r="AE60" s="34"/>
      <c r="AF60" s="34"/>
    </row>
    <row r="61" spans="1:32" x14ac:dyDescent="0.3">
      <c r="A61" s="34"/>
      <c r="B61" s="540">
        <v>46293</v>
      </c>
      <c r="C61" s="541"/>
      <c r="D61" s="80"/>
      <c r="E61" s="171"/>
      <c r="F61" s="280" t="s">
        <v>154</v>
      </c>
      <c r="G61" s="80"/>
      <c r="H61" s="80"/>
      <c r="I61" s="80"/>
      <c r="J61" s="80"/>
      <c r="K61" s="80"/>
      <c r="L61" s="80"/>
      <c r="M61" s="277">
        <f t="shared" si="11"/>
        <v>0</v>
      </c>
      <c r="N61" s="80"/>
      <c r="O61" s="80"/>
      <c r="P61" s="585"/>
      <c r="Q61" s="242"/>
      <c r="R61" s="585"/>
      <c r="S61" s="80"/>
      <c r="T61" s="589"/>
      <c r="U61" s="589"/>
      <c r="V61" s="591"/>
      <c r="W61" s="239"/>
      <c r="X61" s="93"/>
      <c r="Y61" s="93"/>
      <c r="Z61" s="34"/>
      <c r="AA61" s="34"/>
      <c r="AB61" s="34"/>
      <c r="AC61" s="34"/>
      <c r="AD61" s="34"/>
      <c r="AE61" s="34"/>
      <c r="AF61" s="34"/>
    </row>
    <row r="62" spans="1:32" x14ac:dyDescent="0.3">
      <c r="A62" s="34"/>
      <c r="B62" s="542"/>
      <c r="C62" s="543"/>
      <c r="D62" s="78"/>
      <c r="E62" s="423"/>
      <c r="F62" s="319" t="s">
        <v>164</v>
      </c>
      <c r="G62" s="80"/>
      <c r="H62" s="80"/>
      <c r="I62" s="80"/>
      <c r="J62" s="80"/>
      <c r="K62" s="80"/>
      <c r="L62" s="162"/>
      <c r="M62" s="277">
        <f t="shared" si="11"/>
        <v>0</v>
      </c>
      <c r="N62" s="162"/>
      <c r="O62" s="80"/>
      <c r="P62" s="584">
        <f>'Milling Down Time Hours'!M34</f>
        <v>24</v>
      </c>
      <c r="Q62" s="236"/>
      <c r="R62" s="584">
        <f>'Milling Down Time Hours'!L68</f>
        <v>0</v>
      </c>
      <c r="S62" s="80"/>
      <c r="T62" s="596"/>
      <c r="U62" s="596"/>
      <c r="V62" s="598"/>
      <c r="W62" s="239">
        <f t="shared" ref="W62:W97" si="12">T62*M62</f>
        <v>0</v>
      </c>
      <c r="X62" s="93">
        <f t="shared" ref="X62:X97" si="13">M62*U62</f>
        <v>0</v>
      </c>
      <c r="Y62" s="93">
        <f t="shared" ref="Y62:Y97" si="14">M62*V62</f>
        <v>0</v>
      </c>
      <c r="Z62" s="34"/>
      <c r="AA62" s="34"/>
      <c r="AB62" s="34"/>
      <c r="AC62" s="34"/>
      <c r="AD62" s="34"/>
      <c r="AE62" s="34"/>
      <c r="AF62" s="34"/>
    </row>
    <row r="63" spans="1:32" x14ac:dyDescent="0.3">
      <c r="A63" s="34"/>
      <c r="B63" s="540">
        <v>46294</v>
      </c>
      <c r="C63" s="541"/>
      <c r="D63" s="80"/>
      <c r="E63" s="171"/>
      <c r="F63" s="280" t="s">
        <v>154</v>
      </c>
      <c r="G63" s="80"/>
      <c r="H63" s="80"/>
      <c r="I63" s="80"/>
      <c r="J63" s="80"/>
      <c r="K63" s="80"/>
      <c r="L63" s="86"/>
      <c r="M63" s="277">
        <f t="shared" si="11"/>
        <v>0</v>
      </c>
      <c r="N63" s="86"/>
      <c r="O63" s="80"/>
      <c r="P63" s="585"/>
      <c r="Q63" s="242"/>
      <c r="R63" s="585"/>
      <c r="S63" s="80"/>
      <c r="T63" s="597"/>
      <c r="U63" s="597"/>
      <c r="V63" s="599"/>
      <c r="W63" s="239">
        <f t="shared" si="12"/>
        <v>0</v>
      </c>
      <c r="X63" s="93">
        <f t="shared" si="13"/>
        <v>0</v>
      </c>
      <c r="Y63" s="93">
        <f t="shared" si="14"/>
        <v>0</v>
      </c>
      <c r="Z63" s="34"/>
      <c r="AA63" s="34"/>
      <c r="AB63" s="34"/>
      <c r="AC63" s="34"/>
      <c r="AD63" s="34"/>
      <c r="AE63" s="34"/>
      <c r="AF63" s="34"/>
    </row>
    <row r="64" spans="1:32" x14ac:dyDescent="0.3">
      <c r="A64" s="34"/>
      <c r="B64" s="542"/>
      <c r="C64" s="543"/>
      <c r="D64" s="78"/>
      <c r="E64" s="423"/>
      <c r="F64" s="319" t="s">
        <v>164</v>
      </c>
      <c r="G64" s="80"/>
      <c r="H64" s="80"/>
      <c r="I64" s="80"/>
      <c r="J64" s="80"/>
      <c r="K64" s="80"/>
      <c r="L64" s="86"/>
      <c r="M64" s="277">
        <f t="shared" si="11"/>
        <v>0</v>
      </c>
      <c r="N64" s="86"/>
      <c r="O64" s="80"/>
      <c r="P64" s="584">
        <f>'Milling Down Time Hours'!M35</f>
        <v>24</v>
      </c>
      <c r="Q64" s="236"/>
      <c r="R64" s="584">
        <f>'Milling Down Time Hours'!L70</f>
        <v>0</v>
      </c>
      <c r="S64" s="80"/>
      <c r="T64" s="596"/>
      <c r="U64" s="596"/>
      <c r="V64" s="600"/>
      <c r="W64" s="239">
        <f t="shared" si="12"/>
        <v>0</v>
      </c>
      <c r="X64" s="93">
        <f t="shared" si="13"/>
        <v>0</v>
      </c>
      <c r="Y64" s="93">
        <f t="shared" si="14"/>
        <v>0</v>
      </c>
      <c r="Z64" s="34"/>
      <c r="AA64" s="34"/>
      <c r="AB64" s="34"/>
      <c r="AC64" s="34"/>
      <c r="AD64" s="34"/>
      <c r="AE64" s="34"/>
      <c r="AF64" s="34"/>
    </row>
    <row r="65" spans="1:32" x14ac:dyDescent="0.3">
      <c r="A65" s="34"/>
      <c r="B65" s="540">
        <v>46295</v>
      </c>
      <c r="C65" s="541"/>
      <c r="D65" s="80"/>
      <c r="E65" s="171"/>
      <c r="F65" s="280" t="s">
        <v>154</v>
      </c>
      <c r="G65" s="80"/>
      <c r="H65" s="80"/>
      <c r="I65" s="80"/>
      <c r="J65" s="80"/>
      <c r="K65" s="80"/>
      <c r="L65" s="86"/>
      <c r="M65" s="277">
        <f t="shared" si="11"/>
        <v>0</v>
      </c>
      <c r="N65" s="86"/>
      <c r="O65" s="80"/>
      <c r="P65" s="585"/>
      <c r="Q65" s="242"/>
      <c r="R65" s="585"/>
      <c r="S65" s="80"/>
      <c r="T65" s="597"/>
      <c r="U65" s="597"/>
      <c r="V65" s="601"/>
      <c r="W65" s="239">
        <f t="shared" si="12"/>
        <v>0</v>
      </c>
      <c r="X65" s="93">
        <f t="shared" si="13"/>
        <v>0</v>
      </c>
      <c r="Y65" s="93">
        <f t="shared" si="14"/>
        <v>0</v>
      </c>
      <c r="Z65" s="34"/>
      <c r="AA65" s="34"/>
      <c r="AB65" s="34"/>
      <c r="AC65" s="34"/>
      <c r="AD65" s="34"/>
      <c r="AE65" s="34"/>
      <c r="AF65" s="34"/>
    </row>
    <row r="66" spans="1:32" x14ac:dyDescent="0.3">
      <c r="A66" s="34"/>
      <c r="B66" s="542"/>
      <c r="C66" s="543"/>
      <c r="D66" s="78"/>
      <c r="E66" s="423"/>
      <c r="F66" s="319" t="s">
        <v>164</v>
      </c>
      <c r="G66" s="80"/>
      <c r="H66" s="80"/>
      <c r="I66" s="80"/>
      <c r="J66" s="80"/>
      <c r="K66" s="80"/>
      <c r="L66" s="86"/>
      <c r="M66" s="277">
        <f t="shared" si="11"/>
        <v>0</v>
      </c>
      <c r="N66" s="86"/>
      <c r="O66" s="80"/>
      <c r="P66" s="602"/>
      <c r="Q66" s="337"/>
      <c r="R66" s="584">
        <f>'Milling Down Time Hours'!L72</f>
        <v>0</v>
      </c>
      <c r="S66" s="80"/>
      <c r="T66" s="596"/>
      <c r="U66" s="596"/>
      <c r="V66" s="600"/>
      <c r="W66" s="239">
        <f t="shared" si="12"/>
        <v>0</v>
      </c>
      <c r="X66" s="93">
        <f t="shared" si="13"/>
        <v>0</v>
      </c>
      <c r="Y66" s="93">
        <f t="shared" si="14"/>
        <v>0</v>
      </c>
      <c r="Z66" s="34"/>
      <c r="AA66" s="34"/>
      <c r="AB66" s="34"/>
      <c r="AC66" s="34"/>
      <c r="AD66" s="34"/>
      <c r="AE66" s="34"/>
      <c r="AF66" s="34"/>
    </row>
    <row r="67" spans="1:32" x14ac:dyDescent="0.3">
      <c r="A67" s="34"/>
      <c r="B67" s="540">
        <v>46296</v>
      </c>
      <c r="C67" s="541"/>
      <c r="D67" s="80"/>
      <c r="E67" s="171"/>
      <c r="F67" s="280" t="s">
        <v>154</v>
      </c>
      <c r="G67" s="80"/>
      <c r="H67" s="80"/>
      <c r="I67" s="80"/>
      <c r="J67" s="80"/>
      <c r="K67" s="80"/>
      <c r="L67" s="86"/>
      <c r="M67" s="277">
        <f t="shared" si="11"/>
        <v>0</v>
      </c>
      <c r="N67" s="86"/>
      <c r="O67" s="80"/>
      <c r="P67" s="603"/>
      <c r="Q67" s="338"/>
      <c r="R67" s="585"/>
      <c r="S67" s="80"/>
      <c r="T67" s="597"/>
      <c r="U67" s="597"/>
      <c r="V67" s="601"/>
      <c r="W67" s="239">
        <f t="shared" si="12"/>
        <v>0</v>
      </c>
      <c r="X67" s="93">
        <f t="shared" si="13"/>
        <v>0</v>
      </c>
      <c r="Y67" s="93">
        <f t="shared" si="14"/>
        <v>0</v>
      </c>
      <c r="Z67" s="34"/>
      <c r="AA67" s="34"/>
      <c r="AB67" s="34"/>
      <c r="AC67" s="34"/>
      <c r="AD67" s="34"/>
      <c r="AE67" s="34"/>
      <c r="AF67" s="34"/>
    </row>
    <row r="68" spans="1:32" x14ac:dyDescent="0.3">
      <c r="A68" s="34"/>
      <c r="B68" s="542"/>
      <c r="C68" s="543"/>
      <c r="D68" s="78"/>
      <c r="E68" s="423"/>
      <c r="F68" s="319" t="s">
        <v>164</v>
      </c>
      <c r="G68" s="80"/>
      <c r="H68" s="80"/>
      <c r="I68" s="80"/>
      <c r="J68" s="80"/>
      <c r="K68" s="80"/>
      <c r="L68" s="86"/>
      <c r="M68" s="277">
        <f t="shared" si="11"/>
        <v>0</v>
      </c>
      <c r="N68" s="86"/>
      <c r="O68" s="80"/>
      <c r="P68" s="584">
        <f>'Milling Down Time Hours'!M37</f>
        <v>24</v>
      </c>
      <c r="Q68" s="236"/>
      <c r="R68" s="584">
        <f>'Milling Down Time Hours'!L74</f>
        <v>0</v>
      </c>
      <c r="S68" s="80"/>
      <c r="T68" s="596"/>
      <c r="U68" s="596"/>
      <c r="V68" s="598"/>
      <c r="W68" s="239">
        <f t="shared" si="12"/>
        <v>0</v>
      </c>
      <c r="X68" s="93">
        <f t="shared" si="13"/>
        <v>0</v>
      </c>
      <c r="Y68" s="93">
        <f t="shared" si="14"/>
        <v>0</v>
      </c>
      <c r="Z68" s="34"/>
      <c r="AA68" s="34"/>
      <c r="AB68" s="34"/>
      <c r="AC68" s="34"/>
      <c r="AD68" s="34"/>
      <c r="AE68" s="34"/>
      <c r="AF68" s="34"/>
    </row>
    <row r="69" spans="1:32" x14ac:dyDescent="0.3">
      <c r="A69" s="34"/>
      <c r="B69" s="540">
        <v>46297</v>
      </c>
      <c r="C69" s="541"/>
      <c r="D69" s="80"/>
      <c r="E69" s="171"/>
      <c r="F69" s="280" t="s">
        <v>154</v>
      </c>
      <c r="G69" s="80"/>
      <c r="H69" s="80"/>
      <c r="I69" s="80"/>
      <c r="J69" s="80"/>
      <c r="K69" s="80"/>
      <c r="L69" s="86"/>
      <c r="M69" s="277">
        <f t="shared" si="11"/>
        <v>0</v>
      </c>
      <c r="N69" s="86"/>
      <c r="O69" s="80"/>
      <c r="P69" s="585"/>
      <c r="Q69" s="242"/>
      <c r="R69" s="585"/>
      <c r="S69" s="80"/>
      <c r="T69" s="597"/>
      <c r="U69" s="597"/>
      <c r="V69" s="599"/>
      <c r="W69" s="239">
        <f t="shared" si="12"/>
        <v>0</v>
      </c>
      <c r="X69" s="93">
        <f t="shared" si="13"/>
        <v>0</v>
      </c>
      <c r="Y69" s="93">
        <f t="shared" si="14"/>
        <v>0</v>
      </c>
      <c r="Z69" s="34"/>
      <c r="AA69" s="34"/>
      <c r="AB69" s="34"/>
      <c r="AC69" s="34"/>
      <c r="AD69" s="34"/>
      <c r="AE69" s="34"/>
      <c r="AF69" s="34"/>
    </row>
    <row r="70" spans="1:32" x14ac:dyDescent="0.3">
      <c r="A70" s="34"/>
      <c r="B70" s="542"/>
      <c r="C70" s="543"/>
      <c r="D70" s="78"/>
      <c r="E70" s="423"/>
      <c r="F70" s="319" t="s">
        <v>164</v>
      </c>
      <c r="G70" s="162"/>
      <c r="H70" s="80"/>
      <c r="I70" s="80"/>
      <c r="J70" s="80"/>
      <c r="K70" s="86"/>
      <c r="L70" s="162"/>
      <c r="M70" s="277">
        <f t="shared" si="11"/>
        <v>0</v>
      </c>
      <c r="N70" s="162"/>
      <c r="O70" s="80"/>
      <c r="P70" s="584">
        <f>'Milling Down Time Hours'!M38</f>
        <v>24</v>
      </c>
      <c r="Q70" s="236"/>
      <c r="R70" s="584">
        <f>'Milling Down Time Hours'!L76</f>
        <v>0</v>
      </c>
      <c r="S70" s="80"/>
      <c r="T70" s="596"/>
      <c r="U70" s="596"/>
      <c r="V70" s="598"/>
      <c r="W70" s="239">
        <f t="shared" si="12"/>
        <v>0</v>
      </c>
      <c r="X70" s="93">
        <f t="shared" si="13"/>
        <v>0</v>
      </c>
      <c r="Y70" s="93">
        <f t="shared" si="14"/>
        <v>0</v>
      </c>
      <c r="Z70" s="34"/>
      <c r="AA70" s="34"/>
      <c r="AB70" s="34"/>
      <c r="AC70" s="34"/>
      <c r="AD70" s="34"/>
      <c r="AE70" s="34"/>
      <c r="AF70" s="34"/>
    </row>
    <row r="71" spans="1:32" x14ac:dyDescent="0.3">
      <c r="A71" s="34"/>
      <c r="B71" s="540">
        <v>46298</v>
      </c>
      <c r="C71" s="541"/>
      <c r="D71" s="80"/>
      <c r="E71" s="171"/>
      <c r="F71" s="280" t="s">
        <v>154</v>
      </c>
      <c r="G71" s="86"/>
      <c r="H71" s="80"/>
      <c r="I71" s="80"/>
      <c r="J71" s="80"/>
      <c r="K71" s="86"/>
      <c r="L71" s="86"/>
      <c r="M71" s="277">
        <f t="shared" si="11"/>
        <v>0</v>
      </c>
      <c r="N71" s="86"/>
      <c r="O71" s="80"/>
      <c r="P71" s="585"/>
      <c r="Q71" s="242"/>
      <c r="R71" s="585"/>
      <c r="S71" s="80"/>
      <c r="T71" s="597"/>
      <c r="U71" s="597"/>
      <c r="V71" s="599"/>
      <c r="W71" s="239">
        <f t="shared" si="12"/>
        <v>0</v>
      </c>
      <c r="X71" s="93">
        <f t="shared" si="13"/>
        <v>0</v>
      </c>
      <c r="Y71" s="93">
        <f t="shared" si="14"/>
        <v>0</v>
      </c>
      <c r="Z71" s="34"/>
      <c r="AA71" s="34"/>
      <c r="AB71" s="34"/>
      <c r="AC71" s="34"/>
      <c r="AD71" s="34"/>
      <c r="AE71" s="34"/>
      <c r="AF71" s="34"/>
    </row>
    <row r="72" spans="1:32" x14ac:dyDescent="0.3">
      <c r="A72" s="34"/>
      <c r="B72" s="542"/>
      <c r="C72" s="543"/>
      <c r="D72" s="78"/>
      <c r="E72" s="423"/>
      <c r="F72" s="319" t="s">
        <v>164</v>
      </c>
      <c r="G72" s="162"/>
      <c r="H72" s="80"/>
      <c r="I72" s="80"/>
      <c r="J72" s="80"/>
      <c r="K72" s="86"/>
      <c r="L72" s="162"/>
      <c r="M72" s="277">
        <f t="shared" ref="M72:M97" si="15">H72*K72*G72</f>
        <v>0</v>
      </c>
      <c r="N72" s="162"/>
      <c r="O72" s="80"/>
      <c r="P72" s="584">
        <f>'Milling Down Time Hours'!M39</f>
        <v>24</v>
      </c>
      <c r="Q72" s="236"/>
      <c r="R72" s="584">
        <f>'Milling Down Time Hours'!L78</f>
        <v>0</v>
      </c>
      <c r="S72" s="80"/>
      <c r="T72" s="596"/>
      <c r="U72" s="596"/>
      <c r="V72" s="598"/>
      <c r="W72" s="239">
        <f t="shared" si="12"/>
        <v>0</v>
      </c>
      <c r="X72" s="93">
        <f t="shared" si="13"/>
        <v>0</v>
      </c>
      <c r="Y72" s="93">
        <f t="shared" si="14"/>
        <v>0</v>
      </c>
      <c r="Z72" s="34"/>
      <c r="AA72" s="34"/>
      <c r="AB72" s="34"/>
      <c r="AC72" s="34"/>
      <c r="AD72" s="34"/>
      <c r="AE72" s="34"/>
      <c r="AF72" s="34"/>
    </row>
    <row r="73" spans="1:32" x14ac:dyDescent="0.3">
      <c r="A73" s="34"/>
      <c r="B73" s="540">
        <v>46299</v>
      </c>
      <c r="C73" s="541"/>
      <c r="D73" s="80"/>
      <c r="E73" s="171"/>
      <c r="F73" s="280" t="s">
        <v>154</v>
      </c>
      <c r="G73" s="86"/>
      <c r="H73" s="80"/>
      <c r="I73" s="80"/>
      <c r="J73" s="80"/>
      <c r="K73" s="86"/>
      <c r="L73" s="86"/>
      <c r="M73" s="277">
        <f t="shared" si="15"/>
        <v>0</v>
      </c>
      <c r="N73" s="86"/>
      <c r="O73" s="80"/>
      <c r="P73" s="585"/>
      <c r="Q73" s="242"/>
      <c r="R73" s="585"/>
      <c r="S73" s="80"/>
      <c r="T73" s="597"/>
      <c r="U73" s="597"/>
      <c r="V73" s="599"/>
      <c r="W73" s="239">
        <f t="shared" si="12"/>
        <v>0</v>
      </c>
      <c r="X73" s="93">
        <f t="shared" si="13"/>
        <v>0</v>
      </c>
      <c r="Y73" s="93">
        <f t="shared" si="14"/>
        <v>0</v>
      </c>
      <c r="Z73" s="34"/>
      <c r="AA73" s="34"/>
      <c r="AB73" s="34"/>
      <c r="AC73" s="34"/>
      <c r="AD73" s="161">
        <v>0.41899999999999998</v>
      </c>
      <c r="AE73" s="34"/>
      <c r="AF73" s="34"/>
    </row>
    <row r="74" spans="1:32" x14ac:dyDescent="0.3">
      <c r="A74" s="34"/>
      <c r="B74" s="542"/>
      <c r="C74" s="543"/>
      <c r="D74" s="78"/>
      <c r="E74" s="423"/>
      <c r="F74" s="319" t="s">
        <v>164</v>
      </c>
      <c r="G74" s="86"/>
      <c r="H74" s="80"/>
      <c r="I74" s="80"/>
      <c r="J74" s="80"/>
      <c r="K74" s="86"/>
      <c r="L74" s="86"/>
      <c r="M74" s="277">
        <f t="shared" si="15"/>
        <v>0</v>
      </c>
      <c r="N74" s="86"/>
      <c r="O74" s="80"/>
      <c r="P74" s="584">
        <f>'Milling Down Time Hours'!M40</f>
        <v>24</v>
      </c>
      <c r="Q74" s="236"/>
      <c r="R74" s="584">
        <f>'Milling Down Time Hours'!L80</f>
        <v>0</v>
      </c>
      <c r="S74" s="80"/>
      <c r="T74" s="588"/>
      <c r="U74" s="588"/>
      <c r="V74" s="590"/>
      <c r="W74" s="239">
        <f t="shared" si="12"/>
        <v>0</v>
      </c>
      <c r="X74" s="93">
        <f t="shared" si="13"/>
        <v>0</v>
      </c>
      <c r="Y74" s="93">
        <f t="shared" si="14"/>
        <v>0</v>
      </c>
      <c r="Z74" s="34"/>
      <c r="AA74" s="34"/>
      <c r="AB74" s="34"/>
      <c r="AC74" s="34"/>
      <c r="AD74" s="161">
        <v>0.41299999999999998</v>
      </c>
      <c r="AE74" s="34"/>
      <c r="AF74" s="34"/>
    </row>
    <row r="75" spans="1:32" x14ac:dyDescent="0.3">
      <c r="A75" s="34"/>
      <c r="B75" s="540">
        <v>46300</v>
      </c>
      <c r="C75" s="541"/>
      <c r="D75" s="80"/>
      <c r="E75" s="171"/>
      <c r="F75" s="280" t="s">
        <v>154</v>
      </c>
      <c r="G75" s="86"/>
      <c r="H75" s="80"/>
      <c r="I75" s="80"/>
      <c r="J75" s="80"/>
      <c r="K75" s="86"/>
      <c r="L75" s="86"/>
      <c r="M75" s="277">
        <f t="shared" si="15"/>
        <v>0</v>
      </c>
      <c r="N75" s="86"/>
      <c r="O75" s="80"/>
      <c r="P75" s="585"/>
      <c r="Q75" s="242"/>
      <c r="R75" s="585"/>
      <c r="S75" s="80"/>
      <c r="T75" s="589"/>
      <c r="U75" s="589"/>
      <c r="V75" s="591"/>
      <c r="W75" s="239">
        <f t="shared" si="12"/>
        <v>0</v>
      </c>
      <c r="X75" s="93">
        <f t="shared" si="13"/>
        <v>0</v>
      </c>
      <c r="Y75" s="93">
        <f t="shared" si="14"/>
        <v>0</v>
      </c>
      <c r="Z75" s="34"/>
      <c r="AA75" s="34"/>
      <c r="AB75" s="34"/>
      <c r="AC75" s="34"/>
      <c r="AD75" s="161">
        <v>0.40400000000000003</v>
      </c>
      <c r="AE75" s="34"/>
      <c r="AF75" s="34"/>
    </row>
    <row r="76" spans="1:32" x14ac:dyDescent="0.3">
      <c r="A76" s="34"/>
      <c r="B76" s="542"/>
      <c r="C76" s="543"/>
      <c r="D76" s="78"/>
      <c r="E76" s="423"/>
      <c r="F76" s="319" t="s">
        <v>164</v>
      </c>
      <c r="G76" s="162"/>
      <c r="H76" s="80"/>
      <c r="I76" s="80"/>
      <c r="J76" s="80"/>
      <c r="K76" s="86"/>
      <c r="L76" s="162"/>
      <c r="M76" s="277">
        <f t="shared" si="15"/>
        <v>0</v>
      </c>
      <c r="N76" s="162"/>
      <c r="O76" s="80"/>
      <c r="P76" s="584">
        <f>'Milling Down Time Hours'!M41</f>
        <v>24</v>
      </c>
      <c r="Q76" s="236"/>
      <c r="R76" s="584">
        <f>'Milling Down Time Hours'!L82</f>
        <v>0</v>
      </c>
      <c r="S76" s="80"/>
      <c r="T76" s="596"/>
      <c r="U76" s="596"/>
      <c r="V76" s="598"/>
      <c r="W76" s="239">
        <f t="shared" si="12"/>
        <v>0</v>
      </c>
      <c r="X76" s="93">
        <f t="shared" si="13"/>
        <v>0</v>
      </c>
      <c r="Y76" s="93">
        <f t="shared" si="14"/>
        <v>0</v>
      </c>
      <c r="Z76" s="34"/>
      <c r="AA76" s="34"/>
      <c r="AB76" s="34"/>
      <c r="AC76" s="34"/>
      <c r="AD76" s="161">
        <v>0.47</v>
      </c>
      <c r="AE76" s="34"/>
      <c r="AF76" s="34"/>
    </row>
    <row r="77" spans="1:32" x14ac:dyDescent="0.3">
      <c r="A77" s="34"/>
      <c r="B77" s="540">
        <v>46301</v>
      </c>
      <c r="C77" s="541"/>
      <c r="D77" s="80"/>
      <c r="E77" s="171"/>
      <c r="F77" s="280" t="s">
        <v>154</v>
      </c>
      <c r="G77" s="86"/>
      <c r="H77" s="80"/>
      <c r="I77" s="80"/>
      <c r="J77" s="80"/>
      <c r="K77" s="80"/>
      <c r="L77" s="86"/>
      <c r="M77" s="277">
        <f t="shared" si="15"/>
        <v>0</v>
      </c>
      <c r="N77" s="86"/>
      <c r="O77" s="80"/>
      <c r="P77" s="585"/>
      <c r="Q77" s="242"/>
      <c r="R77" s="585"/>
      <c r="S77" s="80"/>
      <c r="T77" s="597"/>
      <c r="U77" s="597"/>
      <c r="V77" s="599"/>
      <c r="W77" s="239">
        <f t="shared" si="12"/>
        <v>0</v>
      </c>
      <c r="X77" s="93">
        <f t="shared" si="13"/>
        <v>0</v>
      </c>
      <c r="Y77" s="93">
        <f t="shared" si="14"/>
        <v>0</v>
      </c>
      <c r="Z77" s="34"/>
      <c r="AA77" s="34"/>
      <c r="AB77" s="34"/>
      <c r="AC77" s="34"/>
      <c r="AD77" s="161">
        <v>0.46500000000000002</v>
      </c>
      <c r="AE77" s="34"/>
      <c r="AF77" s="34"/>
    </row>
    <row r="78" spans="1:32" ht="14.55" hidden="1" customHeight="1" x14ac:dyDescent="0.3">
      <c r="A78" s="34"/>
      <c r="B78" s="582"/>
      <c r="C78" s="583"/>
      <c r="D78" s="78"/>
      <c r="E78" s="423"/>
      <c r="F78" s="319" t="s">
        <v>164</v>
      </c>
      <c r="G78" s="162"/>
      <c r="H78" s="80"/>
      <c r="I78" s="80"/>
      <c r="J78" s="80"/>
      <c r="K78" s="86"/>
      <c r="L78" s="86"/>
      <c r="M78" s="277">
        <f t="shared" si="15"/>
        <v>0</v>
      </c>
      <c r="N78" s="86"/>
      <c r="O78" s="80"/>
      <c r="P78" s="584">
        <f>'Milling Down Time Hours'!M42</f>
        <v>24</v>
      </c>
      <c r="Q78" s="236"/>
      <c r="R78" s="584">
        <f>'Milling Down Time Hours'!L84</f>
        <v>0</v>
      </c>
      <c r="S78" s="80"/>
      <c r="T78" s="596">
        <v>0.35699999999999998</v>
      </c>
      <c r="U78" s="596">
        <v>1.056</v>
      </c>
      <c r="V78" s="598">
        <v>32.25</v>
      </c>
      <c r="W78" s="239">
        <f t="shared" si="12"/>
        <v>0</v>
      </c>
      <c r="X78" s="93">
        <f t="shared" si="13"/>
        <v>0</v>
      </c>
      <c r="Y78" s="93">
        <f t="shared" si="14"/>
        <v>0</v>
      </c>
      <c r="Z78" s="34"/>
      <c r="AA78" s="34"/>
      <c r="AB78" s="34"/>
      <c r="AC78" s="34"/>
      <c r="AD78" s="161">
        <v>0.51600000000000001</v>
      </c>
      <c r="AE78" s="34"/>
      <c r="AF78" s="34"/>
    </row>
    <row r="79" spans="1:32" ht="15" hidden="1" customHeight="1" x14ac:dyDescent="0.3">
      <c r="A79" s="34"/>
      <c r="B79" s="582"/>
      <c r="C79" s="583"/>
      <c r="D79" s="80"/>
      <c r="E79" s="171"/>
      <c r="F79" s="280" t="s">
        <v>154</v>
      </c>
      <c r="G79" s="80"/>
      <c r="H79" s="80"/>
      <c r="I79" s="80"/>
      <c r="J79" s="80"/>
      <c r="K79" s="80"/>
      <c r="L79" s="86"/>
      <c r="M79" s="277">
        <f t="shared" si="15"/>
        <v>0</v>
      </c>
      <c r="N79" s="86"/>
      <c r="O79" s="80"/>
      <c r="P79" s="585"/>
      <c r="Q79" s="242"/>
      <c r="R79" s="585"/>
      <c r="S79" s="80"/>
      <c r="T79" s="597"/>
      <c r="U79" s="597"/>
      <c r="V79" s="599"/>
      <c r="W79" s="239">
        <f t="shared" si="12"/>
        <v>0</v>
      </c>
      <c r="X79" s="93">
        <f t="shared" si="13"/>
        <v>0</v>
      </c>
      <c r="Y79" s="93">
        <f t="shared" si="14"/>
        <v>0</v>
      </c>
      <c r="Z79" s="34"/>
      <c r="AA79" s="34"/>
      <c r="AB79" s="34"/>
      <c r="AC79" s="34"/>
      <c r="AD79" s="183">
        <f>AVERAGE(AD73:AD78)</f>
        <v>0.44783333333333331</v>
      </c>
      <c r="AE79" s="34"/>
      <c r="AF79" s="34"/>
    </row>
    <row r="80" spans="1:32" ht="14.55" hidden="1" customHeight="1" x14ac:dyDescent="0.3">
      <c r="A80" s="34"/>
      <c r="B80" s="582"/>
      <c r="C80" s="583"/>
      <c r="D80" s="78"/>
      <c r="E80" s="423"/>
      <c r="F80" s="319" t="s">
        <v>164</v>
      </c>
      <c r="G80" s="80"/>
      <c r="H80" s="80"/>
      <c r="I80" s="80"/>
      <c r="J80" s="80"/>
      <c r="K80" s="80"/>
      <c r="L80" s="86"/>
      <c r="M80" s="277">
        <f t="shared" si="15"/>
        <v>0</v>
      </c>
      <c r="N80" s="86"/>
      <c r="O80" s="80"/>
      <c r="P80" s="584">
        <f>'Milling Down Time Hours'!M86</f>
        <v>0</v>
      </c>
      <c r="Q80" s="236"/>
      <c r="R80" s="584">
        <f>'Milling Down Time Hours'!L86</f>
        <v>0</v>
      </c>
      <c r="S80" s="80"/>
      <c r="T80" s="588" t="e">
        <f>SUM(#REF!)</f>
        <v>#REF!</v>
      </c>
      <c r="U80" s="588" t="e">
        <f t="shared" ref="U80" si="16">SUM(T80:T82)</f>
        <v>#REF!</v>
      </c>
      <c r="V80" s="590" t="e">
        <f t="shared" ref="V80" si="17">SUM(U80:U82)</f>
        <v>#REF!</v>
      </c>
      <c r="W80" s="239" t="e">
        <f t="shared" si="12"/>
        <v>#REF!</v>
      </c>
      <c r="X80" s="93" t="e">
        <f t="shared" si="13"/>
        <v>#REF!</v>
      </c>
      <c r="Y80" s="93" t="e">
        <f t="shared" si="14"/>
        <v>#REF!</v>
      </c>
      <c r="Z80" s="34"/>
      <c r="AA80" s="34"/>
      <c r="AB80" s="34"/>
      <c r="AC80" s="34"/>
      <c r="AD80" s="34"/>
      <c r="AE80" s="34"/>
      <c r="AF80" s="34"/>
    </row>
    <row r="81" spans="1:32" ht="15" hidden="1" customHeight="1" x14ac:dyDescent="0.3">
      <c r="A81" s="34"/>
      <c r="B81" s="582"/>
      <c r="C81" s="583"/>
      <c r="D81" s="80"/>
      <c r="E81" s="171"/>
      <c r="F81" s="280" t="s">
        <v>154</v>
      </c>
      <c r="G81" s="80"/>
      <c r="H81" s="80"/>
      <c r="I81" s="80"/>
      <c r="J81" s="80"/>
      <c r="K81" s="80"/>
      <c r="L81" s="86"/>
      <c r="M81" s="277">
        <f t="shared" si="15"/>
        <v>0</v>
      </c>
      <c r="N81" s="86"/>
      <c r="O81" s="80"/>
      <c r="P81" s="585"/>
      <c r="Q81" s="242"/>
      <c r="R81" s="585"/>
      <c r="S81" s="80"/>
      <c r="T81" s="589"/>
      <c r="U81" s="589"/>
      <c r="V81" s="591"/>
      <c r="W81" s="239">
        <f t="shared" si="12"/>
        <v>0</v>
      </c>
      <c r="X81" s="93">
        <f t="shared" si="13"/>
        <v>0</v>
      </c>
      <c r="Y81" s="93">
        <f t="shared" si="14"/>
        <v>0</v>
      </c>
      <c r="Z81" s="34"/>
      <c r="AA81" s="34"/>
      <c r="AB81" s="34"/>
      <c r="AC81" s="34"/>
      <c r="AD81" s="34"/>
      <c r="AE81" s="34"/>
      <c r="AF81" s="34"/>
    </row>
    <row r="82" spans="1:32" ht="14.55" hidden="1" customHeight="1" x14ac:dyDescent="0.3">
      <c r="A82" s="34"/>
      <c r="B82" s="582"/>
      <c r="C82" s="583"/>
      <c r="D82" s="78"/>
      <c r="E82" s="423"/>
      <c r="F82" s="319" t="s">
        <v>164</v>
      </c>
      <c r="G82" s="80"/>
      <c r="H82" s="80"/>
      <c r="I82" s="80"/>
      <c r="J82" s="80"/>
      <c r="K82" s="80"/>
      <c r="L82" s="86"/>
      <c r="M82" s="277">
        <f t="shared" si="15"/>
        <v>0</v>
      </c>
      <c r="N82" s="86"/>
      <c r="O82" s="80"/>
      <c r="P82" s="584">
        <f>'Milling Down Time Hours'!M88</f>
        <v>0</v>
      </c>
      <c r="Q82" s="236"/>
      <c r="R82" s="584">
        <f>'Milling Down Time Hours'!L88</f>
        <v>0</v>
      </c>
      <c r="S82" s="80"/>
      <c r="T82" s="588" t="e">
        <f>SUM(#REF!)</f>
        <v>#REF!</v>
      </c>
      <c r="U82" s="588" t="e">
        <f t="shared" ref="U82" si="18">SUM(T82:T84)</f>
        <v>#REF!</v>
      </c>
      <c r="V82" s="590" t="e">
        <f t="shared" ref="V82" si="19">SUM(U82:U84)</f>
        <v>#REF!</v>
      </c>
      <c r="W82" s="239" t="e">
        <f t="shared" si="12"/>
        <v>#REF!</v>
      </c>
      <c r="X82" s="93" t="e">
        <f t="shared" si="13"/>
        <v>#REF!</v>
      </c>
      <c r="Y82" s="93" t="e">
        <f t="shared" si="14"/>
        <v>#REF!</v>
      </c>
      <c r="Z82" s="34"/>
      <c r="AA82" s="34"/>
      <c r="AB82" s="34"/>
      <c r="AC82" s="34"/>
      <c r="AD82" s="34"/>
      <c r="AE82" s="34"/>
      <c r="AF82" s="34"/>
    </row>
    <row r="83" spans="1:32" ht="15" hidden="1" customHeight="1" x14ac:dyDescent="0.3">
      <c r="A83" s="34"/>
      <c r="B83" s="582"/>
      <c r="C83" s="583"/>
      <c r="D83" s="80"/>
      <c r="E83" s="171"/>
      <c r="F83" s="280" t="s">
        <v>154</v>
      </c>
      <c r="G83" s="80"/>
      <c r="H83" s="80"/>
      <c r="I83" s="80"/>
      <c r="J83" s="80"/>
      <c r="K83" s="80"/>
      <c r="L83" s="86"/>
      <c r="M83" s="277">
        <f t="shared" si="15"/>
        <v>0</v>
      </c>
      <c r="N83" s="86"/>
      <c r="O83" s="80"/>
      <c r="P83" s="585"/>
      <c r="Q83" s="242"/>
      <c r="R83" s="585"/>
      <c r="S83" s="80"/>
      <c r="T83" s="589"/>
      <c r="U83" s="589"/>
      <c r="V83" s="591"/>
      <c r="W83" s="239">
        <f t="shared" si="12"/>
        <v>0</v>
      </c>
      <c r="X83" s="93">
        <f t="shared" si="13"/>
        <v>0</v>
      </c>
      <c r="Y83" s="93">
        <f t="shared" si="14"/>
        <v>0</v>
      </c>
      <c r="Z83" s="34"/>
      <c r="AA83" s="34"/>
      <c r="AB83" s="34"/>
      <c r="AC83" s="34"/>
      <c r="AD83" s="34"/>
      <c r="AE83" s="34"/>
      <c r="AF83" s="34"/>
    </row>
    <row r="84" spans="1:32" ht="14.55" hidden="1" customHeight="1" x14ac:dyDescent="0.3">
      <c r="A84" s="34"/>
      <c r="B84" s="582"/>
      <c r="C84" s="583"/>
      <c r="D84" s="78"/>
      <c r="E84" s="423"/>
      <c r="F84" s="319" t="s">
        <v>164</v>
      </c>
      <c r="G84" s="80"/>
      <c r="H84" s="80"/>
      <c r="I84" s="80"/>
      <c r="J84" s="80"/>
      <c r="K84" s="80"/>
      <c r="L84" s="86"/>
      <c r="M84" s="277">
        <f t="shared" si="15"/>
        <v>0</v>
      </c>
      <c r="N84" s="86"/>
      <c r="O84" s="80"/>
      <c r="P84" s="584">
        <f>'Milling Down Time Hours'!M90</f>
        <v>0</v>
      </c>
      <c r="Q84" s="236"/>
      <c r="R84" s="584">
        <f>'Milling Down Time Hours'!L90</f>
        <v>0</v>
      </c>
      <c r="S84" s="80"/>
      <c r="T84" s="588" t="e">
        <f>SUM(#REF!)</f>
        <v>#REF!</v>
      </c>
      <c r="U84" s="588" t="e">
        <f t="shared" ref="U84" si="20">SUM(T84:T86)</f>
        <v>#REF!</v>
      </c>
      <c r="V84" s="590" t="e">
        <f t="shared" ref="V84" si="21">SUM(U84:U86)</f>
        <v>#REF!</v>
      </c>
      <c r="W84" s="239" t="e">
        <f t="shared" si="12"/>
        <v>#REF!</v>
      </c>
      <c r="X84" s="93" t="e">
        <f t="shared" si="13"/>
        <v>#REF!</v>
      </c>
      <c r="Y84" s="93" t="e">
        <f t="shared" si="14"/>
        <v>#REF!</v>
      </c>
      <c r="Z84" s="34"/>
      <c r="AA84" s="34"/>
      <c r="AB84" s="34"/>
      <c r="AC84" s="34"/>
      <c r="AD84" s="34"/>
      <c r="AE84" s="34"/>
      <c r="AF84" s="34"/>
    </row>
    <row r="85" spans="1:32" ht="15" hidden="1" customHeight="1" x14ac:dyDescent="0.3">
      <c r="A85" s="34"/>
      <c r="B85" s="582"/>
      <c r="C85" s="583"/>
      <c r="D85" s="80"/>
      <c r="E85" s="171"/>
      <c r="F85" s="280" t="s">
        <v>154</v>
      </c>
      <c r="G85" s="80"/>
      <c r="H85" s="80"/>
      <c r="I85" s="80"/>
      <c r="J85" s="80"/>
      <c r="K85" s="80"/>
      <c r="L85" s="86"/>
      <c r="M85" s="277">
        <f t="shared" si="15"/>
        <v>0</v>
      </c>
      <c r="N85" s="86"/>
      <c r="O85" s="80"/>
      <c r="P85" s="585"/>
      <c r="Q85" s="242"/>
      <c r="R85" s="585"/>
      <c r="S85" s="80"/>
      <c r="T85" s="589"/>
      <c r="U85" s="589"/>
      <c r="V85" s="591"/>
      <c r="W85" s="239">
        <f t="shared" si="12"/>
        <v>0</v>
      </c>
      <c r="X85" s="93">
        <f t="shared" si="13"/>
        <v>0</v>
      </c>
      <c r="Y85" s="93">
        <f t="shared" si="14"/>
        <v>0</v>
      </c>
      <c r="Z85" s="34"/>
      <c r="AA85" s="34"/>
      <c r="AB85" s="34"/>
      <c r="AC85" s="34"/>
      <c r="AD85" s="34"/>
      <c r="AE85" s="34"/>
      <c r="AF85" s="34"/>
    </row>
    <row r="86" spans="1:32" ht="14.55" hidden="1" customHeight="1" x14ac:dyDescent="0.3">
      <c r="A86" s="34"/>
      <c r="B86" s="582"/>
      <c r="C86" s="583"/>
      <c r="D86" s="78"/>
      <c r="E86" s="423"/>
      <c r="F86" s="319" t="s">
        <v>164</v>
      </c>
      <c r="G86" s="80"/>
      <c r="H86" s="80"/>
      <c r="I86" s="80"/>
      <c r="J86" s="80"/>
      <c r="K86" s="80"/>
      <c r="L86" s="86"/>
      <c r="M86" s="277">
        <f t="shared" si="15"/>
        <v>0</v>
      </c>
      <c r="N86" s="86"/>
      <c r="O86" s="80"/>
      <c r="P86" s="584">
        <f>'Milling Down Time Hours'!M92</f>
        <v>0</v>
      </c>
      <c r="Q86" s="236"/>
      <c r="R86" s="584">
        <f>'Milling Down Time Hours'!L92</f>
        <v>0</v>
      </c>
      <c r="S86" s="80"/>
      <c r="T86" s="588" t="e">
        <f>SUM(#REF!)</f>
        <v>#REF!</v>
      </c>
      <c r="U86" s="588" t="e">
        <f t="shared" ref="U86" si="22">SUM(T86:T88)</f>
        <v>#REF!</v>
      </c>
      <c r="V86" s="590" t="e">
        <f t="shared" ref="V86" si="23">SUM(U86:U88)</f>
        <v>#REF!</v>
      </c>
      <c r="W86" s="239" t="e">
        <f t="shared" si="12"/>
        <v>#REF!</v>
      </c>
      <c r="X86" s="93" t="e">
        <f t="shared" si="13"/>
        <v>#REF!</v>
      </c>
      <c r="Y86" s="93" t="e">
        <f t="shared" si="14"/>
        <v>#REF!</v>
      </c>
      <c r="Z86" s="34"/>
      <c r="AA86" s="34"/>
      <c r="AB86" s="34"/>
      <c r="AC86" s="34"/>
      <c r="AD86" s="34"/>
      <c r="AE86" s="34"/>
      <c r="AF86" s="34"/>
    </row>
    <row r="87" spans="1:32" ht="15" hidden="1" customHeight="1" x14ac:dyDescent="0.3">
      <c r="A87" s="34"/>
      <c r="B87" s="582"/>
      <c r="C87" s="583"/>
      <c r="D87" s="80"/>
      <c r="E87" s="171"/>
      <c r="F87" s="280" t="s">
        <v>154</v>
      </c>
      <c r="G87" s="80"/>
      <c r="H87" s="80"/>
      <c r="I87" s="80"/>
      <c r="J87" s="80"/>
      <c r="K87" s="80"/>
      <c r="L87" s="86"/>
      <c r="M87" s="277">
        <f t="shared" si="15"/>
        <v>0</v>
      </c>
      <c r="N87" s="86"/>
      <c r="O87" s="80"/>
      <c r="P87" s="585"/>
      <c r="Q87" s="242"/>
      <c r="R87" s="585"/>
      <c r="S87" s="80"/>
      <c r="T87" s="589"/>
      <c r="U87" s="589"/>
      <c r="V87" s="591"/>
      <c r="W87" s="239">
        <f t="shared" si="12"/>
        <v>0</v>
      </c>
      <c r="X87" s="93">
        <f t="shared" si="13"/>
        <v>0</v>
      </c>
      <c r="Y87" s="93">
        <f t="shared" si="14"/>
        <v>0</v>
      </c>
      <c r="Z87" s="34"/>
      <c r="AA87" s="34"/>
      <c r="AB87" s="34"/>
      <c r="AC87" s="34"/>
      <c r="AD87" s="34"/>
      <c r="AE87" s="34"/>
      <c r="AF87" s="34"/>
    </row>
    <row r="88" spans="1:32" ht="14.55" hidden="1" customHeight="1" x14ac:dyDescent="0.3">
      <c r="A88" s="34"/>
      <c r="B88" s="582"/>
      <c r="C88" s="583"/>
      <c r="D88" s="78"/>
      <c r="E88" s="423"/>
      <c r="F88" s="319" t="s">
        <v>164</v>
      </c>
      <c r="G88" s="80"/>
      <c r="H88" s="80"/>
      <c r="I88" s="80"/>
      <c r="J88" s="80"/>
      <c r="K88" s="80"/>
      <c r="L88" s="86"/>
      <c r="M88" s="277">
        <f t="shared" si="15"/>
        <v>0</v>
      </c>
      <c r="N88" s="86"/>
      <c r="O88" s="80"/>
      <c r="P88" s="584">
        <f>'Milling Down Time Hours'!M94</f>
        <v>0</v>
      </c>
      <c r="Q88" s="236"/>
      <c r="R88" s="584">
        <f>'Milling Down Time Hours'!L94</f>
        <v>0</v>
      </c>
      <c r="S88" s="80"/>
      <c r="T88" s="588" t="e">
        <f>SUM(#REF!)</f>
        <v>#REF!</v>
      </c>
      <c r="U88" s="588" t="e">
        <f t="shared" ref="U88" si="24">SUM(T88:T90)</f>
        <v>#REF!</v>
      </c>
      <c r="V88" s="590" t="e">
        <f t="shared" ref="V88" si="25">SUM(U88:U90)</f>
        <v>#REF!</v>
      </c>
      <c r="W88" s="239" t="e">
        <f t="shared" si="12"/>
        <v>#REF!</v>
      </c>
      <c r="X88" s="93" t="e">
        <f t="shared" si="13"/>
        <v>#REF!</v>
      </c>
      <c r="Y88" s="93" t="e">
        <f t="shared" si="14"/>
        <v>#REF!</v>
      </c>
      <c r="Z88" s="34"/>
      <c r="AA88" s="34"/>
      <c r="AB88" s="34"/>
      <c r="AC88" s="34"/>
      <c r="AD88" s="34"/>
      <c r="AE88" s="34"/>
      <c r="AF88" s="34"/>
    </row>
    <row r="89" spans="1:32" ht="15" hidden="1" customHeight="1" x14ac:dyDescent="0.3">
      <c r="A89" s="34"/>
      <c r="B89" s="582"/>
      <c r="C89" s="583"/>
      <c r="D89" s="80"/>
      <c r="E89" s="171"/>
      <c r="F89" s="280" t="s">
        <v>154</v>
      </c>
      <c r="G89" s="80"/>
      <c r="H89" s="80"/>
      <c r="I89" s="80"/>
      <c r="J89" s="80"/>
      <c r="K89" s="80"/>
      <c r="L89" s="86"/>
      <c r="M89" s="277">
        <f t="shared" si="15"/>
        <v>0</v>
      </c>
      <c r="N89" s="86"/>
      <c r="O89" s="80"/>
      <c r="P89" s="585"/>
      <c r="Q89" s="242"/>
      <c r="R89" s="585"/>
      <c r="S89" s="80"/>
      <c r="T89" s="589"/>
      <c r="U89" s="589"/>
      <c r="V89" s="591"/>
      <c r="W89" s="239">
        <f t="shared" si="12"/>
        <v>0</v>
      </c>
      <c r="X89" s="93">
        <f t="shared" si="13"/>
        <v>0</v>
      </c>
      <c r="Y89" s="93">
        <f t="shared" si="14"/>
        <v>0</v>
      </c>
      <c r="Z89" s="34"/>
      <c r="AA89" s="34"/>
      <c r="AB89" s="34"/>
      <c r="AC89" s="34"/>
      <c r="AD89" s="34"/>
      <c r="AE89" s="34"/>
      <c r="AF89" s="34"/>
    </row>
    <row r="90" spans="1:32" ht="14.55" hidden="1" customHeight="1" x14ac:dyDescent="0.3">
      <c r="A90" s="34"/>
      <c r="B90" s="582"/>
      <c r="C90" s="583"/>
      <c r="D90" s="78"/>
      <c r="E90" s="423"/>
      <c r="F90" s="319" t="s">
        <v>164</v>
      </c>
      <c r="G90" s="80"/>
      <c r="H90" s="80"/>
      <c r="I90" s="80"/>
      <c r="J90" s="80"/>
      <c r="K90" s="80"/>
      <c r="L90" s="86"/>
      <c r="M90" s="277">
        <f t="shared" si="15"/>
        <v>0</v>
      </c>
      <c r="N90" s="86"/>
      <c r="O90" s="80"/>
      <c r="P90" s="584">
        <f>'Milling Down Time Hours'!M96</f>
        <v>0</v>
      </c>
      <c r="Q90" s="236"/>
      <c r="R90" s="584">
        <f>'Milling Down Time Hours'!L96</f>
        <v>0</v>
      </c>
      <c r="S90" s="80"/>
      <c r="T90" s="588" t="e">
        <f>SUM(#REF!)</f>
        <v>#REF!</v>
      </c>
      <c r="U90" s="588" t="e">
        <f t="shared" ref="U90" si="26">SUM(T90:T92)</f>
        <v>#REF!</v>
      </c>
      <c r="V90" s="590" t="e">
        <f t="shared" ref="V90" si="27">SUM(U90:U92)</f>
        <v>#REF!</v>
      </c>
      <c r="W90" s="239" t="e">
        <f t="shared" si="12"/>
        <v>#REF!</v>
      </c>
      <c r="X90" s="93" t="e">
        <f t="shared" si="13"/>
        <v>#REF!</v>
      </c>
      <c r="Y90" s="93" t="e">
        <f t="shared" si="14"/>
        <v>#REF!</v>
      </c>
      <c r="Z90" s="34"/>
      <c r="AA90" s="34"/>
      <c r="AB90" s="34"/>
      <c r="AC90" s="34"/>
      <c r="AD90" s="34"/>
      <c r="AE90" s="34"/>
      <c r="AF90" s="34"/>
    </row>
    <row r="91" spans="1:32" ht="15" hidden="1" customHeight="1" x14ac:dyDescent="0.3">
      <c r="A91" s="34"/>
      <c r="B91" s="582"/>
      <c r="C91" s="583"/>
      <c r="D91" s="80"/>
      <c r="E91" s="171"/>
      <c r="F91" s="280" t="s">
        <v>154</v>
      </c>
      <c r="G91" s="80"/>
      <c r="H91" s="80"/>
      <c r="I91" s="80"/>
      <c r="J91" s="80"/>
      <c r="K91" s="80"/>
      <c r="L91" s="86"/>
      <c r="M91" s="277">
        <f t="shared" si="15"/>
        <v>0</v>
      </c>
      <c r="N91" s="86"/>
      <c r="O91" s="80"/>
      <c r="P91" s="585"/>
      <c r="Q91" s="242"/>
      <c r="R91" s="585"/>
      <c r="S91" s="80"/>
      <c r="T91" s="589"/>
      <c r="U91" s="589"/>
      <c r="V91" s="591"/>
      <c r="W91" s="239">
        <f t="shared" si="12"/>
        <v>0</v>
      </c>
      <c r="X91" s="93">
        <f t="shared" si="13"/>
        <v>0</v>
      </c>
      <c r="Y91" s="93">
        <f t="shared" si="14"/>
        <v>0</v>
      </c>
      <c r="Z91" s="34"/>
      <c r="AA91" s="34"/>
      <c r="AB91" s="34"/>
      <c r="AC91" s="34"/>
      <c r="AD91" s="34"/>
      <c r="AE91" s="34"/>
      <c r="AF91" s="34"/>
    </row>
    <row r="92" spans="1:32" ht="14.55" hidden="1" customHeight="1" x14ac:dyDescent="0.3">
      <c r="A92" s="34"/>
      <c r="B92" s="582"/>
      <c r="C92" s="583"/>
      <c r="D92" s="78"/>
      <c r="E92" s="423"/>
      <c r="F92" s="319" t="s">
        <v>164</v>
      </c>
      <c r="G92" s="80"/>
      <c r="H92" s="80"/>
      <c r="I92" s="80"/>
      <c r="J92" s="80"/>
      <c r="K92" s="80"/>
      <c r="L92" s="86"/>
      <c r="M92" s="277">
        <f t="shared" si="15"/>
        <v>0</v>
      </c>
      <c r="N92" s="86"/>
      <c r="O92" s="80"/>
      <c r="P92" s="584">
        <f>'Milling Down Time Hours'!M98</f>
        <v>0</v>
      </c>
      <c r="Q92" s="236"/>
      <c r="R92" s="584">
        <f>'Milling Down Time Hours'!L98</f>
        <v>0</v>
      </c>
      <c r="S92" s="80"/>
      <c r="T92" s="588" t="e">
        <f>SUM(#REF!)</f>
        <v>#REF!</v>
      </c>
      <c r="U92" s="588" t="e">
        <f t="shared" ref="U92" si="28">SUM(T92:T94)</f>
        <v>#REF!</v>
      </c>
      <c r="V92" s="590" t="e">
        <f t="shared" ref="V92" si="29">SUM(U92:U94)</f>
        <v>#REF!</v>
      </c>
      <c r="W92" s="239" t="e">
        <f t="shared" si="12"/>
        <v>#REF!</v>
      </c>
      <c r="X92" s="93" t="e">
        <f t="shared" si="13"/>
        <v>#REF!</v>
      </c>
      <c r="Y92" s="93" t="e">
        <f t="shared" si="14"/>
        <v>#REF!</v>
      </c>
      <c r="Z92" s="34"/>
      <c r="AA92" s="34"/>
      <c r="AB92" s="34"/>
      <c r="AC92" s="34"/>
      <c r="AD92" s="34"/>
      <c r="AE92" s="34"/>
      <c r="AF92" s="34"/>
    </row>
    <row r="93" spans="1:32" ht="15" hidden="1" customHeight="1" x14ac:dyDescent="0.3">
      <c r="A93" s="34"/>
      <c r="B93" s="582"/>
      <c r="C93" s="583"/>
      <c r="D93" s="80"/>
      <c r="E93" s="171"/>
      <c r="F93" s="280" t="s">
        <v>154</v>
      </c>
      <c r="G93" s="80"/>
      <c r="H93" s="80"/>
      <c r="I93" s="80"/>
      <c r="J93" s="80"/>
      <c r="K93" s="80"/>
      <c r="L93" s="86"/>
      <c r="M93" s="277">
        <f t="shared" si="15"/>
        <v>0</v>
      </c>
      <c r="N93" s="86"/>
      <c r="O93" s="80"/>
      <c r="P93" s="585"/>
      <c r="Q93" s="242"/>
      <c r="R93" s="585"/>
      <c r="S93" s="80"/>
      <c r="T93" s="589"/>
      <c r="U93" s="589"/>
      <c r="V93" s="591"/>
      <c r="W93" s="239">
        <f t="shared" si="12"/>
        <v>0</v>
      </c>
      <c r="X93" s="93">
        <f t="shared" si="13"/>
        <v>0</v>
      </c>
      <c r="Y93" s="93">
        <f t="shared" si="14"/>
        <v>0</v>
      </c>
      <c r="Z93" s="34"/>
      <c r="AA93" s="34"/>
      <c r="AB93" s="34"/>
      <c r="AC93" s="34"/>
      <c r="AD93" s="34"/>
      <c r="AE93" s="34"/>
      <c r="AF93" s="34"/>
    </row>
    <row r="94" spans="1:32" ht="14.55" hidden="1" customHeight="1" x14ac:dyDescent="0.3">
      <c r="A94" s="34"/>
      <c r="B94" s="582"/>
      <c r="C94" s="583"/>
      <c r="D94" s="78"/>
      <c r="E94" s="423"/>
      <c r="F94" s="319" t="s">
        <v>164</v>
      </c>
      <c r="G94" s="80"/>
      <c r="H94" s="80"/>
      <c r="I94" s="80"/>
      <c r="J94" s="80"/>
      <c r="K94" s="80"/>
      <c r="L94" s="86"/>
      <c r="M94" s="277">
        <f t="shared" si="15"/>
        <v>0</v>
      </c>
      <c r="N94" s="86"/>
      <c r="O94" s="80"/>
      <c r="P94" s="584">
        <f>'Milling Down Time Hours'!M100</f>
        <v>0</v>
      </c>
      <c r="Q94" s="236"/>
      <c r="R94" s="584">
        <f>'Milling Down Time Hours'!L100</f>
        <v>0</v>
      </c>
      <c r="S94" s="80"/>
      <c r="T94" s="588" t="e">
        <f>SUM(#REF!)</f>
        <v>#REF!</v>
      </c>
      <c r="U94" s="588" t="e">
        <f>SUM(T94:T98)</f>
        <v>#REF!</v>
      </c>
      <c r="V94" s="590" t="e">
        <f>SUM(U94:U98)</f>
        <v>#REF!</v>
      </c>
      <c r="W94" s="239" t="e">
        <f t="shared" si="12"/>
        <v>#REF!</v>
      </c>
      <c r="X94" s="93" t="e">
        <f t="shared" si="13"/>
        <v>#REF!</v>
      </c>
      <c r="Y94" s="93" t="e">
        <f t="shared" si="14"/>
        <v>#REF!</v>
      </c>
      <c r="Z94" s="34"/>
      <c r="AA94" s="34"/>
      <c r="AB94" s="34"/>
      <c r="AC94" s="34"/>
      <c r="AD94" s="34"/>
      <c r="AE94" s="34"/>
      <c r="AF94" s="34"/>
    </row>
    <row r="95" spans="1:32" ht="14.55" hidden="1" customHeight="1" x14ac:dyDescent="0.3">
      <c r="A95" s="34"/>
      <c r="B95" s="582"/>
      <c r="C95" s="583"/>
      <c r="D95" s="130"/>
      <c r="E95" s="426"/>
      <c r="F95" s="280" t="s">
        <v>154</v>
      </c>
      <c r="G95" s="130"/>
      <c r="H95" s="130"/>
      <c r="I95" s="130"/>
      <c r="J95" s="130"/>
      <c r="K95" s="130"/>
      <c r="L95" s="319"/>
      <c r="M95" s="277">
        <f t="shared" si="15"/>
        <v>0</v>
      </c>
      <c r="N95" s="319"/>
      <c r="O95" s="130"/>
      <c r="P95" s="592"/>
      <c r="Q95" s="244"/>
      <c r="R95" s="593"/>
      <c r="S95" s="130"/>
      <c r="T95" s="594"/>
      <c r="U95" s="594"/>
      <c r="V95" s="595"/>
      <c r="W95" s="239">
        <f t="shared" si="12"/>
        <v>0</v>
      </c>
      <c r="X95" s="93">
        <f t="shared" si="13"/>
        <v>0</v>
      </c>
      <c r="Y95" s="93">
        <f t="shared" si="14"/>
        <v>0</v>
      </c>
      <c r="Z95" s="34"/>
      <c r="AA95" s="34"/>
      <c r="AB95" s="34"/>
      <c r="AC95" s="34"/>
      <c r="AD95" s="34"/>
      <c r="AE95" s="34"/>
      <c r="AF95" s="34"/>
    </row>
    <row r="96" spans="1:32" x14ac:dyDescent="0.3">
      <c r="A96" s="34"/>
      <c r="B96" s="542"/>
      <c r="C96" s="543"/>
      <c r="D96" s="339"/>
      <c r="E96" s="427"/>
      <c r="F96" s="319" t="s">
        <v>164</v>
      </c>
      <c r="G96" s="162"/>
      <c r="H96" s="80"/>
      <c r="I96" s="80"/>
      <c r="J96" s="80"/>
      <c r="K96" s="86"/>
      <c r="L96" s="162"/>
      <c r="M96" s="277">
        <f t="shared" si="15"/>
        <v>0</v>
      </c>
      <c r="N96" s="162"/>
      <c r="O96" s="80"/>
      <c r="P96" s="200">
        <f>'Milling Down Time Hours'!M42</f>
        <v>24</v>
      </c>
      <c r="Q96" s="200"/>
      <c r="R96" s="200"/>
      <c r="S96" s="80"/>
      <c r="T96" s="200"/>
      <c r="U96" s="200"/>
      <c r="V96" s="208"/>
      <c r="W96" s="239">
        <f t="shared" si="12"/>
        <v>0</v>
      </c>
      <c r="X96" s="93">
        <f t="shared" si="13"/>
        <v>0</v>
      </c>
      <c r="Y96" s="93">
        <f t="shared" si="14"/>
        <v>0</v>
      </c>
      <c r="Z96" s="34"/>
      <c r="AA96" s="34"/>
      <c r="AB96" s="34"/>
      <c r="AC96" s="34"/>
      <c r="AD96" s="34"/>
      <c r="AE96" s="34"/>
      <c r="AF96" s="34"/>
    </row>
    <row r="97" spans="1:32" x14ac:dyDescent="0.3">
      <c r="A97" s="34"/>
      <c r="B97" s="292"/>
      <c r="C97" s="293"/>
      <c r="D97" s="339"/>
      <c r="E97" s="427"/>
      <c r="F97" s="280" t="s">
        <v>154</v>
      </c>
      <c r="G97" s="80"/>
      <c r="H97" s="80"/>
      <c r="I97" s="80"/>
      <c r="J97" s="80"/>
      <c r="K97" s="80"/>
      <c r="L97" s="86"/>
      <c r="M97" s="277">
        <f t="shared" si="15"/>
        <v>0</v>
      </c>
      <c r="N97" s="86"/>
      <c r="O97" s="80"/>
      <c r="P97" s="200"/>
      <c r="Q97" s="200"/>
      <c r="R97" s="200"/>
      <c r="S97" s="80"/>
      <c r="T97" s="200"/>
      <c r="U97" s="200"/>
      <c r="V97" s="208"/>
      <c r="W97" s="239">
        <f t="shared" si="12"/>
        <v>0</v>
      </c>
      <c r="X97" s="93">
        <f t="shared" si="13"/>
        <v>0</v>
      </c>
      <c r="Y97" s="93">
        <f t="shared" si="14"/>
        <v>0</v>
      </c>
      <c r="Z97" s="34"/>
      <c r="AA97" s="295">
        <f>SUM(Z5:Z17)</f>
        <v>1188347787.2522082</v>
      </c>
      <c r="AB97" s="34"/>
      <c r="AC97" s="34"/>
      <c r="AD97" s="34"/>
      <c r="AE97" s="34"/>
      <c r="AF97" s="34"/>
    </row>
    <row r="98" spans="1:32" x14ac:dyDescent="0.3">
      <c r="A98" s="34"/>
      <c r="B98" s="439" t="s">
        <v>60</v>
      </c>
      <c r="C98" s="340"/>
      <c r="D98" s="340"/>
      <c r="E98" s="428"/>
      <c r="F98" s="340"/>
      <c r="G98" s="340"/>
      <c r="H98" s="340"/>
      <c r="I98" s="340"/>
      <c r="J98" s="340"/>
      <c r="K98" s="340"/>
      <c r="L98" s="341">
        <f>AVERAGE(L5:L97)</f>
        <v>0.70166666666666666</v>
      </c>
      <c r="M98" s="342">
        <f>SUM(M5:M97)</f>
        <v>1083.7416802500002</v>
      </c>
      <c r="N98" s="341"/>
      <c r="O98" s="340"/>
      <c r="P98" s="343">
        <f>'Milling Down Time Hours'!M58</f>
        <v>490.4666666666667</v>
      </c>
      <c r="Q98" s="343"/>
      <c r="R98" s="340"/>
      <c r="S98" s="340"/>
      <c r="T98" s="344">
        <f>AVERAGE(T5:T26)*0.9</f>
        <v>0.69189000000000001</v>
      </c>
      <c r="U98" s="344">
        <f>AVERAGE(U5:U26)*0.9</f>
        <v>0.58479000000000003</v>
      </c>
      <c r="V98" s="344">
        <f>AVERAGE(V5:V26)*0.9</f>
        <v>7.4924700000000017</v>
      </c>
      <c r="W98" s="345">
        <f>SUM(W5:W16)</f>
        <v>426.93208973421673</v>
      </c>
      <c r="X98" s="345">
        <f t="shared" ref="X98:Y98" si="30">SUM(X5:X16)</f>
        <v>424.70192465699336</v>
      </c>
      <c r="Y98" s="345">
        <f t="shared" si="30"/>
        <v>5118.8794089371868</v>
      </c>
      <c r="Z98" s="34"/>
      <c r="AA98" s="34"/>
      <c r="AB98" s="34"/>
      <c r="AC98" s="34"/>
      <c r="AD98" s="34"/>
      <c r="AE98" s="34"/>
      <c r="AF98" s="34"/>
    </row>
    <row r="99" spans="1:32" x14ac:dyDescent="0.3">
      <c r="A99" s="34"/>
      <c r="B99" s="34"/>
      <c r="C99" s="34"/>
      <c r="D99" s="34"/>
      <c r="E99" s="73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 spans="1:32" x14ac:dyDescent="0.3">
      <c r="A100" s="34"/>
      <c r="B100" s="34"/>
      <c r="C100" s="34"/>
      <c r="D100" s="34"/>
      <c r="E100" s="73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435" t="s">
        <v>64</v>
      </c>
      <c r="AA100" s="161">
        <f>MIN(Z5:Z97)</f>
        <v>0</v>
      </c>
      <c r="AB100" s="34"/>
      <c r="AC100" s="34"/>
      <c r="AD100" s="34"/>
      <c r="AE100" s="34"/>
      <c r="AF100" s="34"/>
    </row>
    <row r="101" spans="1:32" x14ac:dyDescent="0.3">
      <c r="A101" s="34"/>
      <c r="B101" s="34"/>
      <c r="C101" s="34"/>
      <c r="D101" s="34"/>
      <c r="E101" s="73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435" t="s">
        <v>62</v>
      </c>
      <c r="AA101" s="191">
        <f>MAX(Z5:Z97)</f>
        <v>196686945</v>
      </c>
      <c r="AB101" s="34"/>
      <c r="AC101" s="34"/>
      <c r="AD101" s="34"/>
      <c r="AE101" s="34"/>
      <c r="AF101" s="34"/>
    </row>
    <row r="102" spans="1:32" x14ac:dyDescent="0.3">
      <c r="W102" s="13"/>
    </row>
  </sheetData>
  <mergeCells count="213">
    <mergeCell ref="S9:S12"/>
    <mergeCell ref="N11:N12"/>
    <mergeCell ref="R44:R45"/>
    <mergeCell ref="N7:N8"/>
    <mergeCell ref="O30:O31"/>
    <mergeCell ref="O32:O33"/>
    <mergeCell ref="O34:O35"/>
    <mergeCell ref="R32:R33"/>
    <mergeCell ref="P30:P31"/>
    <mergeCell ref="P32:P33"/>
    <mergeCell ref="R30:R31"/>
    <mergeCell ref="R23:R25"/>
    <mergeCell ref="S23:S25"/>
    <mergeCell ref="O23:O25"/>
    <mergeCell ref="S5:S8"/>
    <mergeCell ref="P9:P10"/>
    <mergeCell ref="H2:K2"/>
    <mergeCell ref="R34:R35"/>
    <mergeCell ref="R40:R41"/>
    <mergeCell ref="P44:P45"/>
    <mergeCell ref="P46:P47"/>
    <mergeCell ref="O26:O29"/>
    <mergeCell ref="P34:P35"/>
    <mergeCell ref="P36:P37"/>
    <mergeCell ref="O36:O37"/>
    <mergeCell ref="O38:O39"/>
    <mergeCell ref="O40:O41"/>
    <mergeCell ref="P38:P39"/>
    <mergeCell ref="P11:P12"/>
    <mergeCell ref="P13:P14"/>
    <mergeCell ref="R13:R14"/>
    <mergeCell ref="R28:R29"/>
    <mergeCell ref="P60:P61"/>
    <mergeCell ref="P62:P63"/>
    <mergeCell ref="R58:R59"/>
    <mergeCell ref="R56:R57"/>
    <mergeCell ref="R62:R63"/>
    <mergeCell ref="R60:R61"/>
    <mergeCell ref="D13:D14"/>
    <mergeCell ref="N17:N18"/>
    <mergeCell ref="N19:N20"/>
    <mergeCell ref="B27:C28"/>
    <mergeCell ref="N9:N10"/>
    <mergeCell ref="B9:C10"/>
    <mergeCell ref="B11:C12"/>
    <mergeCell ref="B13:C14"/>
    <mergeCell ref="B15:C16"/>
    <mergeCell ref="B17:C18"/>
    <mergeCell ref="B19:C20"/>
    <mergeCell ref="B25:C26"/>
    <mergeCell ref="N21:N22"/>
    <mergeCell ref="P40:P41"/>
    <mergeCell ref="B21:C22"/>
    <mergeCell ref="B23:C24"/>
    <mergeCell ref="P23:P24"/>
    <mergeCell ref="B29:C30"/>
    <mergeCell ref="P28:P29"/>
    <mergeCell ref="B31:C32"/>
    <mergeCell ref="B33:C34"/>
    <mergeCell ref="B4:C4"/>
    <mergeCell ref="B5:C6"/>
    <mergeCell ref="B7:C8"/>
    <mergeCell ref="P7:P8"/>
    <mergeCell ref="N5:N6"/>
    <mergeCell ref="P5:P6"/>
    <mergeCell ref="V76:V77"/>
    <mergeCell ref="P66:P67"/>
    <mergeCell ref="R66:R67"/>
    <mergeCell ref="P78:P79"/>
    <mergeCell ref="T68:T69"/>
    <mergeCell ref="P70:P71"/>
    <mergeCell ref="R70:R71"/>
    <mergeCell ref="T70:T71"/>
    <mergeCell ref="P72:P73"/>
    <mergeCell ref="T72:T73"/>
    <mergeCell ref="R78:R79"/>
    <mergeCell ref="P68:P69"/>
    <mergeCell ref="R68:R69"/>
    <mergeCell ref="R74:R75"/>
    <mergeCell ref="P74:P75"/>
    <mergeCell ref="P76:P77"/>
    <mergeCell ref="T38:T39"/>
    <mergeCell ref="V58:V59"/>
    <mergeCell ref="U60:U61"/>
    <mergeCell ref="V60:V61"/>
    <mergeCell ref="R72:R73"/>
    <mergeCell ref="U38:U39"/>
    <mergeCell ref="V38:V39"/>
    <mergeCell ref="U46:U47"/>
    <mergeCell ref="U56:U57"/>
    <mergeCell ref="U66:U67"/>
    <mergeCell ref="U62:U63"/>
    <mergeCell ref="V62:V63"/>
    <mergeCell ref="U64:U65"/>
    <mergeCell ref="V64:V65"/>
    <mergeCell ref="V66:V67"/>
    <mergeCell ref="U68:U69"/>
    <mergeCell ref="V56:V57"/>
    <mergeCell ref="U58:U59"/>
    <mergeCell ref="U72:U73"/>
    <mergeCell ref="V72:V73"/>
    <mergeCell ref="U74:U75"/>
    <mergeCell ref="V74:V75"/>
    <mergeCell ref="V68:V69"/>
    <mergeCell ref="U70:U71"/>
    <mergeCell ref="V70:V71"/>
    <mergeCell ref="U21:U22"/>
    <mergeCell ref="V21:V22"/>
    <mergeCell ref="T74:T75"/>
    <mergeCell ref="T21:T22"/>
    <mergeCell ref="V46:V47"/>
    <mergeCell ref="U48:U49"/>
    <mergeCell ref="V48:V49"/>
    <mergeCell ref="T64:T65"/>
    <mergeCell ref="T66:T67"/>
    <mergeCell ref="T60:T61"/>
    <mergeCell ref="U50:U51"/>
    <mergeCell ref="V50:V51"/>
    <mergeCell ref="U52:U53"/>
    <mergeCell ref="V52:V53"/>
    <mergeCell ref="U54:U55"/>
    <mergeCell ref="V54:V55"/>
    <mergeCell ref="V84:V85"/>
    <mergeCell ref="T80:T81"/>
    <mergeCell ref="R82:R83"/>
    <mergeCell ref="T82:T83"/>
    <mergeCell ref="P84:P85"/>
    <mergeCell ref="T84:T85"/>
    <mergeCell ref="V78:V79"/>
    <mergeCell ref="U80:U81"/>
    <mergeCell ref="V80:V81"/>
    <mergeCell ref="U82:U83"/>
    <mergeCell ref="V82:V83"/>
    <mergeCell ref="P94:P95"/>
    <mergeCell ref="R94:R95"/>
    <mergeCell ref="T94:T95"/>
    <mergeCell ref="U94:U95"/>
    <mergeCell ref="V94:V95"/>
    <mergeCell ref="V86:V87"/>
    <mergeCell ref="P88:P89"/>
    <mergeCell ref="R88:R89"/>
    <mergeCell ref="P92:P93"/>
    <mergeCell ref="R92:R93"/>
    <mergeCell ref="T92:T93"/>
    <mergeCell ref="U92:U93"/>
    <mergeCell ref="V92:V93"/>
    <mergeCell ref="T88:T89"/>
    <mergeCell ref="U88:U89"/>
    <mergeCell ref="V88:V89"/>
    <mergeCell ref="V90:V91"/>
    <mergeCell ref="P86:P87"/>
    <mergeCell ref="R86:R87"/>
    <mergeCell ref="T86:T87"/>
    <mergeCell ref="T54:T55"/>
    <mergeCell ref="T56:T57"/>
    <mergeCell ref="T58:T59"/>
    <mergeCell ref="R52:R53"/>
    <mergeCell ref="U86:U87"/>
    <mergeCell ref="U78:U79"/>
    <mergeCell ref="U84:U85"/>
    <mergeCell ref="T62:T63"/>
    <mergeCell ref="U76:U77"/>
    <mergeCell ref="T78:T79"/>
    <mergeCell ref="T76:T77"/>
    <mergeCell ref="R76:R77"/>
    <mergeCell ref="R54:R55"/>
    <mergeCell ref="R48:R49"/>
    <mergeCell ref="R50:R51"/>
    <mergeCell ref="P52:P53"/>
    <mergeCell ref="T46:T47"/>
    <mergeCell ref="T48:T49"/>
    <mergeCell ref="T50:T51"/>
    <mergeCell ref="T52:T53"/>
    <mergeCell ref="R46:R47"/>
    <mergeCell ref="P50:P51"/>
    <mergeCell ref="P48:P49"/>
    <mergeCell ref="P90:P91"/>
    <mergeCell ref="R90:R91"/>
    <mergeCell ref="T90:T91"/>
    <mergeCell ref="U90:U91"/>
    <mergeCell ref="P64:P65"/>
    <mergeCell ref="P80:P81"/>
    <mergeCell ref="R80:R81"/>
    <mergeCell ref="R84:R85"/>
    <mergeCell ref="P82:P83"/>
    <mergeCell ref="B35:C36"/>
    <mergeCell ref="B37:C38"/>
    <mergeCell ref="B39:C40"/>
    <mergeCell ref="B41:C42"/>
    <mergeCell ref="B43:C44"/>
    <mergeCell ref="B67:C68"/>
    <mergeCell ref="B69:C70"/>
    <mergeCell ref="B71:C72"/>
    <mergeCell ref="B73:C74"/>
    <mergeCell ref="P54:P55"/>
    <mergeCell ref="P56:P57"/>
    <mergeCell ref="P58:P59"/>
    <mergeCell ref="B75:C76"/>
    <mergeCell ref="B77:C96"/>
    <mergeCell ref="R64:R65"/>
    <mergeCell ref="R38:R39"/>
    <mergeCell ref="R36:R37"/>
    <mergeCell ref="B45:C46"/>
    <mergeCell ref="B47:C48"/>
    <mergeCell ref="B49:C50"/>
    <mergeCell ref="B51:C52"/>
    <mergeCell ref="B53:C54"/>
    <mergeCell ref="B55:C56"/>
    <mergeCell ref="B57:C58"/>
    <mergeCell ref="B59:C60"/>
    <mergeCell ref="B61:C62"/>
    <mergeCell ref="B63:C64"/>
    <mergeCell ref="B65:C66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65E3C"/>
  </sheetPr>
  <dimension ref="A1:AA46"/>
  <sheetViews>
    <sheetView showGridLines="0" workbookViewId="0">
      <pane ySplit="4" topLeftCell="A5" activePane="bottomLeft" state="frozen"/>
      <selection pane="bottomLeft"/>
    </sheetView>
  </sheetViews>
  <sheetFormatPr defaultColWidth="8.77734375" defaultRowHeight="14.4" x14ac:dyDescent="0.3"/>
  <cols>
    <col min="1" max="1" width="11.33203125" style="1" customWidth="1"/>
    <col min="2" max="3" width="8.77734375" style="1"/>
    <col min="4" max="4" width="9.77734375" style="1" customWidth="1"/>
    <col min="5" max="5" width="10" style="1" customWidth="1"/>
    <col min="6" max="6" width="17.44140625" style="1" customWidth="1"/>
    <col min="7" max="7" width="42" style="1" customWidth="1"/>
    <col min="8" max="9" width="8.77734375" style="1"/>
    <col min="10" max="10" width="11.33203125" style="1" customWidth="1"/>
    <col min="11" max="11" width="22.44140625" style="1" customWidth="1"/>
    <col min="12" max="12" width="20.109375" style="1" customWidth="1"/>
    <col min="13" max="13" width="13.5546875" style="1" customWidth="1"/>
    <col min="14" max="14" width="17.6640625" style="1" customWidth="1"/>
    <col min="15" max="25" width="8.77734375" style="1"/>
    <col min="26" max="26" width="33" style="1" customWidth="1"/>
    <col min="27" max="16384" width="8.77734375" style="1"/>
  </cols>
  <sheetData>
    <row r="1" spans="1:27" ht="24" customHeight="1" x14ac:dyDescent="0.3">
      <c r="A1" s="34"/>
      <c r="B1" s="533" t="s">
        <v>411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</row>
    <row r="2" spans="1:27" ht="18" customHeight="1" x14ac:dyDescent="0.3">
      <c r="A2" s="34"/>
      <c r="B2" s="34"/>
      <c r="C2" s="34"/>
      <c r="D2" s="34"/>
      <c r="E2" s="34"/>
      <c r="F2" s="534" t="s">
        <v>412</v>
      </c>
      <c r="G2" s="534"/>
      <c r="H2" s="534"/>
      <c r="I2" s="534"/>
      <c r="J2" s="534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</row>
    <row r="3" spans="1:27" ht="22.05" customHeight="1" x14ac:dyDescent="0.3">
      <c r="A3" s="532" t="s">
        <v>413</v>
      </c>
      <c r="B3" s="532"/>
      <c r="C3" s="532"/>
      <c r="D3" s="532"/>
      <c r="E3" s="532"/>
      <c r="F3" s="532"/>
      <c r="G3" s="532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24" customHeight="1" x14ac:dyDescent="0.3">
      <c r="A4" s="535" t="s">
        <v>74</v>
      </c>
      <c r="B4" s="535"/>
      <c r="C4" s="371" t="s">
        <v>143</v>
      </c>
      <c r="D4" s="371" t="s">
        <v>414</v>
      </c>
      <c r="E4" s="371" t="s">
        <v>415</v>
      </c>
      <c r="F4" s="371" t="s">
        <v>416</v>
      </c>
      <c r="G4" s="371" t="s">
        <v>417</v>
      </c>
      <c r="H4" s="34"/>
      <c r="I4" s="34"/>
      <c r="J4" s="371" t="s">
        <v>74</v>
      </c>
      <c r="K4" s="371" t="s">
        <v>418</v>
      </c>
      <c r="L4" s="371" t="s">
        <v>419</v>
      </c>
      <c r="M4" s="371" t="s">
        <v>420</v>
      </c>
      <c r="N4" s="371" t="s">
        <v>421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x14ac:dyDescent="0.3">
      <c r="A5" s="350"/>
      <c r="B5" s="351"/>
      <c r="C5" s="352"/>
      <c r="D5" s="352"/>
      <c r="E5" s="352"/>
      <c r="F5" s="352"/>
      <c r="G5" s="429"/>
      <c r="H5" s="34"/>
      <c r="I5" s="34"/>
      <c r="J5" s="84"/>
      <c r="K5" s="84"/>
      <c r="L5" s="84"/>
      <c r="M5" s="84"/>
      <c r="N5" s="220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x14ac:dyDescent="0.3">
      <c r="A6" s="619">
        <v>46252</v>
      </c>
      <c r="B6" s="620"/>
      <c r="C6" s="276" t="s">
        <v>199</v>
      </c>
      <c r="D6" s="347">
        <v>6.9444444444444447E-4</v>
      </c>
      <c r="E6" s="347">
        <v>0.91597222222222219</v>
      </c>
      <c r="F6" s="243">
        <f>(E6-D6)*1440</f>
        <v>1318</v>
      </c>
      <c r="G6" s="430" t="s">
        <v>422</v>
      </c>
      <c r="H6" s="34"/>
      <c r="I6" s="34"/>
      <c r="J6" s="76">
        <v>46252</v>
      </c>
      <c r="K6" s="200">
        <f>F6</f>
        <v>1318</v>
      </c>
      <c r="L6" s="200">
        <f>(1440-K6)/60</f>
        <v>2.0333333333333332</v>
      </c>
      <c r="M6" s="162">
        <f>L6/12</f>
        <v>0.16944444444444443</v>
      </c>
      <c r="N6" s="93">
        <f>12-L6</f>
        <v>9.9666666666666668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x14ac:dyDescent="0.3">
      <c r="A7" s="619">
        <v>46253</v>
      </c>
      <c r="B7" s="620"/>
      <c r="C7" s="276" t="s">
        <v>199</v>
      </c>
      <c r="D7" s="347">
        <v>6.9444444444444447E-4</v>
      </c>
      <c r="E7" s="347">
        <v>0.54097222222222219</v>
      </c>
      <c r="F7" s="243">
        <f t="shared" ref="F7:F36" si="0">(E7-D7)*1440</f>
        <v>778</v>
      </c>
      <c r="G7" s="180" t="s">
        <v>423</v>
      </c>
      <c r="H7" s="34"/>
      <c r="I7" s="34"/>
      <c r="J7" s="76">
        <v>46253</v>
      </c>
      <c r="K7" s="200">
        <f>F7</f>
        <v>778</v>
      </c>
      <c r="L7" s="200">
        <f>(1440-K7)/60</f>
        <v>11.033333333333333</v>
      </c>
      <c r="M7" s="162">
        <f>L7/12</f>
        <v>0.9194444444444444</v>
      </c>
      <c r="N7" s="93">
        <f>12-L7</f>
        <v>0.96666666666666679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ht="22.05" customHeight="1" x14ac:dyDescent="0.3">
      <c r="A8" s="619">
        <v>46254</v>
      </c>
      <c r="B8" s="620"/>
      <c r="C8" s="276" t="s">
        <v>199</v>
      </c>
      <c r="D8" s="347">
        <v>6.9444444444444447E-4</v>
      </c>
      <c r="E8" s="347">
        <v>0.54097222222222219</v>
      </c>
      <c r="F8" s="243">
        <f t="shared" si="0"/>
        <v>778</v>
      </c>
      <c r="G8" s="180"/>
      <c r="H8" s="34"/>
      <c r="I8" s="34"/>
      <c r="J8" s="76">
        <v>46254</v>
      </c>
      <c r="K8" s="86">
        <f t="shared" ref="K8:K28" si="1">F8</f>
        <v>778</v>
      </c>
      <c r="L8" s="200">
        <f t="shared" ref="L8:L14" si="2">(1440-K8)/60</f>
        <v>11.033333333333333</v>
      </c>
      <c r="M8" s="162">
        <f>L8/12</f>
        <v>0.9194444444444444</v>
      </c>
      <c r="N8" s="93">
        <f t="shared" ref="N8:N17" si="3">12-L8</f>
        <v>0.96666666666666679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531" t="s">
        <v>424</v>
      </c>
      <c r="AA8" s="531"/>
    </row>
    <row r="9" spans="1:27" ht="22.05" customHeight="1" x14ac:dyDescent="0.3">
      <c r="A9" s="619">
        <v>46255</v>
      </c>
      <c r="B9" s="620"/>
      <c r="C9" s="276" t="s">
        <v>199</v>
      </c>
      <c r="D9" s="347">
        <v>6.9444444444444447E-4</v>
      </c>
      <c r="E9" s="347">
        <v>0.60763888888888884</v>
      </c>
      <c r="F9" s="243">
        <f t="shared" si="0"/>
        <v>873.99999999999989</v>
      </c>
      <c r="G9" s="180" t="s">
        <v>425</v>
      </c>
      <c r="H9" s="34"/>
      <c r="I9" s="34"/>
      <c r="J9" s="76">
        <v>46255</v>
      </c>
      <c r="K9" s="86">
        <f t="shared" si="1"/>
        <v>873.99999999999989</v>
      </c>
      <c r="L9" s="200">
        <f t="shared" si="2"/>
        <v>9.4333333333333353</v>
      </c>
      <c r="M9" s="162">
        <f t="shared" ref="M9:M29" si="4">L9/12</f>
        <v>0.78611111111111132</v>
      </c>
      <c r="N9" s="93">
        <f t="shared" si="3"/>
        <v>2.5666666666666647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92" t="s">
        <v>426</v>
      </c>
      <c r="AA9" s="395">
        <f>L43</f>
        <v>65.95</v>
      </c>
    </row>
    <row r="10" spans="1:27" ht="22.05" customHeight="1" x14ac:dyDescent="0.3">
      <c r="A10" s="619">
        <v>46256</v>
      </c>
      <c r="B10" s="620"/>
      <c r="C10" s="276" t="s">
        <v>199</v>
      </c>
      <c r="D10" s="347">
        <v>6.9444444444444447E-4</v>
      </c>
      <c r="E10" s="347">
        <v>0.625</v>
      </c>
      <c r="F10" s="243">
        <f>(E10-D10)*1440</f>
        <v>899</v>
      </c>
      <c r="G10" s="180" t="s">
        <v>427</v>
      </c>
      <c r="H10" s="34"/>
      <c r="I10" s="34"/>
      <c r="J10" s="76">
        <v>46256</v>
      </c>
      <c r="K10" s="200">
        <f>SUM(F10)</f>
        <v>899</v>
      </c>
      <c r="L10" s="200">
        <f>(1440-K10)/60</f>
        <v>9.0166666666666675</v>
      </c>
      <c r="M10" s="162">
        <f t="shared" si="4"/>
        <v>0.75138888888888899</v>
      </c>
      <c r="N10" s="93">
        <f>12-L10</f>
        <v>2.9833333333333325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92" t="s">
        <v>428</v>
      </c>
      <c r="AA10" s="395">
        <f>N43</f>
        <v>66.05</v>
      </c>
    </row>
    <row r="11" spans="1:27" ht="22.05" customHeight="1" x14ac:dyDescent="0.3">
      <c r="A11" s="619">
        <v>46257</v>
      </c>
      <c r="B11" s="620"/>
      <c r="C11" s="276" t="s">
        <v>199</v>
      </c>
      <c r="D11" s="347">
        <v>6.9444444444444447E-4</v>
      </c>
      <c r="E11" s="347">
        <v>0.99930555555555556</v>
      </c>
      <c r="F11" s="243">
        <f>(E11-D11)*1440</f>
        <v>1438</v>
      </c>
      <c r="G11" s="180" t="s">
        <v>429</v>
      </c>
      <c r="H11" s="34"/>
      <c r="I11" s="34"/>
      <c r="J11" s="76">
        <v>46257</v>
      </c>
      <c r="K11" s="200">
        <f>SUM(F11)</f>
        <v>1438</v>
      </c>
      <c r="L11" s="200">
        <f>(1440-K11)/60</f>
        <v>3.3333333333333333E-2</v>
      </c>
      <c r="M11" s="162">
        <f t="shared" si="4"/>
        <v>2.7777777777777779E-3</v>
      </c>
      <c r="N11" s="93">
        <f t="shared" si="3"/>
        <v>11.966666666666667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92" t="s">
        <v>430</v>
      </c>
      <c r="AA11" s="394">
        <f>L44</f>
        <v>0.61064814814814816</v>
      </c>
    </row>
    <row r="12" spans="1:27" ht="22.05" customHeight="1" x14ac:dyDescent="0.3">
      <c r="A12" s="619">
        <v>46258</v>
      </c>
      <c r="B12" s="620"/>
      <c r="C12" s="276" t="s">
        <v>199</v>
      </c>
      <c r="D12" s="347">
        <v>6.9444444444444447E-4</v>
      </c>
      <c r="E12" s="347">
        <v>0.58333333333333337</v>
      </c>
      <c r="F12" s="243">
        <f>(E12-D12)*1440</f>
        <v>839</v>
      </c>
      <c r="G12" s="180" t="s">
        <v>431</v>
      </c>
      <c r="H12" s="34"/>
      <c r="I12" s="34"/>
      <c r="J12" s="76">
        <v>46258</v>
      </c>
      <c r="K12" s="86">
        <f t="shared" si="1"/>
        <v>839</v>
      </c>
      <c r="L12" s="200">
        <f t="shared" si="2"/>
        <v>10.016666666666667</v>
      </c>
      <c r="M12" s="162">
        <f t="shared" si="4"/>
        <v>0.83472222222222225</v>
      </c>
      <c r="N12" s="93">
        <f t="shared" si="3"/>
        <v>1.9833333333333325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92" t="s">
        <v>432</v>
      </c>
      <c r="AA12" s="394">
        <f>N44</f>
        <v>0</v>
      </c>
    </row>
    <row r="13" spans="1:27" x14ac:dyDescent="0.3">
      <c r="A13" s="619">
        <v>46259</v>
      </c>
      <c r="B13" s="620"/>
      <c r="C13" s="276" t="s">
        <v>199</v>
      </c>
      <c r="D13" s="347">
        <v>6.9444444444444447E-4</v>
      </c>
      <c r="E13" s="347">
        <v>0.99930555555555556</v>
      </c>
      <c r="F13" s="243">
        <f t="shared" si="0"/>
        <v>1438</v>
      </c>
      <c r="G13" s="180" t="s">
        <v>429</v>
      </c>
      <c r="H13" s="34"/>
      <c r="I13" s="34"/>
      <c r="J13" s="76">
        <v>46259</v>
      </c>
      <c r="K13" s="86">
        <f t="shared" si="1"/>
        <v>1438</v>
      </c>
      <c r="L13" s="200">
        <f t="shared" si="2"/>
        <v>3.3333333333333333E-2</v>
      </c>
      <c r="M13" s="162">
        <f t="shared" si="4"/>
        <v>2.7777777777777779E-3</v>
      </c>
      <c r="N13" s="93">
        <f t="shared" si="3"/>
        <v>11.966666666666667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3">
      <c r="A14" s="619">
        <v>46260</v>
      </c>
      <c r="B14" s="620"/>
      <c r="C14" s="276" t="s">
        <v>199</v>
      </c>
      <c r="D14" s="347">
        <v>6.9444444444444447E-4</v>
      </c>
      <c r="E14" s="347">
        <v>0.99930555555555556</v>
      </c>
      <c r="F14" s="243">
        <f t="shared" si="0"/>
        <v>1438</v>
      </c>
      <c r="G14" s="180" t="s">
        <v>429</v>
      </c>
      <c r="H14" s="34"/>
      <c r="I14" s="34"/>
      <c r="J14" s="76">
        <v>46260</v>
      </c>
      <c r="K14" s="86">
        <f t="shared" si="1"/>
        <v>1438</v>
      </c>
      <c r="L14" s="200">
        <f t="shared" si="2"/>
        <v>3.3333333333333333E-2</v>
      </c>
      <c r="M14" s="162">
        <f t="shared" si="4"/>
        <v>2.7777777777777779E-3</v>
      </c>
      <c r="N14" s="93">
        <f t="shared" si="3"/>
        <v>11.966666666666667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40.799999999999997" customHeight="1" x14ac:dyDescent="0.3">
      <c r="A15" s="619">
        <v>46261</v>
      </c>
      <c r="B15" s="620"/>
      <c r="C15" s="276" t="s">
        <v>199</v>
      </c>
      <c r="D15" s="347">
        <v>6.9444444444444447E-4</v>
      </c>
      <c r="E15" s="347">
        <v>0.78125</v>
      </c>
      <c r="F15" s="243">
        <f t="shared" si="0"/>
        <v>1124</v>
      </c>
      <c r="G15" s="348" t="s">
        <v>433</v>
      </c>
      <c r="H15" s="34"/>
      <c r="I15" s="34"/>
      <c r="J15" s="76">
        <v>46261</v>
      </c>
      <c r="K15" s="86">
        <f t="shared" si="1"/>
        <v>1124</v>
      </c>
      <c r="L15" s="200">
        <f t="shared" ref="L15:L17" si="5">(1440-K15)/60</f>
        <v>5.2666666666666666</v>
      </c>
      <c r="M15" s="162">
        <f t="shared" ref="M15" si="6">L15/12</f>
        <v>0.43888888888888888</v>
      </c>
      <c r="N15" s="93">
        <f t="shared" ref="N15" si="7">12-L15</f>
        <v>6.7333333333333334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x14ac:dyDescent="0.3">
      <c r="A16" s="619">
        <v>46262</v>
      </c>
      <c r="B16" s="620"/>
      <c r="C16" s="276" t="s">
        <v>199</v>
      </c>
      <c r="D16" s="347">
        <v>6.9444444444444447E-4</v>
      </c>
      <c r="E16" s="347">
        <v>0.66666666666666663</v>
      </c>
      <c r="F16" s="243">
        <f t="shared" si="0"/>
        <v>959</v>
      </c>
      <c r="G16" s="348" t="s">
        <v>434</v>
      </c>
      <c r="H16" s="34"/>
      <c r="I16" s="34"/>
      <c r="J16" s="76">
        <v>46262</v>
      </c>
      <c r="K16" s="86">
        <f t="shared" si="1"/>
        <v>959</v>
      </c>
      <c r="L16" s="200">
        <f t="shared" si="5"/>
        <v>8.0166666666666675</v>
      </c>
      <c r="M16" s="162">
        <f t="shared" si="4"/>
        <v>0.66805555555555562</v>
      </c>
      <c r="N16" s="93">
        <f t="shared" si="3"/>
        <v>3.9833333333333325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22.8" x14ac:dyDescent="0.3">
      <c r="A17" s="619">
        <v>46263</v>
      </c>
      <c r="B17" s="620"/>
      <c r="C17" s="80" t="s">
        <v>199</v>
      </c>
      <c r="D17" s="347">
        <v>6.9444444444444447E-4</v>
      </c>
      <c r="E17" s="347">
        <v>0.58333333333333337</v>
      </c>
      <c r="F17" s="243">
        <f>(E17-D17)*1440</f>
        <v>839</v>
      </c>
      <c r="G17" s="180" t="s">
        <v>435</v>
      </c>
      <c r="H17" s="34"/>
      <c r="I17" s="34"/>
      <c r="J17" s="76">
        <v>46263</v>
      </c>
      <c r="K17" s="86">
        <f t="shared" si="1"/>
        <v>839</v>
      </c>
      <c r="L17" s="200">
        <f t="shared" si="5"/>
        <v>10.016666666666667</v>
      </c>
      <c r="M17" s="162">
        <f t="shared" si="4"/>
        <v>0.83472222222222225</v>
      </c>
      <c r="N17" s="93">
        <f t="shared" si="3"/>
        <v>1.9833333333333325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x14ac:dyDescent="0.3">
      <c r="A18" s="619">
        <v>46264</v>
      </c>
      <c r="B18" s="620"/>
      <c r="C18" s="80" t="s">
        <v>199</v>
      </c>
      <c r="D18" s="347">
        <v>6.9444444444444447E-4</v>
      </c>
      <c r="E18" s="347">
        <v>0.91597222222222219</v>
      </c>
      <c r="F18" s="243">
        <f t="shared" si="0"/>
        <v>1318</v>
      </c>
      <c r="G18" s="180"/>
      <c r="H18" s="34"/>
      <c r="I18" s="34"/>
      <c r="J18" s="76">
        <v>46264</v>
      </c>
      <c r="K18" s="86">
        <f t="shared" si="1"/>
        <v>1318</v>
      </c>
      <c r="L18" s="200">
        <f t="shared" ref="L18" si="8">(1440-K18)/60</f>
        <v>2.0333333333333332</v>
      </c>
      <c r="M18" s="162">
        <f t="shared" ref="M18:M19" si="9">L18/12</f>
        <v>0.16944444444444443</v>
      </c>
      <c r="N18" s="93">
        <f t="shared" ref="N18" si="10">12-L18</f>
        <v>9.9666666666666668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3">
      <c r="A19" s="619">
        <v>46265</v>
      </c>
      <c r="B19" s="620"/>
      <c r="C19" s="80"/>
      <c r="D19" s="347"/>
      <c r="E19" s="347"/>
      <c r="F19" s="243">
        <f t="shared" si="0"/>
        <v>0</v>
      </c>
      <c r="G19" s="180" t="s">
        <v>436</v>
      </c>
      <c r="H19" s="34"/>
      <c r="I19" s="34"/>
      <c r="J19" s="76">
        <v>46265</v>
      </c>
      <c r="K19" s="86">
        <f t="shared" si="1"/>
        <v>0</v>
      </c>
      <c r="L19" s="200"/>
      <c r="M19" s="162">
        <f t="shared" si="9"/>
        <v>0</v>
      </c>
      <c r="N19" s="9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x14ac:dyDescent="0.3">
      <c r="A20" s="619">
        <v>46266</v>
      </c>
      <c r="B20" s="620"/>
      <c r="C20" s="80"/>
      <c r="D20" s="347"/>
      <c r="E20" s="347"/>
      <c r="F20" s="243">
        <f t="shared" si="0"/>
        <v>0</v>
      </c>
      <c r="G20" s="180"/>
      <c r="H20" s="34"/>
      <c r="I20" s="34"/>
      <c r="J20" s="76">
        <v>46266</v>
      </c>
      <c r="K20" s="86">
        <f t="shared" si="1"/>
        <v>0</v>
      </c>
      <c r="L20" s="200"/>
      <c r="M20" s="162">
        <f t="shared" si="4"/>
        <v>0</v>
      </c>
      <c r="N20" s="80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x14ac:dyDescent="0.3">
      <c r="A21" s="619">
        <v>46267</v>
      </c>
      <c r="B21" s="620"/>
      <c r="C21" s="80"/>
      <c r="D21" s="347"/>
      <c r="E21" s="347"/>
      <c r="F21" s="243">
        <f t="shared" si="0"/>
        <v>0</v>
      </c>
      <c r="G21" s="180"/>
      <c r="H21" s="34"/>
      <c r="I21" s="34"/>
      <c r="J21" s="76">
        <v>46267</v>
      </c>
      <c r="K21" s="86">
        <f t="shared" si="1"/>
        <v>0</v>
      </c>
      <c r="L21" s="200"/>
      <c r="M21" s="162">
        <f t="shared" si="4"/>
        <v>0</v>
      </c>
      <c r="N21" s="80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x14ac:dyDescent="0.3">
      <c r="A22" s="619">
        <v>46268</v>
      </c>
      <c r="B22" s="620"/>
      <c r="C22" s="80"/>
      <c r="D22" s="347"/>
      <c r="E22" s="347"/>
      <c r="F22" s="243">
        <f t="shared" si="0"/>
        <v>0</v>
      </c>
      <c r="G22" s="180"/>
      <c r="H22" s="34"/>
      <c r="I22" s="34"/>
      <c r="J22" s="76">
        <v>46268</v>
      </c>
      <c r="K22" s="86">
        <f t="shared" si="1"/>
        <v>0</v>
      </c>
      <c r="L22" s="200"/>
      <c r="M22" s="162">
        <f t="shared" si="4"/>
        <v>0</v>
      </c>
      <c r="N22" s="80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3">
      <c r="A23" s="619">
        <v>46269</v>
      </c>
      <c r="B23" s="620"/>
      <c r="C23" s="80"/>
      <c r="D23" s="347"/>
      <c r="E23" s="347"/>
      <c r="F23" s="243">
        <f t="shared" si="0"/>
        <v>0</v>
      </c>
      <c r="G23" s="180"/>
      <c r="H23" s="34"/>
      <c r="I23" s="34"/>
      <c r="J23" s="76">
        <v>46269</v>
      </c>
      <c r="K23" s="86">
        <f t="shared" si="1"/>
        <v>0</v>
      </c>
      <c r="L23" s="200"/>
      <c r="M23" s="162">
        <f t="shared" si="4"/>
        <v>0</v>
      </c>
      <c r="N23" s="80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x14ac:dyDescent="0.3">
      <c r="A24" s="619">
        <v>46270</v>
      </c>
      <c r="B24" s="620"/>
      <c r="C24" s="80"/>
      <c r="D24" s="347"/>
      <c r="E24" s="347"/>
      <c r="F24" s="243">
        <f t="shared" si="0"/>
        <v>0</v>
      </c>
      <c r="G24" s="180"/>
      <c r="H24" s="34"/>
      <c r="I24" s="34"/>
      <c r="J24" s="76">
        <v>46270</v>
      </c>
      <c r="K24" s="86">
        <f t="shared" si="1"/>
        <v>0</v>
      </c>
      <c r="L24" s="200"/>
      <c r="M24" s="162">
        <f t="shared" si="4"/>
        <v>0</v>
      </c>
      <c r="N24" s="80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x14ac:dyDescent="0.3">
      <c r="A25" s="619">
        <v>46271</v>
      </c>
      <c r="B25" s="620"/>
      <c r="C25" s="80"/>
      <c r="D25" s="347"/>
      <c r="E25" s="347"/>
      <c r="F25" s="243">
        <f t="shared" si="0"/>
        <v>0</v>
      </c>
      <c r="G25" s="180"/>
      <c r="H25" s="34"/>
      <c r="I25" s="34"/>
      <c r="J25" s="76">
        <v>46271</v>
      </c>
      <c r="K25" s="86">
        <f t="shared" si="1"/>
        <v>0</v>
      </c>
      <c r="L25" s="200"/>
      <c r="M25" s="162">
        <f t="shared" si="4"/>
        <v>0</v>
      </c>
      <c r="N25" s="80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x14ac:dyDescent="0.3">
      <c r="A26" s="619">
        <v>46272</v>
      </c>
      <c r="B26" s="620"/>
      <c r="C26" s="80"/>
      <c r="D26" s="347"/>
      <c r="E26" s="347"/>
      <c r="F26" s="243">
        <f t="shared" si="0"/>
        <v>0</v>
      </c>
      <c r="G26" s="180"/>
      <c r="H26" s="34"/>
      <c r="I26" s="34"/>
      <c r="J26" s="76">
        <v>46272</v>
      </c>
      <c r="K26" s="86">
        <f t="shared" si="1"/>
        <v>0</v>
      </c>
      <c r="L26" s="200"/>
      <c r="M26" s="162">
        <f t="shared" si="4"/>
        <v>0</v>
      </c>
      <c r="N26" s="80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x14ac:dyDescent="0.3">
      <c r="A27" s="619">
        <v>46273</v>
      </c>
      <c r="B27" s="620"/>
      <c r="C27" s="80"/>
      <c r="D27" s="347"/>
      <c r="E27" s="347"/>
      <c r="F27" s="243">
        <f t="shared" si="0"/>
        <v>0</v>
      </c>
      <c r="G27" s="180"/>
      <c r="H27" s="34"/>
      <c r="I27" s="34"/>
      <c r="J27" s="76">
        <v>46273</v>
      </c>
      <c r="K27" s="86">
        <f t="shared" si="1"/>
        <v>0</v>
      </c>
      <c r="L27" s="200"/>
      <c r="M27" s="162">
        <f t="shared" si="4"/>
        <v>0</v>
      </c>
      <c r="N27" s="80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x14ac:dyDescent="0.3">
      <c r="A28" s="619">
        <v>46274</v>
      </c>
      <c r="B28" s="620"/>
      <c r="C28" s="80"/>
      <c r="D28" s="347"/>
      <c r="E28" s="347"/>
      <c r="F28" s="243">
        <f t="shared" si="0"/>
        <v>0</v>
      </c>
      <c r="G28" s="180"/>
      <c r="H28" s="34"/>
      <c r="I28" s="34"/>
      <c r="J28" s="76">
        <v>46274</v>
      </c>
      <c r="K28" s="86">
        <f t="shared" si="1"/>
        <v>0</v>
      </c>
      <c r="L28" s="200"/>
      <c r="M28" s="162">
        <f t="shared" si="4"/>
        <v>0</v>
      </c>
      <c r="N28" s="80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x14ac:dyDescent="0.3">
      <c r="A29" s="619">
        <v>46275</v>
      </c>
      <c r="B29" s="620"/>
      <c r="C29" s="80"/>
      <c r="D29" s="347"/>
      <c r="E29" s="347"/>
      <c r="F29" s="243"/>
      <c r="G29" s="180"/>
      <c r="H29" s="34"/>
      <c r="I29" s="34"/>
      <c r="J29" s="76">
        <v>46275</v>
      </c>
      <c r="K29" s="93">
        <f>SUM(F29:F32)</f>
        <v>0</v>
      </c>
      <c r="L29" s="93"/>
      <c r="M29" s="162">
        <f t="shared" si="4"/>
        <v>0</v>
      </c>
      <c r="N29" s="8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x14ac:dyDescent="0.3">
      <c r="A30" s="619">
        <v>46276</v>
      </c>
      <c r="B30" s="620"/>
      <c r="C30" s="80"/>
      <c r="D30" s="347"/>
      <c r="E30" s="347"/>
      <c r="F30" s="243"/>
      <c r="G30" s="180"/>
      <c r="H30" s="34"/>
      <c r="I30" s="34"/>
      <c r="J30" s="76">
        <v>46276</v>
      </c>
      <c r="K30" s="93"/>
      <c r="L30" s="93"/>
      <c r="M30" s="221"/>
      <c r="N30" s="80"/>
      <c r="O30" s="203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x14ac:dyDescent="0.3">
      <c r="A31" s="619">
        <v>46277</v>
      </c>
      <c r="B31" s="620"/>
      <c r="C31" s="80"/>
      <c r="D31" s="347"/>
      <c r="E31" s="347"/>
      <c r="F31" s="243"/>
      <c r="G31" s="180"/>
      <c r="H31" s="34"/>
      <c r="I31" s="34"/>
      <c r="J31" s="76">
        <v>46277</v>
      </c>
      <c r="K31" s="93"/>
      <c r="L31" s="93"/>
      <c r="M31" s="221"/>
      <c r="N31" s="80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x14ac:dyDescent="0.3">
      <c r="A32" s="619">
        <v>46278</v>
      </c>
      <c r="B32" s="620"/>
      <c r="C32" s="80"/>
      <c r="D32" s="347"/>
      <c r="E32" s="347"/>
      <c r="F32" s="243"/>
      <c r="G32" s="180"/>
      <c r="H32" s="34"/>
      <c r="I32" s="34"/>
      <c r="J32" s="76">
        <v>46278</v>
      </c>
      <c r="K32" s="93"/>
      <c r="L32" s="93"/>
      <c r="M32" s="221"/>
      <c r="N32" s="80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x14ac:dyDescent="0.3">
      <c r="A33" s="619">
        <v>46279</v>
      </c>
      <c r="B33" s="620"/>
      <c r="C33" s="80"/>
      <c r="D33" s="347"/>
      <c r="E33" s="347"/>
      <c r="F33" s="243"/>
      <c r="G33" s="180"/>
      <c r="H33" s="34"/>
      <c r="I33" s="34"/>
      <c r="J33" s="76">
        <v>46279</v>
      </c>
      <c r="K33" s="93">
        <f>SUM(F34:F35)</f>
        <v>0</v>
      </c>
      <c r="L33" s="93"/>
      <c r="M33" s="221">
        <f t="shared" ref="M33:M36" si="11">L33/24</f>
        <v>0</v>
      </c>
      <c r="N33" s="80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x14ac:dyDescent="0.3">
      <c r="A34" s="619">
        <v>46280</v>
      </c>
      <c r="B34" s="620"/>
      <c r="C34" s="80"/>
      <c r="D34" s="347"/>
      <c r="E34" s="347"/>
      <c r="F34" s="243">
        <f t="shared" si="0"/>
        <v>0</v>
      </c>
      <c r="G34" s="180" t="s">
        <v>437</v>
      </c>
      <c r="H34" s="34"/>
      <c r="I34" s="34"/>
      <c r="J34" s="76">
        <v>46280</v>
      </c>
      <c r="K34" s="93"/>
      <c r="L34" s="93"/>
      <c r="M34" s="221"/>
      <c r="N34" s="80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x14ac:dyDescent="0.3">
      <c r="A35" s="619">
        <v>46281</v>
      </c>
      <c r="B35" s="620"/>
      <c r="C35" s="80"/>
      <c r="D35" s="347"/>
      <c r="E35" s="347"/>
      <c r="F35" s="243">
        <f t="shared" si="0"/>
        <v>0</v>
      </c>
      <c r="G35" s="180" t="s">
        <v>437</v>
      </c>
      <c r="H35" s="34"/>
      <c r="I35" s="34"/>
      <c r="J35" s="76">
        <v>46281</v>
      </c>
      <c r="K35" s="93"/>
      <c r="L35" s="93"/>
      <c r="M35" s="221"/>
      <c r="N35" s="80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x14ac:dyDescent="0.3">
      <c r="A36" s="619">
        <v>46282</v>
      </c>
      <c r="B36" s="620"/>
      <c r="C36" s="80"/>
      <c r="D36" s="347"/>
      <c r="E36" s="347"/>
      <c r="F36" s="243">
        <f t="shared" si="0"/>
        <v>0</v>
      </c>
      <c r="G36" s="180"/>
      <c r="H36" s="34"/>
      <c r="I36" s="34"/>
      <c r="J36" s="76">
        <v>46282</v>
      </c>
      <c r="K36" s="93">
        <f>SUM(F36:F37)</f>
        <v>0</v>
      </c>
      <c r="L36" s="93"/>
      <c r="M36" s="221">
        <f t="shared" si="11"/>
        <v>0</v>
      </c>
      <c r="N36" s="80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x14ac:dyDescent="0.3">
      <c r="A37" s="619">
        <v>46283</v>
      </c>
      <c r="B37" s="620"/>
      <c r="C37" s="80"/>
      <c r="D37" s="347"/>
      <c r="E37" s="347"/>
      <c r="F37" s="243"/>
      <c r="G37" s="180"/>
      <c r="H37" s="34"/>
      <c r="I37" s="34"/>
      <c r="J37" s="353"/>
      <c r="K37" s="93"/>
      <c r="L37" s="93"/>
      <c r="M37" s="221"/>
      <c r="N37" s="80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x14ac:dyDescent="0.3">
      <c r="A38" s="619">
        <v>46284</v>
      </c>
      <c r="B38" s="620"/>
      <c r="C38" s="80"/>
      <c r="D38" s="349"/>
      <c r="E38" s="349"/>
      <c r="F38" s="243"/>
      <c r="G38" s="180"/>
      <c r="H38" s="34"/>
      <c r="I38" s="34"/>
      <c r="J38" s="76"/>
      <c r="K38" s="93"/>
      <c r="L38" s="80"/>
      <c r="M38" s="221"/>
      <c r="N38" s="80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x14ac:dyDescent="0.3">
      <c r="A39" s="619">
        <v>46285</v>
      </c>
      <c r="B39" s="620"/>
      <c r="C39" s="80"/>
      <c r="D39" s="349"/>
      <c r="E39" s="349"/>
      <c r="F39" s="243"/>
      <c r="G39" s="180"/>
      <c r="H39" s="34"/>
      <c r="I39" s="34"/>
      <c r="J39" s="76"/>
      <c r="K39" s="80"/>
      <c r="L39" s="80"/>
      <c r="M39" s="221"/>
      <c r="N39" s="80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x14ac:dyDescent="0.3">
      <c r="A40" s="619">
        <v>46286</v>
      </c>
      <c r="B40" s="620"/>
      <c r="C40" s="80"/>
      <c r="D40" s="349"/>
      <c r="E40" s="349"/>
      <c r="F40" s="243"/>
      <c r="G40" s="180"/>
      <c r="H40" s="34"/>
      <c r="I40" s="34"/>
      <c r="J40" s="76"/>
      <c r="K40" s="80"/>
      <c r="L40" s="80"/>
      <c r="M40" s="221"/>
      <c r="N40" s="80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x14ac:dyDescent="0.3">
      <c r="A41" s="619">
        <v>46287</v>
      </c>
      <c r="B41" s="620"/>
      <c r="C41" s="80"/>
      <c r="D41" s="349"/>
      <c r="E41" s="349"/>
      <c r="F41" s="243"/>
      <c r="G41" s="180"/>
      <c r="H41" s="34"/>
      <c r="I41" s="34"/>
      <c r="J41" s="76"/>
      <c r="K41" s="80"/>
      <c r="L41" s="80"/>
      <c r="M41" s="221"/>
      <c r="N41" s="80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x14ac:dyDescent="0.3">
      <c r="A42" s="619">
        <v>46288</v>
      </c>
      <c r="B42" s="620"/>
      <c r="C42" s="80"/>
      <c r="D42" s="349"/>
      <c r="E42" s="349"/>
      <c r="F42" s="243"/>
      <c r="G42" s="180"/>
      <c r="H42" s="34"/>
      <c r="I42" s="34"/>
      <c r="J42" s="76"/>
      <c r="K42" s="80"/>
      <c r="L42" s="80"/>
      <c r="M42" s="221"/>
      <c r="N42" s="80"/>
      <c r="O42" s="161" t="s">
        <v>438</v>
      </c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x14ac:dyDescent="0.3">
      <c r="A43" s="34"/>
      <c r="B43" s="34"/>
      <c r="C43" s="34"/>
      <c r="D43" s="34"/>
      <c r="E43" s="34"/>
      <c r="F43" s="34"/>
      <c r="G43" s="73"/>
      <c r="H43" s="34"/>
      <c r="I43" s="34"/>
      <c r="J43" s="438" t="s">
        <v>59</v>
      </c>
      <c r="K43" s="354">
        <f>SUM(K6:K42)</f>
        <v>14040</v>
      </c>
      <c r="L43" s="355">
        <f>SUM(L6:L16)</f>
        <v>65.95</v>
      </c>
      <c r="M43" s="356">
        <f>L43/O43</f>
        <v>0.49962121212121213</v>
      </c>
      <c r="N43" s="93">
        <f>SUM(N6:N16)</f>
        <v>66.05</v>
      </c>
      <c r="O43" s="203">
        <f>L43+N43</f>
        <v>132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x14ac:dyDescent="0.3">
      <c r="A44" s="34"/>
      <c r="B44" s="34"/>
      <c r="C44" s="34"/>
      <c r="D44" s="34"/>
      <c r="E44" s="34"/>
      <c r="F44" s="34"/>
      <c r="G44" s="73"/>
      <c r="H44" s="34"/>
      <c r="I44" s="34"/>
      <c r="J44" s="86" t="s">
        <v>439</v>
      </c>
      <c r="K44" s="357">
        <f>K43/60</f>
        <v>234</v>
      </c>
      <c r="L44" s="172">
        <f>L43/L46</f>
        <v>0.61064814814814816</v>
      </c>
      <c r="M44" s="190"/>
      <c r="N44" s="172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x14ac:dyDescent="0.3">
      <c r="A45" s="34"/>
      <c r="B45" s="34"/>
      <c r="C45" s="34"/>
      <c r="D45" s="34"/>
      <c r="E45" s="34"/>
      <c r="F45" s="34"/>
      <c r="G45" s="73"/>
      <c r="H45" s="34"/>
      <c r="I45" s="34"/>
      <c r="J45" s="160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x14ac:dyDescent="0.3">
      <c r="A46" s="34"/>
      <c r="B46" s="34"/>
      <c r="C46" s="34"/>
      <c r="D46" s="34"/>
      <c r="E46" s="34"/>
      <c r="F46" s="34"/>
      <c r="G46" s="73"/>
      <c r="H46" s="34"/>
      <c r="I46" s="34"/>
      <c r="J46" s="34"/>
      <c r="K46" s="34"/>
      <c r="L46" s="190">
        <f>9*12</f>
        <v>108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</sheetData>
  <mergeCells count="42"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65E3C"/>
  </sheetPr>
  <dimension ref="A1:S66"/>
  <sheetViews>
    <sheetView showGridLines="0" workbookViewId="0">
      <pane ySplit="4" topLeftCell="A5" activePane="bottomLeft" state="frozen"/>
      <selection pane="bottomLeft"/>
    </sheetView>
  </sheetViews>
  <sheetFormatPr defaultColWidth="8.77734375" defaultRowHeight="14.4" x14ac:dyDescent="0.3"/>
  <cols>
    <col min="1" max="4" width="8.77734375" style="1"/>
    <col min="5" max="5" width="9.77734375" style="1" customWidth="1"/>
    <col min="6" max="6" width="10" style="1" customWidth="1"/>
    <col min="7" max="7" width="17.44140625" style="1" customWidth="1"/>
    <col min="8" max="8" width="44" style="28" customWidth="1"/>
    <col min="9" max="10" width="8.77734375" style="1"/>
    <col min="11" max="11" width="10.77734375" style="1" customWidth="1"/>
    <col min="12" max="12" width="22.44140625" style="1" customWidth="1"/>
    <col min="13" max="13" width="17.21875" style="1" customWidth="1"/>
    <col min="14" max="14" width="13.5546875" style="1" customWidth="1"/>
    <col min="15" max="15" width="13.44140625" style="1" customWidth="1"/>
    <col min="16" max="16" width="40.44140625" style="1" customWidth="1"/>
    <col min="17" max="16384" width="8.77734375" style="1"/>
  </cols>
  <sheetData>
    <row r="1" spans="1:19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22.05" customHeight="1" x14ac:dyDescent="0.3">
      <c r="A3" s="532" t="s">
        <v>440</v>
      </c>
      <c r="B3" s="532"/>
      <c r="C3" s="532"/>
      <c r="D3" s="532"/>
      <c r="E3" s="532"/>
      <c r="F3" s="532"/>
      <c r="G3" s="532"/>
      <c r="H3" s="532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</row>
    <row r="4" spans="1:19" ht="24" customHeight="1" x14ac:dyDescent="0.3">
      <c r="A4" s="535" t="s">
        <v>74</v>
      </c>
      <c r="B4" s="535"/>
      <c r="C4" s="371" t="s">
        <v>142</v>
      </c>
      <c r="D4" s="371" t="s">
        <v>143</v>
      </c>
      <c r="E4" s="371" t="s">
        <v>414</v>
      </c>
      <c r="F4" s="371" t="s">
        <v>415</v>
      </c>
      <c r="G4" s="371" t="s">
        <v>416</v>
      </c>
      <c r="H4" s="371" t="s">
        <v>417</v>
      </c>
      <c r="I4" s="34"/>
      <c r="J4" s="34"/>
      <c r="K4" s="371" t="s">
        <v>74</v>
      </c>
      <c r="L4" s="371" t="s">
        <v>418</v>
      </c>
      <c r="M4" s="371" t="s">
        <v>441</v>
      </c>
      <c r="N4" s="371" t="s">
        <v>442</v>
      </c>
      <c r="O4" s="371" t="s">
        <v>443</v>
      </c>
      <c r="P4" s="88" t="s">
        <v>417</v>
      </c>
      <c r="Q4" s="34"/>
      <c r="R4" s="34"/>
      <c r="S4" s="34"/>
    </row>
    <row r="5" spans="1:19" ht="34.200000000000003" x14ac:dyDescent="0.3">
      <c r="A5" s="619">
        <v>46265</v>
      </c>
      <c r="B5" s="620"/>
      <c r="C5" s="346"/>
      <c r="D5" s="317" t="s">
        <v>199</v>
      </c>
      <c r="E5" s="347">
        <v>6.9444444444444447E-4</v>
      </c>
      <c r="F5" s="347">
        <v>6.5972222222222224E-2</v>
      </c>
      <c r="G5" s="243">
        <f>(F5-E5)*1440</f>
        <v>94</v>
      </c>
      <c r="H5" s="173" t="s">
        <v>444</v>
      </c>
      <c r="I5" s="161" t="s">
        <v>154</v>
      </c>
      <c r="J5" s="34"/>
      <c r="K5" s="76">
        <v>46265</v>
      </c>
      <c r="L5" s="80">
        <f>G5</f>
        <v>94</v>
      </c>
      <c r="M5" s="93">
        <f>(1440-L5)/60</f>
        <v>22.433333333333334</v>
      </c>
      <c r="N5" s="221">
        <f>M5/24</f>
        <v>0.93472222222222223</v>
      </c>
      <c r="O5" s="200">
        <f>L5/60</f>
        <v>1.5666666666666667</v>
      </c>
      <c r="P5" s="348" t="str">
        <f>H5</f>
        <v>Start Ball Mill 1 08:35, start ball mill 2 13:15, start ball mill 3 16:50, ball mill 1,2 dan 3 ada trouble kebocoran dan baud bermasalah</v>
      </c>
      <c r="Q5" s="34"/>
      <c r="R5" s="34"/>
      <c r="S5" s="34"/>
    </row>
    <row r="6" spans="1:19" ht="34.200000000000003" x14ac:dyDescent="0.3">
      <c r="A6" s="619">
        <v>46266</v>
      </c>
      <c r="B6" s="620"/>
      <c r="C6" s="346"/>
      <c r="D6" s="80" t="s">
        <v>199</v>
      </c>
      <c r="E6" s="347">
        <v>6.9444444444444447E-4</v>
      </c>
      <c r="F6" s="347">
        <v>4.6527777777777779E-2</v>
      </c>
      <c r="G6" s="243">
        <f t="shared" ref="G6:G39" si="0">(F6-E6)*1440</f>
        <v>66</v>
      </c>
      <c r="H6" s="348" t="s">
        <v>445</v>
      </c>
      <c r="I6" s="161" t="s">
        <v>164</v>
      </c>
      <c r="J6" s="34"/>
      <c r="K6" s="76">
        <v>46266</v>
      </c>
      <c r="L6" s="93">
        <f>G6</f>
        <v>66</v>
      </c>
      <c r="M6" s="93">
        <f>(1440-L6)/60</f>
        <v>22.9</v>
      </c>
      <c r="N6" s="221">
        <f>M6/24</f>
        <v>0.95416666666666661</v>
      </c>
      <c r="O6" s="200">
        <f t="shared" ref="O6:O29" si="1">L6/60</f>
        <v>1.1000000000000001</v>
      </c>
      <c r="P6" s="171" t="str">
        <f t="shared" ref="P6:P10" si="2">H6</f>
        <v>shift malam jam 20:59-21:40 stop thicekener tank bermasalah, jam 06:00-07:00 houskepping ball mill 3 meluap</v>
      </c>
      <c r="Q6" s="34"/>
      <c r="R6" s="34"/>
      <c r="S6" s="34"/>
    </row>
    <row r="7" spans="1:19" ht="34.200000000000003" x14ac:dyDescent="0.3">
      <c r="A7" s="619">
        <v>46267</v>
      </c>
      <c r="B7" s="620"/>
      <c r="C7" s="346"/>
      <c r="D7" s="80" t="s">
        <v>446</v>
      </c>
      <c r="E7" s="347">
        <v>6.9444444444444447E-4</v>
      </c>
      <c r="F7" s="347">
        <v>8.4027777777777785E-2</v>
      </c>
      <c r="G7" s="243">
        <f t="shared" si="0"/>
        <v>120.00000000000001</v>
      </c>
      <c r="H7" s="348" t="s">
        <v>447</v>
      </c>
      <c r="I7" s="34"/>
      <c r="J7" s="34"/>
      <c r="K7" s="76">
        <v>46267</v>
      </c>
      <c r="L7" s="80">
        <f t="shared" ref="L7:L33" si="3">G7</f>
        <v>120.00000000000001</v>
      </c>
      <c r="M7" s="93">
        <f t="shared" ref="M7:M38" si="4">(1440-L7)/60</f>
        <v>22</v>
      </c>
      <c r="N7" s="221">
        <f t="shared" ref="N7:N57" si="5">M7/24</f>
        <v>0.91666666666666663</v>
      </c>
      <c r="O7" s="200">
        <f t="shared" si="1"/>
        <v>2.0000000000000004</v>
      </c>
      <c r="P7" s="171" t="str">
        <f t="shared" si="2"/>
        <v>Ball mill sampai jam 12 Cuma berjalan 1, housekepping material meluap dari ball mill 3 hingga jam 9</v>
      </c>
      <c r="Q7" s="34"/>
      <c r="R7" s="34"/>
      <c r="S7" s="34"/>
    </row>
    <row r="8" spans="1:19" ht="22.8" x14ac:dyDescent="0.3">
      <c r="A8" s="619">
        <v>46268</v>
      </c>
      <c r="B8" s="620"/>
      <c r="C8" s="346"/>
      <c r="D8" s="80" t="s">
        <v>199</v>
      </c>
      <c r="E8" s="347">
        <v>6.9444444444444447E-4</v>
      </c>
      <c r="F8" s="347">
        <v>0.54166666666666663</v>
      </c>
      <c r="G8" s="243">
        <f t="shared" si="0"/>
        <v>779</v>
      </c>
      <c r="H8" s="348" t="s">
        <v>448</v>
      </c>
      <c r="I8" s="34"/>
      <c r="J8" s="34"/>
      <c r="K8" s="76">
        <v>46268</v>
      </c>
      <c r="L8" s="80">
        <f t="shared" si="3"/>
        <v>779</v>
      </c>
      <c r="M8" s="93">
        <f t="shared" si="4"/>
        <v>11.016666666666667</v>
      </c>
      <c r="N8" s="221">
        <f t="shared" si="5"/>
        <v>0.45902777777777781</v>
      </c>
      <c r="O8" s="200">
        <f t="shared" si="1"/>
        <v>12.983333333333333</v>
      </c>
      <c r="P8" s="171" t="str">
        <f t="shared" si="2"/>
        <v>Stop ball mill jam 18:00 material finish pump ke tank 3, shift malam drain slurry tank 2</v>
      </c>
      <c r="Q8" s="34"/>
      <c r="R8" s="34"/>
      <c r="S8" s="34"/>
    </row>
    <row r="9" spans="1:19" x14ac:dyDescent="0.3">
      <c r="A9" s="619">
        <v>46269</v>
      </c>
      <c r="B9" s="620"/>
      <c r="C9" s="346"/>
      <c r="D9" s="80" t="s">
        <v>446</v>
      </c>
      <c r="E9" s="347">
        <v>6.9444444444444447E-4</v>
      </c>
      <c r="F9" s="347">
        <v>0.99930555555555556</v>
      </c>
      <c r="G9" s="243">
        <f t="shared" si="0"/>
        <v>1438</v>
      </c>
      <c r="H9" s="348" t="s">
        <v>449</v>
      </c>
      <c r="I9" s="34"/>
      <c r="J9" s="34"/>
      <c r="K9" s="76">
        <v>46269</v>
      </c>
      <c r="L9" s="80">
        <f t="shared" si="3"/>
        <v>1438</v>
      </c>
      <c r="M9" s="93">
        <f t="shared" si="4"/>
        <v>3.3333333333333333E-2</v>
      </c>
      <c r="N9" s="221">
        <f t="shared" si="5"/>
        <v>1.3888888888888889E-3</v>
      </c>
      <c r="O9" s="200">
        <f t="shared" si="1"/>
        <v>23.966666666666665</v>
      </c>
      <c r="P9" s="80" t="str">
        <f t="shared" si="2"/>
        <v>drain slurry tank 2 dan 3, batch process 1 dan 2</v>
      </c>
      <c r="Q9" s="34"/>
      <c r="R9" s="34"/>
      <c r="S9" s="34"/>
    </row>
    <row r="10" spans="1:19" ht="34.200000000000003" x14ac:dyDescent="0.3">
      <c r="A10" s="619">
        <v>46270</v>
      </c>
      <c r="B10" s="620"/>
      <c r="C10" s="346"/>
      <c r="D10" s="80" t="s">
        <v>199</v>
      </c>
      <c r="E10" s="347">
        <v>6.9444444444444447E-4</v>
      </c>
      <c r="F10" s="347">
        <v>0.54166666666666663</v>
      </c>
      <c r="G10" s="243">
        <f>(F10-E10)*1440</f>
        <v>779</v>
      </c>
      <c r="H10" s="348" t="s">
        <v>450</v>
      </c>
      <c r="I10" s="34"/>
      <c r="J10" s="34"/>
      <c r="K10" s="76">
        <v>46270</v>
      </c>
      <c r="L10" s="93">
        <f>G10</f>
        <v>779</v>
      </c>
      <c r="M10" s="93">
        <f t="shared" si="4"/>
        <v>11.016666666666667</v>
      </c>
      <c r="N10" s="221">
        <f t="shared" si="5"/>
        <v>0.45902777777777781</v>
      </c>
      <c r="O10" s="200">
        <f t="shared" si="1"/>
        <v>12.983333333333333</v>
      </c>
      <c r="P10" s="171" t="str">
        <f t="shared" si="2"/>
        <v xml:space="preserve">Drain Slurry tank 3, genset 600 dan 750 rusak, ball mill baru mulai shift malam, hanya 1 ball milll dikarenakan genset pakai 300 </v>
      </c>
      <c r="Q10" s="34"/>
      <c r="R10" s="34"/>
      <c r="S10" s="34"/>
    </row>
    <row r="11" spans="1:19" x14ac:dyDescent="0.3">
      <c r="A11" s="619">
        <v>46271</v>
      </c>
      <c r="B11" s="620"/>
      <c r="C11" s="346" t="s">
        <v>154</v>
      </c>
      <c r="D11" s="80" t="s">
        <v>451</v>
      </c>
      <c r="E11" s="347">
        <v>6.9444444444444447E-4</v>
      </c>
      <c r="F11" s="347">
        <v>0.18124999999999999</v>
      </c>
      <c r="G11" s="243">
        <f>(F11-E11)*720</f>
        <v>130</v>
      </c>
      <c r="H11" s="348" t="s">
        <v>452</v>
      </c>
      <c r="I11" s="34"/>
      <c r="J11" s="34"/>
      <c r="K11" s="76">
        <v>46271</v>
      </c>
      <c r="L11" s="93">
        <f>SUM(G11:G12)</f>
        <v>130</v>
      </c>
      <c r="M11" s="93">
        <f t="shared" si="4"/>
        <v>21.833333333333332</v>
      </c>
      <c r="N11" s="221">
        <f t="shared" si="5"/>
        <v>0.90972222222222221</v>
      </c>
      <c r="O11" s="93">
        <f t="shared" si="1"/>
        <v>2.1666666666666665</v>
      </c>
      <c r="P11" s="80"/>
      <c r="Q11" s="34"/>
      <c r="R11" s="34"/>
      <c r="S11" s="34"/>
    </row>
    <row r="12" spans="1:19" ht="22.8" x14ac:dyDescent="0.3">
      <c r="A12" s="619">
        <v>46271</v>
      </c>
      <c r="B12" s="620"/>
      <c r="C12" s="346" t="s">
        <v>164</v>
      </c>
      <c r="D12" s="80" t="s">
        <v>400</v>
      </c>
      <c r="E12" s="347"/>
      <c r="F12" s="347"/>
      <c r="G12" s="243">
        <f t="shared" si="0"/>
        <v>0</v>
      </c>
      <c r="H12" s="348" t="s">
        <v>453</v>
      </c>
      <c r="I12" s="34"/>
      <c r="J12" s="34"/>
      <c r="K12" s="76">
        <v>46272</v>
      </c>
      <c r="L12" s="93">
        <f>SUM(G13:G14)</f>
        <v>93</v>
      </c>
      <c r="M12" s="93">
        <f t="shared" si="4"/>
        <v>22.45</v>
      </c>
      <c r="N12" s="221">
        <f t="shared" si="5"/>
        <v>0.93541666666666667</v>
      </c>
      <c r="O12" s="93">
        <f t="shared" si="1"/>
        <v>1.55</v>
      </c>
      <c r="P12" s="171" t="str">
        <f>H13</f>
        <v>Ball mill 3 yang baru start jam 09:15, pada jam 13:40 ball mill baru kapasitas 300 tpd mati jam 08:37-09:45</v>
      </c>
      <c r="Q12" s="34"/>
      <c r="R12" s="34"/>
      <c r="S12" s="34"/>
    </row>
    <row r="13" spans="1:19" ht="57" x14ac:dyDescent="0.3">
      <c r="A13" s="619">
        <v>46272</v>
      </c>
      <c r="B13" s="620"/>
      <c r="C13" s="346" t="s">
        <v>154</v>
      </c>
      <c r="D13" s="80" t="s">
        <v>199</v>
      </c>
      <c r="E13" s="347">
        <v>6.9444444444444447E-4</v>
      </c>
      <c r="F13" s="347">
        <v>1.3888888888888888E-2</v>
      </c>
      <c r="G13" s="243">
        <f t="shared" si="0"/>
        <v>19</v>
      </c>
      <c r="H13" s="348" t="s">
        <v>454</v>
      </c>
      <c r="I13" s="34"/>
      <c r="J13" s="34"/>
      <c r="K13" s="76">
        <v>46273</v>
      </c>
      <c r="L13" s="80">
        <f t="shared" si="3"/>
        <v>19</v>
      </c>
      <c r="M13" s="93">
        <f t="shared" si="4"/>
        <v>23.683333333333334</v>
      </c>
      <c r="N13" s="221">
        <f t="shared" si="5"/>
        <v>0.9868055555555556</v>
      </c>
      <c r="O13" s="93">
        <f t="shared" si="1"/>
        <v>0.31666666666666665</v>
      </c>
      <c r="P13" s="171" t="str">
        <f>H14</f>
        <v xml:space="preserve">Start ball mill 19:30 jalan 2 ball mill no 1 dan 2, jam 21:30 jalan 3 ball mill, no 3 ball mill baru jalan sampai jam 01:45. dari jam 02:25 jalan hanya 1 ball mill, ball mill no 1, karena genset 750 rusak, hanya pakai genset 300 </v>
      </c>
      <c r="Q13" s="34"/>
      <c r="R13" s="34"/>
      <c r="S13" s="34"/>
    </row>
    <row r="14" spans="1:19" ht="57" x14ac:dyDescent="0.3">
      <c r="A14" s="619">
        <v>46272</v>
      </c>
      <c r="B14" s="620"/>
      <c r="C14" s="346" t="s">
        <v>164</v>
      </c>
      <c r="D14" s="80" t="s">
        <v>199</v>
      </c>
      <c r="E14" s="347">
        <v>6.9444444444444447E-4</v>
      </c>
      <c r="F14" s="347">
        <v>5.2083333333333336E-2</v>
      </c>
      <c r="G14" s="243">
        <f t="shared" si="0"/>
        <v>74</v>
      </c>
      <c r="H14" s="348" t="s">
        <v>455</v>
      </c>
      <c r="I14" s="34"/>
      <c r="J14" s="34"/>
      <c r="K14" s="76">
        <v>46274</v>
      </c>
      <c r="L14" s="93">
        <f t="shared" si="3"/>
        <v>74</v>
      </c>
      <c r="M14" s="93">
        <f t="shared" si="4"/>
        <v>22.766666666666666</v>
      </c>
      <c r="N14" s="221">
        <f t="shared" si="5"/>
        <v>0.94861111111111107</v>
      </c>
      <c r="O14" s="93">
        <f t="shared" si="1"/>
        <v>1.2333333333333334</v>
      </c>
      <c r="P14" s="171" t="str">
        <f>H15</f>
        <v>start 1 ball mill jam 07:04 masalah pada genset, start 2 ball mill jam 09:19. ball mill baru no 3 start jam 14:46, ball mill baru no 3 hanya berjalan 3 jam, ada masalah pada pompa dan genset. Efektifitas kerja ball mill adalah no 1 dan 2 running hour mencapai 10 hour</v>
      </c>
      <c r="Q14" s="34"/>
      <c r="R14" s="34"/>
      <c r="S14" s="34"/>
    </row>
    <row r="15" spans="1:19" ht="57" x14ac:dyDescent="0.3">
      <c r="A15" s="619">
        <v>46275</v>
      </c>
      <c r="B15" s="620"/>
      <c r="C15" s="346" t="s">
        <v>154</v>
      </c>
      <c r="D15" s="80" t="s">
        <v>199</v>
      </c>
      <c r="E15" s="347">
        <v>6.9444444444444447E-4</v>
      </c>
      <c r="F15" s="347">
        <v>7.013888888888889E-2</v>
      </c>
      <c r="G15" s="243">
        <f>(F15-E15)*1440</f>
        <v>100</v>
      </c>
      <c r="H15" s="348" t="s">
        <v>456</v>
      </c>
      <c r="I15" s="34"/>
      <c r="J15" s="34"/>
      <c r="K15" s="76">
        <v>46275</v>
      </c>
      <c r="L15" s="93">
        <f>SUM(G15:G16)</f>
        <v>100</v>
      </c>
      <c r="M15" s="93">
        <f t="shared" si="4"/>
        <v>22.333333333333332</v>
      </c>
      <c r="N15" s="221">
        <f t="shared" si="5"/>
        <v>0.93055555555555547</v>
      </c>
      <c r="O15" s="93">
        <f t="shared" si="1"/>
        <v>1.6666666666666667</v>
      </c>
      <c r="P15" s="80"/>
      <c r="Q15" s="34"/>
      <c r="R15" s="34"/>
      <c r="S15" s="34"/>
    </row>
    <row r="16" spans="1:19" x14ac:dyDescent="0.3">
      <c r="A16" s="619">
        <v>46276</v>
      </c>
      <c r="B16" s="620"/>
      <c r="C16" s="346" t="s">
        <v>164</v>
      </c>
      <c r="D16" s="80"/>
      <c r="E16" s="347"/>
      <c r="F16" s="347"/>
      <c r="G16" s="243"/>
      <c r="H16" s="348"/>
      <c r="I16" s="34"/>
      <c r="J16" s="34"/>
      <c r="K16" s="76"/>
      <c r="L16" s="93"/>
      <c r="M16" s="93"/>
      <c r="N16" s="221"/>
      <c r="O16" s="93"/>
      <c r="P16" s="80"/>
      <c r="Q16" s="34"/>
      <c r="R16" s="34"/>
      <c r="S16" s="34"/>
    </row>
    <row r="17" spans="1:19" x14ac:dyDescent="0.3">
      <c r="A17" s="619">
        <v>46276</v>
      </c>
      <c r="B17" s="620"/>
      <c r="C17" s="346"/>
      <c r="D17" s="80" t="s">
        <v>199</v>
      </c>
      <c r="E17" s="347"/>
      <c r="F17" s="347"/>
      <c r="G17" s="243">
        <f t="shared" si="0"/>
        <v>0</v>
      </c>
      <c r="H17" s="348"/>
      <c r="I17" s="34"/>
      <c r="J17" s="34"/>
      <c r="K17" s="76">
        <v>46276</v>
      </c>
      <c r="L17" s="80">
        <f t="shared" si="3"/>
        <v>0</v>
      </c>
      <c r="M17" s="93">
        <f t="shared" si="4"/>
        <v>24</v>
      </c>
      <c r="N17" s="221">
        <f t="shared" si="5"/>
        <v>1</v>
      </c>
      <c r="O17" s="93">
        <f t="shared" si="1"/>
        <v>0</v>
      </c>
      <c r="P17" s="80"/>
      <c r="Q17" s="34"/>
      <c r="R17" s="34"/>
      <c r="S17" s="34"/>
    </row>
    <row r="18" spans="1:19" x14ac:dyDescent="0.3">
      <c r="A18" s="619">
        <v>46277</v>
      </c>
      <c r="B18" s="620"/>
      <c r="C18" s="346"/>
      <c r="D18" s="80" t="s">
        <v>199</v>
      </c>
      <c r="E18" s="347"/>
      <c r="F18" s="347"/>
      <c r="G18" s="243">
        <f t="shared" si="0"/>
        <v>0</v>
      </c>
      <c r="H18" s="348"/>
      <c r="I18" s="34"/>
      <c r="J18" s="34"/>
      <c r="K18" s="76">
        <v>46277</v>
      </c>
      <c r="L18" s="80">
        <f t="shared" si="3"/>
        <v>0</v>
      </c>
      <c r="M18" s="93">
        <f t="shared" si="4"/>
        <v>24</v>
      </c>
      <c r="N18" s="221">
        <f t="shared" si="5"/>
        <v>1</v>
      </c>
      <c r="O18" s="93">
        <f t="shared" si="1"/>
        <v>0</v>
      </c>
      <c r="P18" s="80"/>
      <c r="Q18" s="34"/>
      <c r="R18" s="34"/>
      <c r="S18" s="34"/>
    </row>
    <row r="19" spans="1:19" x14ac:dyDescent="0.3">
      <c r="A19" s="619">
        <v>46278</v>
      </c>
      <c r="B19" s="620"/>
      <c r="C19" s="346"/>
      <c r="D19" s="80" t="s">
        <v>199</v>
      </c>
      <c r="E19" s="347"/>
      <c r="F19" s="347"/>
      <c r="G19" s="243">
        <f t="shared" si="0"/>
        <v>0</v>
      </c>
      <c r="H19" s="348"/>
      <c r="I19" s="34"/>
      <c r="J19" s="34"/>
      <c r="K19" s="76">
        <v>46278</v>
      </c>
      <c r="L19" s="80">
        <f t="shared" si="3"/>
        <v>0</v>
      </c>
      <c r="M19" s="80">
        <f t="shared" si="4"/>
        <v>24</v>
      </c>
      <c r="N19" s="221">
        <f t="shared" si="5"/>
        <v>1</v>
      </c>
      <c r="O19" s="93">
        <f t="shared" si="1"/>
        <v>0</v>
      </c>
      <c r="P19" s="80"/>
      <c r="Q19" s="34"/>
      <c r="R19" s="34"/>
      <c r="S19" s="34"/>
    </row>
    <row r="20" spans="1:19" x14ac:dyDescent="0.3">
      <c r="A20" s="619">
        <v>46279</v>
      </c>
      <c r="B20" s="620"/>
      <c r="C20" s="346"/>
      <c r="D20" s="80" t="s">
        <v>199</v>
      </c>
      <c r="E20" s="347"/>
      <c r="F20" s="347"/>
      <c r="G20" s="243">
        <f t="shared" si="0"/>
        <v>0</v>
      </c>
      <c r="H20" s="348"/>
      <c r="I20" s="34"/>
      <c r="J20" s="34"/>
      <c r="K20" s="76">
        <v>46279</v>
      </c>
      <c r="L20" s="80">
        <f t="shared" si="3"/>
        <v>0</v>
      </c>
      <c r="M20" s="80">
        <f t="shared" si="4"/>
        <v>24</v>
      </c>
      <c r="N20" s="221">
        <f t="shared" si="5"/>
        <v>1</v>
      </c>
      <c r="O20" s="93">
        <f t="shared" si="1"/>
        <v>0</v>
      </c>
      <c r="P20" s="80"/>
      <c r="Q20" s="34"/>
      <c r="R20" s="34"/>
      <c r="S20" s="34"/>
    </row>
    <row r="21" spans="1:19" x14ac:dyDescent="0.3">
      <c r="A21" s="619">
        <v>46280</v>
      </c>
      <c r="B21" s="620"/>
      <c r="C21" s="346"/>
      <c r="D21" s="80" t="s">
        <v>199</v>
      </c>
      <c r="E21" s="347"/>
      <c r="F21" s="347"/>
      <c r="G21" s="243">
        <f t="shared" si="0"/>
        <v>0</v>
      </c>
      <c r="H21" s="348"/>
      <c r="I21" s="34"/>
      <c r="J21" s="34"/>
      <c r="K21" s="76">
        <v>46280</v>
      </c>
      <c r="L21" s="80">
        <f t="shared" si="3"/>
        <v>0</v>
      </c>
      <c r="M21" s="93">
        <f t="shared" si="4"/>
        <v>24</v>
      </c>
      <c r="N21" s="221">
        <f t="shared" si="5"/>
        <v>1</v>
      </c>
      <c r="O21" s="93">
        <f>L21/60</f>
        <v>0</v>
      </c>
      <c r="P21" s="80"/>
      <c r="Q21" s="34"/>
      <c r="R21" s="34"/>
      <c r="S21" s="34"/>
    </row>
    <row r="22" spans="1:19" x14ac:dyDescent="0.3">
      <c r="A22" s="619">
        <v>46281</v>
      </c>
      <c r="B22" s="620"/>
      <c r="C22" s="346"/>
      <c r="D22" s="80" t="s">
        <v>199</v>
      </c>
      <c r="E22" s="347"/>
      <c r="F22" s="347"/>
      <c r="G22" s="243">
        <f t="shared" si="0"/>
        <v>0</v>
      </c>
      <c r="H22" s="348"/>
      <c r="I22" s="34"/>
      <c r="J22" s="34"/>
      <c r="K22" s="76">
        <v>46281</v>
      </c>
      <c r="L22" s="93">
        <f t="shared" si="3"/>
        <v>0</v>
      </c>
      <c r="M22" s="93">
        <f t="shared" si="4"/>
        <v>24</v>
      </c>
      <c r="N22" s="221">
        <f t="shared" si="5"/>
        <v>1</v>
      </c>
      <c r="O22" s="93">
        <f t="shared" si="1"/>
        <v>0</v>
      </c>
      <c r="P22" s="80"/>
      <c r="Q22" s="34"/>
      <c r="R22" s="34"/>
      <c r="S22" s="34"/>
    </row>
    <row r="23" spans="1:19" x14ac:dyDescent="0.3">
      <c r="A23" s="619">
        <v>46282</v>
      </c>
      <c r="B23" s="620"/>
      <c r="C23" s="346"/>
      <c r="D23" s="80" t="s">
        <v>199</v>
      </c>
      <c r="E23" s="347"/>
      <c r="F23" s="347"/>
      <c r="G23" s="243">
        <f t="shared" si="0"/>
        <v>0</v>
      </c>
      <c r="H23" s="348"/>
      <c r="I23" s="34"/>
      <c r="J23" s="34"/>
      <c r="K23" s="76">
        <v>46282</v>
      </c>
      <c r="L23" s="80">
        <f t="shared" si="3"/>
        <v>0</v>
      </c>
      <c r="M23" s="93">
        <f t="shared" si="4"/>
        <v>24</v>
      </c>
      <c r="N23" s="221">
        <f t="shared" si="5"/>
        <v>1</v>
      </c>
      <c r="O23" s="93">
        <f t="shared" si="1"/>
        <v>0</v>
      </c>
      <c r="P23" s="80"/>
      <c r="Q23" s="34"/>
      <c r="R23" s="34"/>
      <c r="S23" s="34"/>
    </row>
    <row r="24" spans="1:19" x14ac:dyDescent="0.3">
      <c r="A24" s="619">
        <v>46283</v>
      </c>
      <c r="B24" s="620"/>
      <c r="C24" s="346"/>
      <c r="D24" s="80" t="s">
        <v>199</v>
      </c>
      <c r="E24" s="347"/>
      <c r="F24" s="347"/>
      <c r="G24" s="243">
        <f t="shared" si="0"/>
        <v>0</v>
      </c>
      <c r="H24" s="348"/>
      <c r="I24" s="34"/>
      <c r="J24" s="34"/>
      <c r="K24" s="76">
        <v>46283</v>
      </c>
      <c r="L24" s="80">
        <f t="shared" si="3"/>
        <v>0</v>
      </c>
      <c r="M24" s="93">
        <f t="shared" si="4"/>
        <v>24</v>
      </c>
      <c r="N24" s="221">
        <f t="shared" si="5"/>
        <v>1</v>
      </c>
      <c r="O24" s="93">
        <f t="shared" si="1"/>
        <v>0</v>
      </c>
      <c r="P24" s="80"/>
      <c r="Q24" s="34"/>
      <c r="R24" s="34"/>
      <c r="S24" s="34"/>
    </row>
    <row r="25" spans="1:19" x14ac:dyDescent="0.3">
      <c r="A25" s="619">
        <v>46284</v>
      </c>
      <c r="B25" s="620"/>
      <c r="C25" s="346"/>
      <c r="D25" s="80" t="s">
        <v>199</v>
      </c>
      <c r="E25" s="347"/>
      <c r="F25" s="347"/>
      <c r="G25" s="243">
        <f t="shared" si="0"/>
        <v>0</v>
      </c>
      <c r="H25" s="348"/>
      <c r="I25" s="34"/>
      <c r="J25" s="34"/>
      <c r="K25" s="76">
        <v>46284</v>
      </c>
      <c r="L25" s="80">
        <f t="shared" si="3"/>
        <v>0</v>
      </c>
      <c r="M25" s="93">
        <f t="shared" si="4"/>
        <v>24</v>
      </c>
      <c r="N25" s="221">
        <f t="shared" si="5"/>
        <v>1</v>
      </c>
      <c r="O25" s="93">
        <f t="shared" si="1"/>
        <v>0</v>
      </c>
      <c r="P25" s="80"/>
      <c r="Q25" s="34"/>
      <c r="R25" s="34"/>
      <c r="S25" s="34"/>
    </row>
    <row r="26" spans="1:19" x14ac:dyDescent="0.3">
      <c r="A26" s="619">
        <v>46285</v>
      </c>
      <c r="B26" s="620"/>
      <c r="C26" s="346"/>
      <c r="D26" s="80" t="s">
        <v>199</v>
      </c>
      <c r="E26" s="347"/>
      <c r="F26" s="347"/>
      <c r="G26" s="243">
        <f t="shared" si="0"/>
        <v>0</v>
      </c>
      <c r="H26" s="348"/>
      <c r="I26" s="34"/>
      <c r="J26" s="34"/>
      <c r="K26" s="76">
        <v>46285</v>
      </c>
      <c r="L26" s="80">
        <f t="shared" si="3"/>
        <v>0</v>
      </c>
      <c r="M26" s="93">
        <f t="shared" si="4"/>
        <v>24</v>
      </c>
      <c r="N26" s="221">
        <f t="shared" si="5"/>
        <v>1</v>
      </c>
      <c r="O26" s="93">
        <f t="shared" si="1"/>
        <v>0</v>
      </c>
      <c r="P26" s="80"/>
      <c r="Q26" s="34"/>
      <c r="R26" s="34"/>
      <c r="S26" s="34"/>
    </row>
    <row r="27" spans="1:19" x14ac:dyDescent="0.3">
      <c r="A27" s="619">
        <v>46286</v>
      </c>
      <c r="B27" s="620"/>
      <c r="C27" s="346"/>
      <c r="D27" s="80" t="s">
        <v>199</v>
      </c>
      <c r="E27" s="347"/>
      <c r="F27" s="347"/>
      <c r="G27" s="243">
        <f t="shared" si="0"/>
        <v>0</v>
      </c>
      <c r="H27" s="348"/>
      <c r="I27" s="34"/>
      <c r="J27" s="34"/>
      <c r="K27" s="76">
        <v>46286</v>
      </c>
      <c r="L27" s="80">
        <f t="shared" si="3"/>
        <v>0</v>
      </c>
      <c r="M27" s="93">
        <f t="shared" si="4"/>
        <v>24</v>
      </c>
      <c r="N27" s="221">
        <f t="shared" si="5"/>
        <v>1</v>
      </c>
      <c r="O27" s="93">
        <f t="shared" si="1"/>
        <v>0</v>
      </c>
      <c r="P27" s="80"/>
      <c r="Q27" s="34"/>
      <c r="R27" s="34"/>
      <c r="S27" s="34"/>
    </row>
    <row r="28" spans="1:19" x14ac:dyDescent="0.3">
      <c r="A28" s="619">
        <v>46287</v>
      </c>
      <c r="B28" s="620"/>
      <c r="C28" s="346"/>
      <c r="D28" s="80" t="s">
        <v>199</v>
      </c>
      <c r="E28" s="347"/>
      <c r="F28" s="347"/>
      <c r="G28" s="243">
        <f t="shared" si="0"/>
        <v>0</v>
      </c>
      <c r="H28" s="348"/>
      <c r="I28" s="34"/>
      <c r="J28" s="34"/>
      <c r="K28" s="76">
        <v>46287</v>
      </c>
      <c r="L28" s="80">
        <f t="shared" si="3"/>
        <v>0</v>
      </c>
      <c r="M28" s="93">
        <f t="shared" si="4"/>
        <v>24</v>
      </c>
      <c r="N28" s="221">
        <f t="shared" si="5"/>
        <v>1</v>
      </c>
      <c r="O28" s="93">
        <f t="shared" si="1"/>
        <v>0</v>
      </c>
      <c r="P28" s="80"/>
      <c r="Q28" s="34"/>
      <c r="R28" s="34"/>
      <c r="S28" s="34"/>
    </row>
    <row r="29" spans="1:19" x14ac:dyDescent="0.3">
      <c r="A29" s="619">
        <v>46288</v>
      </c>
      <c r="B29" s="620"/>
      <c r="C29" s="346"/>
      <c r="D29" s="80"/>
      <c r="E29" s="347"/>
      <c r="F29" s="347"/>
      <c r="G29" s="243">
        <f t="shared" si="0"/>
        <v>0</v>
      </c>
      <c r="H29" s="348"/>
      <c r="I29" s="34"/>
      <c r="J29" s="34"/>
      <c r="K29" s="76">
        <v>46288</v>
      </c>
      <c r="L29" s="80">
        <f t="shared" si="3"/>
        <v>0</v>
      </c>
      <c r="M29" s="80">
        <f t="shared" si="4"/>
        <v>24</v>
      </c>
      <c r="N29" s="221">
        <f t="shared" si="5"/>
        <v>1</v>
      </c>
      <c r="O29" s="93">
        <f t="shared" si="1"/>
        <v>0</v>
      </c>
      <c r="P29" s="80"/>
      <c r="Q29" s="34"/>
      <c r="R29" s="34"/>
      <c r="S29" s="34"/>
    </row>
    <row r="30" spans="1:19" x14ac:dyDescent="0.3">
      <c r="A30" s="619">
        <v>46289</v>
      </c>
      <c r="B30" s="620"/>
      <c r="C30" s="346"/>
      <c r="D30" s="80"/>
      <c r="E30" s="347"/>
      <c r="F30" s="347"/>
      <c r="G30" s="243">
        <f t="shared" si="0"/>
        <v>0</v>
      </c>
      <c r="H30" s="348"/>
      <c r="I30" s="34"/>
      <c r="J30" s="34"/>
      <c r="K30" s="76">
        <v>46289</v>
      </c>
      <c r="L30" s="80">
        <f t="shared" si="3"/>
        <v>0</v>
      </c>
      <c r="M30" s="80">
        <f t="shared" si="4"/>
        <v>24</v>
      </c>
      <c r="N30" s="221">
        <f t="shared" si="5"/>
        <v>1</v>
      </c>
      <c r="O30" s="80"/>
      <c r="P30" s="80"/>
      <c r="Q30" s="34"/>
      <c r="R30" s="34"/>
      <c r="S30" s="34"/>
    </row>
    <row r="31" spans="1:19" x14ac:dyDescent="0.3">
      <c r="A31" s="619">
        <v>46290</v>
      </c>
      <c r="B31" s="620"/>
      <c r="C31" s="346"/>
      <c r="D31" s="80"/>
      <c r="E31" s="349"/>
      <c r="F31" s="349"/>
      <c r="G31" s="243">
        <f t="shared" si="0"/>
        <v>0</v>
      </c>
      <c r="H31" s="348"/>
      <c r="I31" s="34"/>
      <c r="J31" s="34"/>
      <c r="K31" s="76">
        <v>46290</v>
      </c>
      <c r="L31" s="93">
        <f t="shared" si="3"/>
        <v>0</v>
      </c>
      <c r="M31" s="80">
        <f>(1440-L31)/60</f>
        <v>24</v>
      </c>
      <c r="N31" s="221">
        <f t="shared" si="5"/>
        <v>1</v>
      </c>
      <c r="O31" s="80"/>
      <c r="P31" s="80"/>
      <c r="Q31" s="34"/>
      <c r="R31" s="34"/>
      <c r="S31" s="34"/>
    </row>
    <row r="32" spans="1:19" x14ac:dyDescent="0.3">
      <c r="A32" s="619">
        <v>46291</v>
      </c>
      <c r="B32" s="620"/>
      <c r="C32" s="346"/>
      <c r="D32" s="80"/>
      <c r="E32" s="349"/>
      <c r="F32" s="349"/>
      <c r="G32" s="243">
        <f t="shared" si="0"/>
        <v>0</v>
      </c>
      <c r="H32" s="348"/>
      <c r="I32" s="34"/>
      <c r="J32" s="34"/>
      <c r="K32" s="76">
        <v>46291</v>
      </c>
      <c r="L32" s="93">
        <f t="shared" si="3"/>
        <v>0</v>
      </c>
      <c r="M32" s="80">
        <f>(1440-L32)/60</f>
        <v>24</v>
      </c>
      <c r="N32" s="221">
        <f t="shared" si="5"/>
        <v>1</v>
      </c>
      <c r="O32" s="80"/>
      <c r="P32" s="80"/>
      <c r="Q32" s="34"/>
      <c r="R32" s="34"/>
      <c r="S32" s="182"/>
    </row>
    <row r="33" spans="1:19" x14ac:dyDescent="0.3">
      <c r="A33" s="619">
        <v>46292</v>
      </c>
      <c r="B33" s="620"/>
      <c r="C33" s="346"/>
      <c r="D33" s="80"/>
      <c r="E33" s="349"/>
      <c r="F33" s="349"/>
      <c r="G33" s="243">
        <f t="shared" si="0"/>
        <v>0</v>
      </c>
      <c r="H33" s="348"/>
      <c r="I33" s="34"/>
      <c r="J33" s="34"/>
      <c r="K33" s="76">
        <v>46292</v>
      </c>
      <c r="L33" s="80">
        <f t="shared" si="3"/>
        <v>0</v>
      </c>
      <c r="M33" s="80">
        <f t="shared" si="4"/>
        <v>24</v>
      </c>
      <c r="N33" s="221">
        <f t="shared" si="5"/>
        <v>1</v>
      </c>
      <c r="O33" s="80"/>
      <c r="P33" s="80"/>
      <c r="Q33" s="34"/>
      <c r="R33" s="34"/>
      <c r="S33" s="34"/>
    </row>
    <row r="34" spans="1:19" x14ac:dyDescent="0.3">
      <c r="A34" s="619">
        <v>46293</v>
      </c>
      <c r="B34" s="620"/>
      <c r="C34" s="346"/>
      <c r="D34" s="80"/>
      <c r="E34" s="349"/>
      <c r="F34" s="349"/>
      <c r="G34" s="243">
        <f t="shared" si="0"/>
        <v>0</v>
      </c>
      <c r="H34" s="348"/>
      <c r="I34" s="34"/>
      <c r="J34" s="34"/>
      <c r="K34" s="76">
        <v>46293</v>
      </c>
      <c r="L34" s="93">
        <f>SUM(G34:G36)</f>
        <v>0</v>
      </c>
      <c r="M34" s="93">
        <f t="shared" si="4"/>
        <v>24</v>
      </c>
      <c r="N34" s="221">
        <f t="shared" si="5"/>
        <v>1</v>
      </c>
      <c r="O34" s="80"/>
      <c r="P34" s="80"/>
      <c r="Q34" s="34"/>
      <c r="R34" s="34"/>
      <c r="S34" s="34"/>
    </row>
    <row r="35" spans="1:19" x14ac:dyDescent="0.3">
      <c r="A35" s="619">
        <v>46294</v>
      </c>
      <c r="B35" s="620"/>
      <c r="C35" s="346"/>
      <c r="D35" s="80"/>
      <c r="E35" s="349"/>
      <c r="F35" s="349"/>
      <c r="G35" s="243">
        <f t="shared" si="0"/>
        <v>0</v>
      </c>
      <c r="H35" s="348"/>
      <c r="I35" s="34"/>
      <c r="J35" s="34"/>
      <c r="K35" s="76">
        <v>46294</v>
      </c>
      <c r="L35" s="93">
        <f>SUM(G37:G39)</f>
        <v>0</v>
      </c>
      <c r="M35" s="93">
        <f>(1440-L35)/60</f>
        <v>24</v>
      </c>
      <c r="N35" s="221">
        <f t="shared" si="5"/>
        <v>1</v>
      </c>
      <c r="O35" s="80"/>
      <c r="P35" s="80"/>
      <c r="Q35" s="34"/>
      <c r="R35" s="34"/>
      <c r="S35" s="34"/>
    </row>
    <row r="36" spans="1:19" x14ac:dyDescent="0.3">
      <c r="A36" s="619">
        <v>46295</v>
      </c>
      <c r="B36" s="620"/>
      <c r="C36" s="346"/>
      <c r="D36" s="80"/>
      <c r="E36" s="349"/>
      <c r="F36" s="349"/>
      <c r="G36" s="243">
        <f t="shared" si="0"/>
        <v>0</v>
      </c>
      <c r="H36" s="348"/>
      <c r="I36" s="34"/>
      <c r="J36" s="34"/>
      <c r="K36" s="76">
        <v>46295</v>
      </c>
      <c r="L36" s="80"/>
      <c r="M36" s="80"/>
      <c r="N36" s="221">
        <f t="shared" si="5"/>
        <v>0</v>
      </c>
      <c r="O36" s="80"/>
      <c r="P36" s="80"/>
      <c r="Q36" s="34"/>
      <c r="R36" s="34"/>
      <c r="S36" s="34"/>
    </row>
    <row r="37" spans="1:19" x14ac:dyDescent="0.3">
      <c r="A37" s="619">
        <v>46296</v>
      </c>
      <c r="B37" s="620"/>
      <c r="C37" s="346"/>
      <c r="D37" s="80"/>
      <c r="E37" s="349"/>
      <c r="F37" s="349"/>
      <c r="G37" s="243">
        <f t="shared" si="0"/>
        <v>0</v>
      </c>
      <c r="H37" s="348"/>
      <c r="I37" s="34"/>
      <c r="J37" s="34"/>
      <c r="K37" s="76">
        <v>46296</v>
      </c>
      <c r="L37" s="93">
        <f>SUM(G41:G42)</f>
        <v>0</v>
      </c>
      <c r="M37" s="80">
        <f t="shared" si="4"/>
        <v>24</v>
      </c>
      <c r="N37" s="221">
        <f t="shared" si="5"/>
        <v>1</v>
      </c>
      <c r="O37" s="80"/>
      <c r="P37" s="80"/>
      <c r="Q37" s="34"/>
      <c r="R37" s="34"/>
      <c r="S37" s="34"/>
    </row>
    <row r="38" spans="1:19" x14ac:dyDescent="0.3">
      <c r="A38" s="619">
        <v>46297</v>
      </c>
      <c r="B38" s="620"/>
      <c r="C38" s="346"/>
      <c r="D38" s="80"/>
      <c r="E38" s="349"/>
      <c r="F38" s="349"/>
      <c r="G38" s="243">
        <f t="shared" si="0"/>
        <v>0</v>
      </c>
      <c r="H38" s="348"/>
      <c r="I38" s="34"/>
      <c r="J38" s="34"/>
      <c r="K38" s="76">
        <v>46297</v>
      </c>
      <c r="L38" s="93">
        <f>SUM(G43:G45)</f>
        <v>0</v>
      </c>
      <c r="M38" s="93">
        <f t="shared" si="4"/>
        <v>24</v>
      </c>
      <c r="N38" s="221">
        <f t="shared" si="5"/>
        <v>1</v>
      </c>
      <c r="O38" s="80"/>
      <c r="P38" s="80"/>
      <c r="Q38" s="34"/>
      <c r="R38" s="34"/>
      <c r="S38" s="34"/>
    </row>
    <row r="39" spans="1:19" x14ac:dyDescent="0.3">
      <c r="A39" s="619">
        <v>46298</v>
      </c>
      <c r="B39" s="620"/>
      <c r="C39" s="346"/>
      <c r="D39" s="80"/>
      <c r="E39" s="349"/>
      <c r="F39" s="349"/>
      <c r="G39" s="243">
        <f t="shared" si="0"/>
        <v>0</v>
      </c>
      <c r="H39" s="348"/>
      <c r="I39" s="34"/>
      <c r="J39" s="34"/>
      <c r="K39" s="76">
        <v>46298</v>
      </c>
      <c r="L39" s="93">
        <f>SUM(G46:G48)</f>
        <v>0</v>
      </c>
      <c r="M39" s="93">
        <f>(1440-L39)/60</f>
        <v>24</v>
      </c>
      <c r="N39" s="221">
        <f t="shared" si="5"/>
        <v>1</v>
      </c>
      <c r="O39" s="80"/>
      <c r="P39" s="80"/>
      <c r="Q39" s="34"/>
      <c r="R39" s="34"/>
      <c r="S39" s="34"/>
    </row>
    <row r="40" spans="1:19" x14ac:dyDescent="0.3">
      <c r="A40" s="619">
        <v>46299</v>
      </c>
      <c r="B40" s="620"/>
      <c r="C40" s="346"/>
      <c r="D40" s="80"/>
      <c r="E40" s="349"/>
      <c r="F40" s="349"/>
      <c r="G40" s="243">
        <f t="shared" ref="G40:G41" si="6">(F40-E40)*1440</f>
        <v>0</v>
      </c>
      <c r="H40" s="348"/>
      <c r="I40" s="34"/>
      <c r="J40" s="34"/>
      <c r="K40" s="76">
        <v>46299</v>
      </c>
      <c r="L40" s="93">
        <f>SUM(G49:G50)</f>
        <v>0</v>
      </c>
      <c r="M40" s="93">
        <f>(1440-L40)/60</f>
        <v>24</v>
      </c>
      <c r="N40" s="221">
        <f t="shared" si="5"/>
        <v>1</v>
      </c>
      <c r="O40" s="80"/>
      <c r="P40" s="80"/>
      <c r="Q40" s="34"/>
      <c r="R40" s="34"/>
      <c r="S40" s="34"/>
    </row>
    <row r="41" spans="1:19" x14ac:dyDescent="0.3">
      <c r="A41" s="619">
        <v>46300</v>
      </c>
      <c r="B41" s="620"/>
      <c r="C41" s="346"/>
      <c r="D41" s="80"/>
      <c r="E41" s="349"/>
      <c r="F41" s="349"/>
      <c r="G41" s="243">
        <f t="shared" si="6"/>
        <v>0</v>
      </c>
      <c r="H41" s="348"/>
      <c r="I41" s="34"/>
      <c r="J41" s="34"/>
      <c r="K41" s="76">
        <v>46300</v>
      </c>
      <c r="L41" s="93">
        <f>SUM(G51:G54)</f>
        <v>0</v>
      </c>
      <c r="M41" s="93">
        <f>(1440-L41)/60</f>
        <v>24</v>
      </c>
      <c r="N41" s="221">
        <f t="shared" si="5"/>
        <v>1</v>
      </c>
      <c r="O41" s="80"/>
      <c r="P41" s="80"/>
      <c r="Q41" s="34"/>
      <c r="R41" s="34"/>
      <c r="S41" s="34"/>
    </row>
    <row r="42" spans="1:19" x14ac:dyDescent="0.3">
      <c r="A42" s="619">
        <v>46301</v>
      </c>
      <c r="B42" s="620"/>
      <c r="C42" s="346"/>
      <c r="D42" s="80"/>
      <c r="E42" s="349"/>
      <c r="F42" s="349"/>
      <c r="G42" s="243">
        <f t="shared" ref="G42" si="7">(F42-E42)*1440</f>
        <v>0</v>
      </c>
      <c r="H42" s="348"/>
      <c r="I42" s="34"/>
      <c r="J42" s="34"/>
      <c r="K42" s="76">
        <v>46301</v>
      </c>
      <c r="L42" s="93">
        <f>SUM(G55:G57)</f>
        <v>0</v>
      </c>
      <c r="M42" s="93">
        <f>(1440-L42)/60</f>
        <v>24</v>
      </c>
      <c r="N42" s="221">
        <f t="shared" si="5"/>
        <v>1</v>
      </c>
      <c r="O42" s="80"/>
      <c r="P42" s="80"/>
      <c r="Q42" s="34"/>
      <c r="R42" s="34"/>
      <c r="S42" s="34"/>
    </row>
    <row r="43" spans="1:19" ht="13.5" customHeight="1" x14ac:dyDescent="0.3">
      <c r="A43" s="619">
        <v>46302</v>
      </c>
      <c r="B43" s="620"/>
      <c r="C43" s="346"/>
      <c r="D43" s="80"/>
      <c r="E43" s="349"/>
      <c r="F43" s="349"/>
      <c r="G43" s="243">
        <f t="shared" ref="G43:G45" si="8">(F43-E43)*1440</f>
        <v>0</v>
      </c>
      <c r="H43" s="348"/>
      <c r="I43" s="34"/>
      <c r="J43" s="34"/>
      <c r="K43" s="76">
        <v>46302</v>
      </c>
      <c r="L43" s="93"/>
      <c r="M43" s="93"/>
      <c r="N43" s="221">
        <f t="shared" si="5"/>
        <v>0</v>
      </c>
      <c r="O43" s="80"/>
      <c r="P43" s="80"/>
      <c r="Q43" s="34"/>
      <c r="R43" s="34"/>
      <c r="S43" s="34"/>
    </row>
    <row r="44" spans="1:19" ht="13.5" customHeight="1" x14ac:dyDescent="0.3">
      <c r="A44" s="619">
        <v>46303</v>
      </c>
      <c r="B44" s="620"/>
      <c r="C44" s="346"/>
      <c r="D44" s="80"/>
      <c r="E44" s="349"/>
      <c r="F44" s="349"/>
      <c r="G44" s="243">
        <f t="shared" si="8"/>
        <v>0</v>
      </c>
      <c r="H44" s="348"/>
      <c r="I44" s="34"/>
      <c r="J44" s="34"/>
      <c r="K44" s="76">
        <v>46303</v>
      </c>
      <c r="L44" s="93"/>
      <c r="M44" s="93"/>
      <c r="N44" s="221">
        <f t="shared" si="5"/>
        <v>0</v>
      </c>
      <c r="O44" s="80"/>
      <c r="P44" s="80"/>
      <c r="Q44" s="34"/>
      <c r="R44" s="34"/>
      <c r="S44" s="34"/>
    </row>
    <row r="45" spans="1:19" x14ac:dyDescent="0.3">
      <c r="A45" s="619">
        <v>46304</v>
      </c>
      <c r="B45" s="620"/>
      <c r="C45" s="346"/>
      <c r="D45" s="80"/>
      <c r="E45" s="349"/>
      <c r="F45" s="349"/>
      <c r="G45" s="243">
        <f t="shared" si="8"/>
        <v>0</v>
      </c>
      <c r="H45" s="348"/>
      <c r="I45" s="34"/>
      <c r="J45" s="34"/>
      <c r="K45" s="76">
        <v>46304</v>
      </c>
      <c r="L45" s="93"/>
      <c r="M45" s="93"/>
      <c r="N45" s="221">
        <f t="shared" si="5"/>
        <v>0</v>
      </c>
      <c r="O45" s="80"/>
      <c r="P45" s="80"/>
      <c r="Q45" s="34"/>
      <c r="R45" s="34"/>
      <c r="S45" s="161">
        <f>6.4+12</f>
        <v>18.399999999999999</v>
      </c>
    </row>
    <row r="46" spans="1:19" x14ac:dyDescent="0.3">
      <c r="A46" s="619">
        <v>46305</v>
      </c>
      <c r="B46" s="620"/>
      <c r="C46" s="346"/>
      <c r="D46" s="80"/>
      <c r="E46" s="349"/>
      <c r="F46" s="349"/>
      <c r="G46" s="243">
        <f>(F46-E46)*1440</f>
        <v>0</v>
      </c>
      <c r="H46" s="348"/>
      <c r="I46" s="34"/>
      <c r="J46" s="34"/>
      <c r="K46" s="76">
        <v>46305</v>
      </c>
      <c r="L46" s="93"/>
      <c r="M46" s="93"/>
      <c r="N46" s="221">
        <f t="shared" si="5"/>
        <v>0</v>
      </c>
      <c r="O46" s="80"/>
      <c r="P46" s="80"/>
      <c r="Q46" s="34"/>
      <c r="R46" s="34"/>
      <c r="S46" s="34"/>
    </row>
    <row r="47" spans="1:19" x14ac:dyDescent="0.3">
      <c r="A47" s="619">
        <v>46306</v>
      </c>
      <c r="B47" s="620"/>
      <c r="C47" s="346"/>
      <c r="D47" s="80"/>
      <c r="E47" s="349"/>
      <c r="F47" s="349"/>
      <c r="G47" s="243">
        <f t="shared" ref="G47:G51" si="9">(F47-E47)*1440</f>
        <v>0</v>
      </c>
      <c r="H47" s="348"/>
      <c r="I47" s="34"/>
      <c r="J47" s="34"/>
      <c r="K47" s="76">
        <v>46306</v>
      </c>
      <c r="L47" s="93"/>
      <c r="M47" s="93"/>
      <c r="N47" s="221">
        <f t="shared" si="5"/>
        <v>0</v>
      </c>
      <c r="O47" s="80"/>
      <c r="P47" s="80"/>
      <c r="Q47" s="34"/>
      <c r="R47" s="34"/>
      <c r="S47" s="34"/>
    </row>
    <row r="48" spans="1:19" x14ac:dyDescent="0.3">
      <c r="A48" s="619">
        <v>46307</v>
      </c>
      <c r="B48" s="620"/>
      <c r="C48" s="346"/>
      <c r="D48" s="80"/>
      <c r="E48" s="349"/>
      <c r="F48" s="349"/>
      <c r="G48" s="243">
        <f t="shared" si="9"/>
        <v>0</v>
      </c>
      <c r="H48" s="348"/>
      <c r="I48" s="34"/>
      <c r="J48" s="34"/>
      <c r="K48" s="76">
        <v>46307</v>
      </c>
      <c r="L48" s="93"/>
      <c r="M48" s="93"/>
      <c r="N48" s="221">
        <f t="shared" si="5"/>
        <v>0</v>
      </c>
      <c r="O48" s="80"/>
      <c r="P48" s="80"/>
      <c r="Q48" s="34"/>
      <c r="R48" s="34"/>
      <c r="S48" s="34"/>
    </row>
    <row r="49" spans="1:19" x14ac:dyDescent="0.3">
      <c r="A49" s="619">
        <v>46308</v>
      </c>
      <c r="B49" s="620"/>
      <c r="C49" s="346"/>
      <c r="D49" s="80"/>
      <c r="E49" s="349"/>
      <c r="F49" s="349"/>
      <c r="G49" s="243">
        <f t="shared" si="9"/>
        <v>0</v>
      </c>
      <c r="H49" s="348"/>
      <c r="I49" s="34"/>
      <c r="J49" s="34"/>
      <c r="K49" s="76">
        <v>46308</v>
      </c>
      <c r="L49" s="93"/>
      <c r="M49" s="93"/>
      <c r="N49" s="221">
        <f t="shared" si="5"/>
        <v>0</v>
      </c>
      <c r="O49" s="80"/>
      <c r="P49" s="80"/>
      <c r="Q49" s="34"/>
      <c r="R49" s="34"/>
      <c r="S49" s="34"/>
    </row>
    <row r="50" spans="1:19" x14ac:dyDescent="0.3">
      <c r="A50" s="619">
        <v>46309</v>
      </c>
      <c r="B50" s="620"/>
      <c r="C50" s="346"/>
      <c r="D50" s="80"/>
      <c r="E50" s="349"/>
      <c r="F50" s="349"/>
      <c r="G50" s="243">
        <f t="shared" si="9"/>
        <v>0</v>
      </c>
      <c r="H50" s="348"/>
      <c r="I50" s="34"/>
      <c r="J50" s="34"/>
      <c r="K50" s="76">
        <v>46309</v>
      </c>
      <c r="L50" s="93"/>
      <c r="M50" s="93"/>
      <c r="N50" s="221">
        <f t="shared" si="5"/>
        <v>0</v>
      </c>
      <c r="O50" s="80"/>
      <c r="P50" s="80"/>
      <c r="Q50" s="34"/>
      <c r="R50" s="34"/>
      <c r="S50" s="161">
        <f>8*24</f>
        <v>192</v>
      </c>
    </row>
    <row r="51" spans="1:19" x14ac:dyDescent="0.3">
      <c r="A51" s="619">
        <v>46310</v>
      </c>
      <c r="B51" s="620"/>
      <c r="C51" s="346"/>
      <c r="D51" s="80"/>
      <c r="E51" s="349"/>
      <c r="F51" s="349"/>
      <c r="G51" s="243">
        <f t="shared" si="9"/>
        <v>0</v>
      </c>
      <c r="H51" s="348"/>
      <c r="I51" s="34"/>
      <c r="J51" s="34"/>
      <c r="K51" s="76">
        <v>46310</v>
      </c>
      <c r="L51" s="93"/>
      <c r="M51" s="93"/>
      <c r="N51" s="221">
        <f t="shared" si="5"/>
        <v>0</v>
      </c>
      <c r="O51" s="80"/>
      <c r="P51" s="80"/>
      <c r="Q51" s="34"/>
      <c r="R51" s="34"/>
      <c r="S51" s="34"/>
    </row>
    <row r="52" spans="1:19" x14ac:dyDescent="0.3">
      <c r="A52" s="619">
        <v>46311</v>
      </c>
      <c r="B52" s="620"/>
      <c r="C52" s="346"/>
      <c r="D52" s="80"/>
      <c r="E52" s="349"/>
      <c r="F52" s="349"/>
      <c r="G52" s="243">
        <f t="shared" ref="G52:G63" si="10">(F52-E52)*1440</f>
        <v>0</v>
      </c>
      <c r="H52" s="348"/>
      <c r="I52" s="34"/>
      <c r="J52" s="34"/>
      <c r="K52" s="76">
        <v>46311</v>
      </c>
      <c r="L52" s="93"/>
      <c r="M52" s="93"/>
      <c r="N52" s="221">
        <f t="shared" si="5"/>
        <v>0</v>
      </c>
      <c r="O52" s="80"/>
      <c r="P52" s="80"/>
      <c r="Q52" s="34"/>
      <c r="R52" s="34"/>
      <c r="S52" s="34"/>
    </row>
    <row r="53" spans="1:19" x14ac:dyDescent="0.3">
      <c r="A53" s="619">
        <v>46312</v>
      </c>
      <c r="B53" s="620"/>
      <c r="C53" s="346"/>
      <c r="D53" s="80"/>
      <c r="E53" s="349"/>
      <c r="F53" s="349"/>
      <c r="G53" s="243">
        <f t="shared" si="10"/>
        <v>0</v>
      </c>
      <c r="H53" s="348"/>
      <c r="I53" s="34"/>
      <c r="J53" s="34"/>
      <c r="K53" s="76">
        <v>46312</v>
      </c>
      <c r="L53" s="93"/>
      <c r="M53" s="93"/>
      <c r="N53" s="221">
        <f t="shared" si="5"/>
        <v>0</v>
      </c>
      <c r="O53" s="80"/>
      <c r="P53" s="80"/>
      <c r="Q53" s="34"/>
      <c r="R53" s="34"/>
      <c r="S53" s="34"/>
    </row>
    <row r="54" spans="1:19" x14ac:dyDescent="0.3">
      <c r="A54" s="619">
        <v>46313</v>
      </c>
      <c r="B54" s="620"/>
      <c r="C54" s="346"/>
      <c r="D54" s="80"/>
      <c r="E54" s="349"/>
      <c r="F54" s="349"/>
      <c r="G54" s="243">
        <f t="shared" si="10"/>
        <v>0</v>
      </c>
      <c r="H54" s="348"/>
      <c r="I54" s="34"/>
      <c r="J54" s="34"/>
      <c r="K54" s="76">
        <v>46313</v>
      </c>
      <c r="L54" s="93"/>
      <c r="M54" s="93"/>
      <c r="N54" s="221">
        <f t="shared" si="5"/>
        <v>0</v>
      </c>
      <c r="O54" s="80"/>
      <c r="P54" s="80"/>
      <c r="Q54" s="34"/>
      <c r="R54" s="34"/>
      <c r="S54" s="34"/>
    </row>
    <row r="55" spans="1:19" x14ac:dyDescent="0.3">
      <c r="A55" s="619">
        <v>46314</v>
      </c>
      <c r="B55" s="620"/>
      <c r="C55" s="346"/>
      <c r="D55" s="80"/>
      <c r="E55" s="349"/>
      <c r="F55" s="349"/>
      <c r="G55" s="243">
        <f t="shared" si="10"/>
        <v>0</v>
      </c>
      <c r="H55" s="348"/>
      <c r="I55" s="34"/>
      <c r="J55" s="34"/>
      <c r="K55" s="76">
        <v>46314</v>
      </c>
      <c r="L55" s="93"/>
      <c r="M55" s="93"/>
      <c r="N55" s="221">
        <f t="shared" si="5"/>
        <v>0</v>
      </c>
      <c r="O55" s="80"/>
      <c r="P55" s="80"/>
      <c r="Q55" s="34"/>
      <c r="R55" s="34"/>
      <c r="S55" s="34"/>
    </row>
    <row r="56" spans="1:19" x14ac:dyDescent="0.3">
      <c r="A56" s="619">
        <v>46315</v>
      </c>
      <c r="B56" s="620"/>
      <c r="C56" s="346"/>
      <c r="D56" s="80"/>
      <c r="E56" s="349"/>
      <c r="F56" s="349"/>
      <c r="G56" s="243">
        <f t="shared" si="10"/>
        <v>0</v>
      </c>
      <c r="H56" s="348"/>
      <c r="I56" s="34"/>
      <c r="J56" s="34"/>
      <c r="K56" s="76">
        <v>46315</v>
      </c>
      <c r="L56" s="93"/>
      <c r="M56" s="93"/>
      <c r="N56" s="221">
        <f t="shared" si="5"/>
        <v>0</v>
      </c>
      <c r="O56" s="80"/>
      <c r="P56" s="80"/>
      <c r="Q56" s="34"/>
      <c r="R56" s="34"/>
      <c r="S56" s="34"/>
    </row>
    <row r="57" spans="1:19" x14ac:dyDescent="0.3">
      <c r="A57" s="619">
        <v>46316</v>
      </c>
      <c r="B57" s="620"/>
      <c r="C57" s="346"/>
      <c r="D57" s="80"/>
      <c r="E57" s="349"/>
      <c r="F57" s="349"/>
      <c r="G57" s="243">
        <f t="shared" si="10"/>
        <v>0</v>
      </c>
      <c r="H57" s="348"/>
      <c r="I57" s="34"/>
      <c r="J57" s="34"/>
      <c r="K57" s="76">
        <v>46316</v>
      </c>
      <c r="L57" s="93"/>
      <c r="M57" s="93"/>
      <c r="N57" s="221">
        <f t="shared" si="5"/>
        <v>0</v>
      </c>
      <c r="O57" s="80"/>
      <c r="P57" s="80"/>
      <c r="Q57" s="34"/>
      <c r="R57" s="34"/>
      <c r="S57" s="34"/>
    </row>
    <row r="58" spans="1:19" x14ac:dyDescent="0.3">
      <c r="A58" s="619">
        <v>46317</v>
      </c>
      <c r="B58" s="620"/>
      <c r="C58" s="346"/>
      <c r="D58" s="80"/>
      <c r="E58" s="349"/>
      <c r="F58" s="349"/>
      <c r="G58" s="243">
        <f t="shared" si="10"/>
        <v>0</v>
      </c>
      <c r="H58" s="348"/>
      <c r="I58" s="34"/>
      <c r="J58" s="34"/>
      <c r="K58" s="76"/>
      <c r="L58" s="355">
        <f>SUM(L5:L28)</f>
        <v>3692</v>
      </c>
      <c r="M58" s="355">
        <f>SUM(M5:M28)</f>
        <v>490.4666666666667</v>
      </c>
      <c r="N58" s="356">
        <f>AVERAGE(N5:N28)</f>
        <v>0.88852657004830915</v>
      </c>
      <c r="O58" s="93">
        <f>SUM(O5:O57)</f>
        <v>61.533333333333324</v>
      </c>
      <c r="P58" s="80"/>
      <c r="Q58" s="34"/>
      <c r="R58" s="34"/>
      <c r="S58" s="34"/>
    </row>
    <row r="59" spans="1:19" x14ac:dyDescent="0.3">
      <c r="A59" s="619">
        <v>46318</v>
      </c>
      <c r="B59" s="620"/>
      <c r="C59" s="346"/>
      <c r="D59" s="80"/>
      <c r="E59" s="349"/>
      <c r="F59" s="349"/>
      <c r="G59" s="243">
        <f t="shared" si="10"/>
        <v>0</v>
      </c>
      <c r="H59" s="348"/>
      <c r="I59" s="34"/>
      <c r="J59" s="34"/>
      <c r="K59" s="76"/>
      <c r="L59" s="357">
        <f>L58/60</f>
        <v>61.533333333333331</v>
      </c>
      <c r="M59" s="204">
        <f>M58/24</f>
        <v>20.436111111111114</v>
      </c>
      <c r="N59" s="172"/>
      <c r="O59" s="203">
        <f>O58/24</f>
        <v>2.5638888888888887</v>
      </c>
      <c r="P59" s="34"/>
      <c r="Q59" s="34"/>
      <c r="R59" s="34"/>
      <c r="S59" s="34"/>
    </row>
    <row r="60" spans="1:19" x14ac:dyDescent="0.3">
      <c r="A60" s="619">
        <v>46319</v>
      </c>
      <c r="B60" s="620"/>
      <c r="C60" s="346"/>
      <c r="D60" s="80"/>
      <c r="E60" s="349"/>
      <c r="F60" s="349"/>
      <c r="G60" s="243">
        <f t="shared" si="10"/>
        <v>0</v>
      </c>
      <c r="H60" s="348"/>
      <c r="I60" s="34"/>
      <c r="J60" s="34"/>
      <c r="K60" s="34"/>
      <c r="L60" s="34"/>
      <c r="M60" s="204">
        <f>M59+O59</f>
        <v>23.000000000000004</v>
      </c>
      <c r="N60" s="34"/>
      <c r="O60" s="34"/>
      <c r="P60" s="34"/>
      <c r="Q60" s="34"/>
      <c r="R60" s="34"/>
      <c r="S60" s="34"/>
    </row>
    <row r="61" spans="1:19" x14ac:dyDescent="0.3">
      <c r="A61" s="619">
        <v>46320</v>
      </c>
      <c r="B61" s="620"/>
      <c r="C61" s="346"/>
      <c r="D61" s="80"/>
      <c r="E61" s="349"/>
      <c r="F61" s="349"/>
      <c r="G61" s="243">
        <f t="shared" si="10"/>
        <v>0</v>
      </c>
      <c r="H61" s="348"/>
      <c r="I61" s="34"/>
      <c r="J61" s="34"/>
      <c r="K61" s="34"/>
      <c r="L61" s="34"/>
      <c r="M61" s="34"/>
      <c r="N61" s="203">
        <f>'Au Cal Leaching Tank'!K61/238</f>
        <v>4.0918581932773108</v>
      </c>
      <c r="O61" s="34"/>
      <c r="P61" s="34"/>
      <c r="Q61" s="34"/>
      <c r="R61" s="34"/>
      <c r="S61" s="34"/>
    </row>
    <row r="62" spans="1:19" x14ac:dyDescent="0.3">
      <c r="A62" s="619">
        <v>46321</v>
      </c>
      <c r="B62" s="620"/>
      <c r="C62" s="346"/>
      <c r="D62" s="80"/>
      <c r="E62" s="349"/>
      <c r="F62" s="349"/>
      <c r="G62" s="243">
        <f t="shared" si="10"/>
        <v>0</v>
      </c>
      <c r="H62" s="348"/>
      <c r="I62" s="34"/>
      <c r="J62" s="34"/>
      <c r="K62" s="34"/>
      <c r="L62" s="34"/>
      <c r="M62" s="34"/>
      <c r="N62" s="161">
        <f>N61*234</f>
        <v>957.49481722689075</v>
      </c>
      <c r="O62" s="34"/>
      <c r="P62" s="34"/>
      <c r="Q62" s="34"/>
      <c r="R62" s="34"/>
      <c r="S62" s="34"/>
    </row>
    <row r="63" spans="1:19" x14ac:dyDescent="0.3">
      <c r="A63" s="619">
        <v>46322</v>
      </c>
      <c r="B63" s="620"/>
      <c r="C63" s="346"/>
      <c r="D63" s="80"/>
      <c r="E63" s="349"/>
      <c r="F63" s="349"/>
      <c r="G63" s="243">
        <f t="shared" si="10"/>
        <v>0</v>
      </c>
      <c r="H63" s="348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</row>
    <row r="66" spans="13:13" x14ac:dyDescent="0.3">
      <c r="M66" s="7"/>
    </row>
  </sheetData>
  <mergeCells count="61">
    <mergeCell ref="A16:B16"/>
    <mergeCell ref="A62:B62"/>
    <mergeCell ref="A63:B63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2:B42"/>
    <mergeCell ref="A43:B43"/>
    <mergeCell ref="A45:B45"/>
    <mergeCell ref="A44:B44"/>
    <mergeCell ref="A35:B35"/>
    <mergeCell ref="A36:B36"/>
    <mergeCell ref="A40:B40"/>
    <mergeCell ref="A41:B41"/>
    <mergeCell ref="A39:B39"/>
    <mergeCell ref="A37:B37"/>
    <mergeCell ref="A38:B38"/>
    <mergeCell ref="A15:B15"/>
    <mergeCell ref="A9:B9"/>
    <mergeCell ref="A10:B10"/>
    <mergeCell ref="A11:B11"/>
    <mergeCell ref="A12:B12"/>
    <mergeCell ref="A29:B29"/>
    <mergeCell ref="A30:B30"/>
    <mergeCell ref="A31:B31"/>
    <mergeCell ref="A32:B32"/>
    <mergeCell ref="A17:B17"/>
    <mergeCell ref="A18:B18"/>
    <mergeCell ref="A19:B19"/>
    <mergeCell ref="A20:B20"/>
    <mergeCell ref="A21:B21"/>
    <mergeCell ref="A22:B22"/>
    <mergeCell ref="A3:H3"/>
    <mergeCell ref="A5:B5"/>
    <mergeCell ref="A6:B6"/>
    <mergeCell ref="A7:B7"/>
    <mergeCell ref="A8:B8"/>
    <mergeCell ref="A4:B4"/>
    <mergeCell ref="A49:B49"/>
    <mergeCell ref="A50:B50"/>
    <mergeCell ref="A51:B51"/>
    <mergeCell ref="A13:B13"/>
    <mergeCell ref="A14:B14"/>
    <mergeCell ref="A46:B46"/>
    <mergeCell ref="A47:B47"/>
    <mergeCell ref="A48:B48"/>
    <mergeCell ref="A33:B33"/>
    <mergeCell ref="A34:B34"/>
    <mergeCell ref="A23:B23"/>
    <mergeCell ref="A24:B24"/>
    <mergeCell ref="A25:B25"/>
    <mergeCell ref="A26:B26"/>
    <mergeCell ref="A27:B27"/>
    <mergeCell ref="A28:B28"/>
  </mergeCells>
  <dataValidations count="1">
    <dataValidation type="list" allowBlank="1" showInputMessage="1" showErrorMessage="1" sqref="C5:C63" xr:uid="{00000000-0002-0000-0B00-000000000000}">
      <formula1>$I$5:$I$6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8AE4B"/>
  </sheetPr>
  <dimension ref="A1:T30"/>
  <sheetViews>
    <sheetView showGridLines="0" workbookViewId="0"/>
  </sheetViews>
  <sheetFormatPr defaultRowHeight="14.4" x14ac:dyDescent="0.3"/>
  <cols>
    <col min="1" max="2" width="8.88671875" style="1"/>
    <col min="3" max="3" width="10.5546875" style="1" customWidth="1"/>
    <col min="4" max="6" width="8.88671875" style="1"/>
    <col min="7" max="7" width="13.5546875" style="1" customWidth="1"/>
    <col min="8" max="9" width="10.44140625" style="1" customWidth="1"/>
    <col min="10" max="10" width="8.88671875" style="1"/>
    <col min="11" max="11" width="12.33203125" style="1" customWidth="1"/>
    <col min="12" max="14" width="8.88671875" style="1"/>
    <col min="15" max="15" width="12.21875" style="1" customWidth="1"/>
    <col min="16" max="16" width="12.88671875" style="1" customWidth="1"/>
    <col min="17" max="17" width="10.5546875" style="1" customWidth="1"/>
    <col min="18" max="16384" width="8.88671875" style="1"/>
  </cols>
  <sheetData>
    <row r="1" spans="1:20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ht="22.05" customHeight="1" x14ac:dyDescent="0.3">
      <c r="A3" s="34"/>
      <c r="B3" s="532" t="s">
        <v>72</v>
      </c>
      <c r="C3" s="532" t="s">
        <v>457</v>
      </c>
      <c r="D3" s="532" t="s">
        <v>179</v>
      </c>
      <c r="E3" s="370" t="s">
        <v>266</v>
      </c>
      <c r="F3" s="370" t="s">
        <v>282</v>
      </c>
      <c r="G3" s="532" t="s">
        <v>458</v>
      </c>
      <c r="H3" s="532"/>
      <c r="I3" s="532"/>
      <c r="J3" s="532"/>
      <c r="K3" s="532" t="s">
        <v>255</v>
      </c>
      <c r="L3" s="370"/>
      <c r="M3" s="370"/>
      <c r="N3" s="370"/>
      <c r="O3" s="370"/>
      <c r="P3" s="370"/>
      <c r="Q3" s="370"/>
      <c r="R3" s="370"/>
      <c r="S3" s="370"/>
      <c r="T3" s="370"/>
    </row>
    <row r="4" spans="1:20" ht="24" customHeight="1" x14ac:dyDescent="0.3">
      <c r="A4" s="34"/>
      <c r="B4" s="531"/>
      <c r="C4" s="531"/>
      <c r="D4" s="531"/>
      <c r="E4" s="392" t="s">
        <v>286</v>
      </c>
      <c r="F4" s="392" t="s">
        <v>299</v>
      </c>
      <c r="G4" s="531" t="s">
        <v>296</v>
      </c>
      <c r="H4" s="531"/>
      <c r="I4" s="531"/>
      <c r="J4" s="392" t="s">
        <v>298</v>
      </c>
      <c r="K4" s="531"/>
      <c r="L4" s="392"/>
      <c r="M4" s="392"/>
      <c r="N4" s="392"/>
      <c r="O4" s="371" t="s">
        <v>459</v>
      </c>
      <c r="P4" s="371" t="s">
        <v>255</v>
      </c>
      <c r="Q4" s="431" t="s">
        <v>74</v>
      </c>
      <c r="R4" s="371" t="s">
        <v>307</v>
      </c>
      <c r="S4" s="371" t="s">
        <v>308</v>
      </c>
      <c r="T4" s="371" t="s">
        <v>309</v>
      </c>
    </row>
    <row r="5" spans="1:20" ht="24" customHeight="1" x14ac:dyDescent="0.3">
      <c r="A5" s="34"/>
      <c r="B5" s="535"/>
      <c r="C5" s="535"/>
      <c r="D5" s="535"/>
      <c r="E5" s="371" t="s">
        <v>72</v>
      </c>
      <c r="F5" s="371" t="s">
        <v>72</v>
      </c>
      <c r="G5" s="371" t="s">
        <v>307</v>
      </c>
      <c r="H5" s="371" t="s">
        <v>308</v>
      </c>
      <c r="I5" s="371" t="s">
        <v>309</v>
      </c>
      <c r="J5" s="371" t="s">
        <v>307</v>
      </c>
      <c r="K5" s="581"/>
      <c r="L5" s="34"/>
      <c r="M5" s="34"/>
      <c r="N5" s="34"/>
      <c r="O5" s="86" t="s">
        <v>460</v>
      </c>
      <c r="P5" s="86">
        <v>1</v>
      </c>
      <c r="Q5" s="78">
        <v>46268</v>
      </c>
      <c r="R5" s="86">
        <v>7.8E-2</v>
      </c>
      <c r="S5" s="86">
        <v>0.6</v>
      </c>
      <c r="T5" s="86">
        <v>9.08</v>
      </c>
    </row>
    <row r="6" spans="1:20" x14ac:dyDescent="0.3">
      <c r="A6" s="34"/>
      <c r="B6" s="86">
        <v>1</v>
      </c>
      <c r="C6" s="78">
        <v>46268</v>
      </c>
      <c r="D6" s="86" t="s">
        <v>164</v>
      </c>
      <c r="E6" s="86">
        <v>2</v>
      </c>
      <c r="F6" s="86">
        <v>1</v>
      </c>
      <c r="G6" s="184">
        <f>AVERAGE(R5:R10)</f>
        <v>0.11299999999999999</v>
      </c>
      <c r="H6" s="184">
        <f>AVERAGE(S5:S8)</f>
        <v>0.61749999999999994</v>
      </c>
      <c r="I6" s="184">
        <f t="shared" ref="I6" si="0">AVERAGE(T5:T10)</f>
        <v>8.6916666666666664</v>
      </c>
      <c r="J6" s="86">
        <v>0.02</v>
      </c>
      <c r="K6" s="86">
        <v>1</v>
      </c>
      <c r="L6" s="34"/>
      <c r="M6" s="34"/>
      <c r="N6" s="34"/>
      <c r="O6" s="86" t="s">
        <v>461</v>
      </c>
      <c r="P6" s="86">
        <v>1</v>
      </c>
      <c r="Q6" s="78">
        <v>46268</v>
      </c>
      <c r="R6" s="86">
        <v>0.38</v>
      </c>
      <c r="S6" s="86">
        <v>0.59</v>
      </c>
      <c r="T6" s="86">
        <v>8.7100000000000009</v>
      </c>
    </row>
    <row r="7" spans="1:20" x14ac:dyDescent="0.3">
      <c r="A7" s="34"/>
      <c r="B7" s="86">
        <v>2</v>
      </c>
      <c r="C7" s="78">
        <v>46269</v>
      </c>
      <c r="D7" s="86" t="s">
        <v>164</v>
      </c>
      <c r="E7" s="86">
        <v>3</v>
      </c>
      <c r="F7" s="86">
        <v>2</v>
      </c>
      <c r="G7" s="184">
        <f>AVERAGE(R9:R12)</f>
        <v>5.5749999999999994E-2</v>
      </c>
      <c r="H7" s="184">
        <f t="shared" ref="H7:I7" si="1">AVERAGE(S9:S12)</f>
        <v>0.25</v>
      </c>
      <c r="I7" s="184">
        <f t="shared" si="1"/>
        <v>8.3524999999999991</v>
      </c>
      <c r="J7" s="207">
        <v>2.9000000000000001E-2</v>
      </c>
      <c r="K7" s="86">
        <v>2</v>
      </c>
      <c r="L7" s="34"/>
      <c r="M7" s="34"/>
      <c r="N7" s="34"/>
      <c r="O7" s="86" t="s">
        <v>462</v>
      </c>
      <c r="P7" s="86">
        <v>1</v>
      </c>
      <c r="Q7" s="78">
        <v>46268</v>
      </c>
      <c r="R7" s="86">
        <v>3.7999999999999999E-2</v>
      </c>
      <c r="S7" s="86">
        <v>0.61</v>
      </c>
      <c r="T7" s="86">
        <v>8.8000000000000007</v>
      </c>
    </row>
    <row r="8" spans="1:20" x14ac:dyDescent="0.3">
      <c r="A8" s="34"/>
      <c r="B8" s="86">
        <v>3</v>
      </c>
      <c r="C8" s="76"/>
      <c r="D8" s="86"/>
      <c r="E8" s="86"/>
      <c r="F8" s="86"/>
      <c r="G8" s="86"/>
      <c r="H8" s="86"/>
      <c r="I8" s="86"/>
      <c r="J8" s="80"/>
      <c r="K8" s="86"/>
      <c r="L8" s="34"/>
      <c r="M8" s="34"/>
      <c r="N8" s="34"/>
      <c r="O8" s="86" t="s">
        <v>463</v>
      </c>
      <c r="P8" s="86">
        <v>1</v>
      </c>
      <c r="Q8" s="78">
        <v>46268</v>
      </c>
      <c r="R8" s="86">
        <v>6.9000000000000006E-2</v>
      </c>
      <c r="S8" s="86">
        <v>0.67</v>
      </c>
      <c r="T8" s="86">
        <v>9.18</v>
      </c>
    </row>
    <row r="9" spans="1:20" x14ac:dyDescent="0.3">
      <c r="A9" s="34"/>
      <c r="B9" s="86">
        <v>4</v>
      </c>
      <c r="C9" s="76"/>
      <c r="D9" s="86"/>
      <c r="E9" s="86"/>
      <c r="F9" s="86"/>
      <c r="G9" s="80"/>
      <c r="H9" s="80"/>
      <c r="I9" s="80"/>
      <c r="J9" s="80"/>
      <c r="K9" s="86"/>
      <c r="L9" s="34"/>
      <c r="M9" s="34"/>
      <c r="N9" s="34"/>
      <c r="O9" s="86" t="s">
        <v>460</v>
      </c>
      <c r="P9" s="86">
        <v>2</v>
      </c>
      <c r="Q9" s="78">
        <v>46269</v>
      </c>
      <c r="R9" s="86">
        <v>3.4000000000000002E-2</v>
      </c>
      <c r="S9" s="86">
        <v>0.26</v>
      </c>
      <c r="T9" s="86">
        <v>8.2100000000000009</v>
      </c>
    </row>
    <row r="10" spans="1:20" x14ac:dyDescent="0.3">
      <c r="A10" s="34"/>
      <c r="B10" s="86">
        <v>5</v>
      </c>
      <c r="C10" s="80"/>
      <c r="D10" s="80"/>
      <c r="E10" s="86"/>
      <c r="F10" s="86"/>
      <c r="G10" s="80"/>
      <c r="H10" s="80"/>
      <c r="I10" s="80"/>
      <c r="J10" s="80"/>
      <c r="K10" s="86"/>
      <c r="L10" s="34"/>
      <c r="M10" s="34"/>
      <c r="N10" s="34"/>
      <c r="O10" s="86" t="s">
        <v>461</v>
      </c>
      <c r="P10" s="86">
        <v>2</v>
      </c>
      <c r="Q10" s="78">
        <v>46269</v>
      </c>
      <c r="R10" s="86">
        <v>7.9000000000000001E-2</v>
      </c>
      <c r="S10" s="86">
        <v>0.25</v>
      </c>
      <c r="T10" s="86">
        <v>8.17</v>
      </c>
    </row>
    <row r="11" spans="1:20" x14ac:dyDescent="0.3">
      <c r="A11" s="34"/>
      <c r="B11" s="86">
        <v>6</v>
      </c>
      <c r="C11" s="80"/>
      <c r="D11" s="80"/>
      <c r="E11" s="86"/>
      <c r="F11" s="86"/>
      <c r="G11" s="80"/>
      <c r="H11" s="80"/>
      <c r="I11" s="80"/>
      <c r="J11" s="80"/>
      <c r="K11" s="86"/>
      <c r="L11" s="34"/>
      <c r="M11" s="34"/>
      <c r="N11" s="34"/>
      <c r="O11" s="86" t="s">
        <v>462</v>
      </c>
      <c r="P11" s="86">
        <v>2</v>
      </c>
      <c r="Q11" s="78">
        <v>46269</v>
      </c>
      <c r="R11" s="86">
        <v>3.6999999999999998E-2</v>
      </c>
      <c r="S11" s="86">
        <v>0.25</v>
      </c>
      <c r="T11" s="86">
        <v>8.8699999999999992</v>
      </c>
    </row>
    <row r="12" spans="1:20" x14ac:dyDescent="0.3">
      <c r="A12" s="34"/>
      <c r="B12" s="86">
        <v>7</v>
      </c>
      <c r="C12" s="76"/>
      <c r="D12" s="80"/>
      <c r="E12" s="86"/>
      <c r="F12" s="86"/>
      <c r="G12" s="232"/>
      <c r="H12" s="232"/>
      <c r="I12" s="232"/>
      <c r="J12" s="80"/>
      <c r="K12" s="86"/>
      <c r="L12" s="34"/>
      <c r="M12" s="34"/>
      <c r="N12" s="34"/>
      <c r="O12" s="86" t="s">
        <v>463</v>
      </c>
      <c r="P12" s="86">
        <v>2</v>
      </c>
      <c r="Q12" s="78">
        <v>46269</v>
      </c>
      <c r="R12" s="86">
        <v>7.2999999999999995E-2</v>
      </c>
      <c r="S12" s="86">
        <v>0.24</v>
      </c>
      <c r="T12" s="86">
        <v>8.16</v>
      </c>
    </row>
    <row r="13" spans="1:20" x14ac:dyDescent="0.3">
      <c r="A13" s="34"/>
      <c r="B13" s="86">
        <v>8</v>
      </c>
      <c r="C13" s="76"/>
      <c r="D13" s="80"/>
      <c r="E13" s="86"/>
      <c r="F13" s="86"/>
      <c r="G13" s="232"/>
      <c r="H13" s="232"/>
      <c r="I13" s="232"/>
      <c r="J13" s="80"/>
      <c r="K13" s="86"/>
      <c r="L13" s="34"/>
      <c r="M13" s="34"/>
      <c r="N13" s="34"/>
      <c r="O13" s="86"/>
      <c r="P13" s="86"/>
      <c r="Q13" s="78"/>
      <c r="R13" s="86"/>
      <c r="S13" s="86"/>
      <c r="T13" s="86"/>
    </row>
    <row r="14" spans="1:20" x14ac:dyDescent="0.3">
      <c r="A14" s="34"/>
      <c r="B14" s="86">
        <v>9</v>
      </c>
      <c r="C14" s="76"/>
      <c r="D14" s="80"/>
      <c r="E14" s="86"/>
      <c r="F14" s="86"/>
      <c r="G14" s="232"/>
      <c r="H14" s="232"/>
      <c r="I14" s="232"/>
      <c r="J14" s="80"/>
      <c r="K14" s="86"/>
      <c r="L14" s="34"/>
      <c r="M14" s="34"/>
      <c r="N14" s="34"/>
      <c r="O14" s="86"/>
      <c r="P14" s="86"/>
      <c r="Q14" s="78"/>
      <c r="R14" s="86"/>
      <c r="S14" s="86"/>
      <c r="T14" s="86"/>
    </row>
    <row r="15" spans="1:20" x14ac:dyDescent="0.3">
      <c r="A15" s="34"/>
      <c r="B15" s="86">
        <v>10</v>
      </c>
      <c r="C15" s="76"/>
      <c r="D15" s="80"/>
      <c r="E15" s="86"/>
      <c r="F15" s="86"/>
      <c r="G15" s="232"/>
      <c r="H15" s="232"/>
      <c r="I15" s="232"/>
      <c r="J15" s="80"/>
      <c r="K15" s="86"/>
      <c r="L15" s="34"/>
      <c r="M15" s="34"/>
      <c r="N15" s="34"/>
      <c r="O15" s="86"/>
      <c r="P15" s="86"/>
      <c r="Q15" s="78"/>
      <c r="R15" s="86"/>
      <c r="S15" s="86"/>
      <c r="T15" s="86"/>
    </row>
    <row r="16" spans="1:20" x14ac:dyDescent="0.3">
      <c r="A16" s="34"/>
      <c r="B16" s="86">
        <v>11</v>
      </c>
      <c r="C16" s="76"/>
      <c r="D16" s="80"/>
      <c r="E16" s="86"/>
      <c r="F16" s="86"/>
      <c r="G16" s="232"/>
      <c r="H16" s="232"/>
      <c r="I16" s="232"/>
      <c r="J16" s="80"/>
      <c r="K16" s="86"/>
      <c r="L16" s="34"/>
      <c r="M16" s="34"/>
      <c r="N16" s="34"/>
      <c r="O16" s="86"/>
      <c r="P16" s="86"/>
      <c r="Q16" s="78"/>
      <c r="R16" s="86"/>
      <c r="S16" s="86"/>
      <c r="T16" s="86"/>
    </row>
    <row r="17" spans="1:20" x14ac:dyDescent="0.3">
      <c r="A17" s="34"/>
      <c r="B17" s="86">
        <v>12</v>
      </c>
      <c r="C17" s="76"/>
      <c r="D17" s="80"/>
      <c r="E17" s="80"/>
      <c r="F17" s="80"/>
      <c r="G17" s="80"/>
      <c r="H17" s="80"/>
      <c r="I17" s="80"/>
      <c r="J17" s="80"/>
      <c r="K17" s="86"/>
      <c r="L17" s="34"/>
      <c r="M17" s="34"/>
      <c r="N17" s="34"/>
      <c r="O17" s="86"/>
      <c r="P17" s="86"/>
      <c r="Q17" s="78"/>
      <c r="R17" s="86"/>
      <c r="S17" s="86"/>
      <c r="T17" s="86"/>
    </row>
    <row r="18" spans="1:20" x14ac:dyDescent="0.3">
      <c r="A18" s="34"/>
      <c r="B18" s="86">
        <v>13</v>
      </c>
      <c r="C18" s="76"/>
      <c r="D18" s="80"/>
      <c r="E18" s="80"/>
      <c r="F18" s="80"/>
      <c r="G18" s="80"/>
      <c r="H18" s="80"/>
      <c r="I18" s="80"/>
      <c r="J18" s="80"/>
      <c r="K18" s="86"/>
      <c r="L18" s="34"/>
      <c r="M18" s="34"/>
      <c r="N18" s="34"/>
      <c r="O18" s="86"/>
      <c r="P18" s="86"/>
      <c r="Q18" s="78"/>
      <c r="R18" s="86"/>
      <c r="S18" s="86"/>
      <c r="T18" s="86"/>
    </row>
    <row r="19" spans="1:20" x14ac:dyDescent="0.3">
      <c r="A19" s="34"/>
      <c r="B19" s="86">
        <v>14</v>
      </c>
      <c r="C19" s="76"/>
      <c r="D19" s="80"/>
      <c r="E19" s="80"/>
      <c r="F19" s="80"/>
      <c r="G19" s="80"/>
      <c r="H19" s="80"/>
      <c r="I19" s="80"/>
      <c r="J19" s="80"/>
      <c r="K19" s="86"/>
      <c r="L19" s="34"/>
      <c r="M19" s="34"/>
      <c r="N19" s="34"/>
      <c r="O19" s="86"/>
      <c r="P19" s="86"/>
      <c r="Q19" s="78"/>
      <c r="R19" s="86"/>
      <c r="S19" s="86"/>
      <c r="T19" s="86"/>
    </row>
    <row r="20" spans="1:20" x14ac:dyDescent="0.3">
      <c r="A20" s="34"/>
      <c r="B20" s="86">
        <v>15</v>
      </c>
      <c r="C20" s="76"/>
      <c r="D20" s="80"/>
      <c r="E20" s="80"/>
      <c r="F20" s="80"/>
      <c r="G20" s="80"/>
      <c r="H20" s="80"/>
      <c r="I20" s="80"/>
      <c r="J20" s="80"/>
      <c r="K20" s="86"/>
      <c r="L20" s="34"/>
      <c r="M20" s="34"/>
      <c r="N20" s="34"/>
      <c r="O20" s="86"/>
      <c r="P20" s="86"/>
      <c r="Q20" s="78"/>
      <c r="R20" s="86"/>
      <c r="S20" s="86"/>
      <c r="T20" s="86"/>
    </row>
    <row r="21" spans="1:20" x14ac:dyDescent="0.3">
      <c r="A21" s="34"/>
      <c r="B21" s="86">
        <v>16</v>
      </c>
      <c r="C21" s="80"/>
      <c r="D21" s="80"/>
      <c r="E21" s="80"/>
      <c r="F21" s="80"/>
      <c r="G21" s="80"/>
      <c r="H21" s="80"/>
      <c r="I21" s="80"/>
      <c r="J21" s="80"/>
      <c r="K21" s="86"/>
      <c r="L21" s="34"/>
      <c r="M21" s="34"/>
      <c r="N21" s="34"/>
      <c r="O21" s="86"/>
      <c r="P21" s="86"/>
      <c r="Q21" s="78"/>
      <c r="R21" s="86"/>
      <c r="S21" s="86"/>
      <c r="T21" s="86"/>
    </row>
    <row r="22" spans="1:20" x14ac:dyDescent="0.3">
      <c r="A22" s="34"/>
      <c r="B22" s="86">
        <v>17</v>
      </c>
      <c r="C22" s="80"/>
      <c r="D22" s="80"/>
      <c r="E22" s="80"/>
      <c r="F22" s="80"/>
      <c r="G22" s="80"/>
      <c r="H22" s="80"/>
      <c r="I22" s="80"/>
      <c r="J22" s="80"/>
      <c r="K22" s="86"/>
      <c r="L22" s="34"/>
      <c r="M22" s="34"/>
      <c r="N22" s="34"/>
      <c r="O22" s="86"/>
      <c r="P22" s="86"/>
      <c r="Q22" s="78"/>
      <c r="R22" s="86"/>
      <c r="S22" s="86"/>
      <c r="T22" s="86"/>
    </row>
    <row r="23" spans="1:20" x14ac:dyDescent="0.3">
      <c r="A23" s="34"/>
      <c r="B23" s="86">
        <v>18</v>
      </c>
      <c r="C23" s="80"/>
      <c r="D23" s="80"/>
      <c r="E23" s="80"/>
      <c r="F23" s="80"/>
      <c r="G23" s="80"/>
      <c r="H23" s="80"/>
      <c r="I23" s="80"/>
      <c r="J23" s="80"/>
      <c r="K23" s="86"/>
      <c r="L23" s="34"/>
      <c r="M23" s="34"/>
      <c r="N23" s="34"/>
      <c r="O23" s="86"/>
      <c r="P23" s="86"/>
      <c r="Q23" s="78"/>
      <c r="R23" s="86"/>
      <c r="S23" s="86"/>
      <c r="T23" s="86"/>
    </row>
    <row r="24" spans="1:20" x14ac:dyDescent="0.3">
      <c r="A24" s="34"/>
      <c r="B24" s="86">
        <v>19</v>
      </c>
      <c r="C24" s="80"/>
      <c r="D24" s="80"/>
      <c r="E24" s="80"/>
      <c r="F24" s="80"/>
      <c r="G24" s="80"/>
      <c r="H24" s="80"/>
      <c r="I24" s="80"/>
      <c r="J24" s="80"/>
      <c r="K24" s="86"/>
      <c r="L24" s="34"/>
      <c r="M24" s="34"/>
      <c r="N24" s="34"/>
      <c r="O24" s="86"/>
      <c r="P24" s="86"/>
      <c r="Q24" s="78"/>
      <c r="R24" s="86"/>
      <c r="S24" s="86"/>
      <c r="T24" s="86"/>
    </row>
    <row r="25" spans="1:20" x14ac:dyDescent="0.3">
      <c r="O25" s="6"/>
      <c r="P25" s="6"/>
      <c r="Q25" s="9"/>
      <c r="R25" s="6"/>
      <c r="S25" s="6"/>
      <c r="T25" s="6"/>
    </row>
    <row r="26" spans="1:20" x14ac:dyDescent="0.3">
      <c r="O26" s="6"/>
      <c r="P26" s="6"/>
      <c r="Q26" s="9"/>
      <c r="R26" s="6"/>
      <c r="S26" s="6"/>
      <c r="T26" s="6"/>
    </row>
    <row r="27" spans="1:20" x14ac:dyDescent="0.3">
      <c r="O27" s="6"/>
      <c r="P27" s="6"/>
      <c r="Q27" s="9"/>
      <c r="R27" s="6"/>
      <c r="S27" s="6"/>
      <c r="T27" s="6"/>
    </row>
    <row r="28" spans="1:20" x14ac:dyDescent="0.3">
      <c r="O28" s="6"/>
      <c r="P28" s="6"/>
      <c r="Q28" s="9"/>
      <c r="R28" s="6"/>
      <c r="S28" s="6"/>
      <c r="T28" s="6"/>
    </row>
    <row r="29" spans="1:20" x14ac:dyDescent="0.3">
      <c r="O29" s="6"/>
      <c r="P29" s="6"/>
      <c r="Q29" s="9"/>
      <c r="R29" s="6"/>
      <c r="S29" s="6"/>
      <c r="T29" s="6"/>
    </row>
    <row r="30" spans="1:20" x14ac:dyDescent="0.3">
      <c r="O30" s="6"/>
      <c r="P30" s="6"/>
      <c r="Q30" s="9"/>
      <c r="R30" s="6"/>
      <c r="S30" s="6"/>
      <c r="T30" s="6"/>
    </row>
  </sheetData>
  <mergeCells count="6">
    <mergeCell ref="K3:K5"/>
    <mergeCell ref="B3:B5"/>
    <mergeCell ref="C3:C5"/>
    <mergeCell ref="D3:D5"/>
    <mergeCell ref="G3:J3"/>
    <mergeCell ref="G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65E3C"/>
  </sheetPr>
  <dimension ref="A1:R62"/>
  <sheetViews>
    <sheetView showGridLines="0" workbookViewId="0"/>
  </sheetViews>
  <sheetFormatPr defaultColWidth="8.77734375" defaultRowHeight="14.4" x14ac:dyDescent="0.3"/>
  <cols>
    <col min="1" max="3" width="8.77734375" style="1"/>
    <col min="4" max="4" width="9.77734375" style="1" customWidth="1"/>
    <col min="5" max="5" width="10" style="1" customWidth="1"/>
    <col min="6" max="6" width="17.44140625" style="1" customWidth="1"/>
    <col min="7" max="7" width="42" style="1" customWidth="1"/>
    <col min="8" max="9" width="8.77734375" style="1"/>
    <col min="10" max="10" width="10.77734375" style="1" customWidth="1"/>
    <col min="11" max="11" width="22.44140625" style="1" customWidth="1"/>
    <col min="12" max="12" width="17.21875" style="1" customWidth="1"/>
    <col min="13" max="13" width="13.5546875" style="1" customWidth="1"/>
    <col min="14" max="16384" width="8.77734375" style="1"/>
  </cols>
  <sheetData>
    <row r="1" spans="1:18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x14ac:dyDescent="0.3">
      <c r="A2" s="34"/>
      <c r="B2" s="34"/>
      <c r="C2" s="34"/>
      <c r="D2" s="34"/>
      <c r="E2" s="34"/>
      <c r="F2" s="34"/>
      <c r="G2" s="34"/>
      <c r="H2" s="34"/>
      <c r="I2" s="161">
        <f>60*24</f>
        <v>1440</v>
      </c>
      <c r="J2" s="34"/>
      <c r="K2" s="34"/>
      <c r="L2" s="34"/>
      <c r="M2" s="34"/>
      <c r="N2" s="34"/>
      <c r="O2" s="34"/>
      <c r="P2" s="34"/>
      <c r="Q2" s="34"/>
      <c r="R2" s="34"/>
    </row>
    <row r="3" spans="1:18" ht="22.05" customHeight="1" x14ac:dyDescent="0.3">
      <c r="A3" s="532" t="s">
        <v>464</v>
      </c>
      <c r="B3" s="532"/>
      <c r="C3" s="532"/>
      <c r="D3" s="532"/>
      <c r="E3" s="532"/>
      <c r="F3" s="532"/>
      <c r="G3" s="532"/>
      <c r="H3" s="370"/>
      <c r="I3" s="370">
        <f>I2/2</f>
        <v>720</v>
      </c>
      <c r="J3" s="370"/>
      <c r="K3" s="370"/>
      <c r="L3" s="370"/>
      <c r="M3" s="370"/>
      <c r="N3" s="370"/>
      <c r="O3" s="370"/>
      <c r="P3" s="370"/>
      <c r="Q3" s="370"/>
      <c r="R3" s="370"/>
    </row>
    <row r="4" spans="1:18" ht="24" customHeight="1" x14ac:dyDescent="0.3">
      <c r="A4" s="535" t="s">
        <v>74</v>
      </c>
      <c r="B4" s="535"/>
      <c r="C4" s="371" t="s">
        <v>143</v>
      </c>
      <c r="D4" s="371" t="s">
        <v>414</v>
      </c>
      <c r="E4" s="371" t="s">
        <v>415</v>
      </c>
      <c r="F4" s="371" t="s">
        <v>416</v>
      </c>
      <c r="G4" s="371" t="s">
        <v>417</v>
      </c>
      <c r="H4" s="34"/>
      <c r="I4" s="34"/>
      <c r="J4" s="371" t="s">
        <v>74</v>
      </c>
      <c r="K4" s="371" t="s">
        <v>418</v>
      </c>
      <c r="L4" s="371" t="s">
        <v>441</v>
      </c>
      <c r="M4" s="371" t="s">
        <v>442</v>
      </c>
      <c r="N4" s="371" t="s">
        <v>465</v>
      </c>
      <c r="O4" s="34"/>
      <c r="P4" s="34"/>
      <c r="Q4" s="34"/>
      <c r="R4" s="34"/>
    </row>
    <row r="5" spans="1:18" x14ac:dyDescent="0.3">
      <c r="A5" s="619">
        <v>46268</v>
      </c>
      <c r="B5" s="620"/>
      <c r="C5" s="317" t="s">
        <v>199</v>
      </c>
      <c r="D5" s="347">
        <v>6.9444444444444447E-4</v>
      </c>
      <c r="E5" s="347">
        <v>0.44444444444444442</v>
      </c>
      <c r="F5" s="243">
        <f>(E5-D5)*720</f>
        <v>319.5</v>
      </c>
      <c r="G5" s="430" t="s">
        <v>466</v>
      </c>
      <c r="H5" s="34"/>
      <c r="I5" s="34"/>
      <c r="J5" s="76">
        <v>46142</v>
      </c>
      <c r="K5" s="93">
        <f>F5</f>
        <v>319.5</v>
      </c>
      <c r="L5" s="93">
        <f>(720-K5)/60</f>
        <v>6.6749999999999998</v>
      </c>
      <c r="M5" s="221">
        <f>L5/12</f>
        <v>0.55625000000000002</v>
      </c>
      <c r="N5" s="161" t="s">
        <v>467</v>
      </c>
      <c r="O5" s="34"/>
      <c r="P5" s="34"/>
      <c r="Q5" s="34"/>
      <c r="R5" s="34"/>
    </row>
    <row r="6" spans="1:18" x14ac:dyDescent="0.3">
      <c r="A6" s="619">
        <v>46269</v>
      </c>
      <c r="B6" s="620"/>
      <c r="C6" s="80"/>
      <c r="D6" s="347">
        <v>6.9444444444444447E-4</v>
      </c>
      <c r="E6" s="347">
        <v>2.9166666666666667E-2</v>
      </c>
      <c r="F6" s="243">
        <f>(E6-D6)*720</f>
        <v>20.5</v>
      </c>
      <c r="G6" s="180" t="s">
        <v>468</v>
      </c>
      <c r="H6" s="34"/>
      <c r="I6" s="34"/>
      <c r="J6" s="76">
        <v>46143</v>
      </c>
      <c r="K6" s="93">
        <f t="shared" ref="K6:K32" si="0">F6</f>
        <v>20.5</v>
      </c>
      <c r="L6" s="93">
        <f>(720-K6)/60</f>
        <v>11.658333333333333</v>
      </c>
      <c r="M6" s="221">
        <f>L6/12</f>
        <v>0.97152777777777777</v>
      </c>
      <c r="N6" s="34"/>
      <c r="O6" s="34"/>
      <c r="P6" s="34"/>
      <c r="Q6" s="34"/>
      <c r="R6" s="34"/>
    </row>
    <row r="7" spans="1:18" x14ac:dyDescent="0.3">
      <c r="A7" s="619">
        <v>46270</v>
      </c>
      <c r="B7" s="620"/>
      <c r="C7" s="80"/>
      <c r="D7" s="347"/>
      <c r="E7" s="347"/>
      <c r="F7" s="243"/>
      <c r="G7" s="180"/>
      <c r="H7" s="34"/>
      <c r="I7" s="34"/>
      <c r="J7" s="76">
        <v>46144</v>
      </c>
      <c r="K7" s="80">
        <f t="shared" si="0"/>
        <v>0</v>
      </c>
      <c r="L7" s="93">
        <f t="shared" ref="L7:L37" si="1">(1440-K7)/60</f>
        <v>24</v>
      </c>
      <c r="M7" s="221">
        <f t="shared" ref="M7:M32" si="2">L7/24</f>
        <v>1</v>
      </c>
      <c r="N7" s="34"/>
      <c r="O7" s="34"/>
      <c r="P7" s="34"/>
      <c r="Q7" s="34"/>
      <c r="R7" s="34"/>
    </row>
    <row r="8" spans="1:18" x14ac:dyDescent="0.3">
      <c r="A8" s="619">
        <v>46271</v>
      </c>
      <c r="B8" s="620"/>
      <c r="C8" s="80"/>
      <c r="D8" s="347"/>
      <c r="E8" s="347"/>
      <c r="F8" s="243"/>
      <c r="G8" s="180"/>
      <c r="H8" s="34"/>
      <c r="I8" s="34"/>
      <c r="J8" s="76">
        <v>46145</v>
      </c>
      <c r="K8" s="80">
        <f t="shared" si="0"/>
        <v>0</v>
      </c>
      <c r="L8" s="93">
        <f t="shared" si="1"/>
        <v>24</v>
      </c>
      <c r="M8" s="221">
        <f t="shared" si="2"/>
        <v>1</v>
      </c>
      <c r="N8" s="34"/>
      <c r="O8" s="34"/>
      <c r="P8" s="34"/>
      <c r="Q8" s="34"/>
      <c r="R8" s="34"/>
    </row>
    <row r="9" spans="1:18" x14ac:dyDescent="0.3">
      <c r="A9" s="619">
        <v>46272</v>
      </c>
      <c r="B9" s="620"/>
      <c r="C9" s="80"/>
      <c r="D9" s="347"/>
      <c r="E9" s="347"/>
      <c r="F9" s="243"/>
      <c r="G9" s="180"/>
      <c r="H9" s="34"/>
      <c r="I9" s="34"/>
      <c r="J9" s="76">
        <v>46146</v>
      </c>
      <c r="K9" s="80">
        <f t="shared" si="0"/>
        <v>0</v>
      </c>
      <c r="L9" s="93">
        <f t="shared" si="1"/>
        <v>24</v>
      </c>
      <c r="M9" s="221">
        <f t="shared" si="2"/>
        <v>1</v>
      </c>
      <c r="N9" s="34"/>
      <c r="O9" s="34"/>
      <c r="P9" s="34"/>
      <c r="Q9" s="34"/>
      <c r="R9" s="34"/>
    </row>
    <row r="10" spans="1:18" x14ac:dyDescent="0.3">
      <c r="A10" s="619">
        <v>46273</v>
      </c>
      <c r="B10" s="620"/>
      <c r="C10" s="80"/>
      <c r="D10" s="347"/>
      <c r="E10" s="347"/>
      <c r="F10" s="243"/>
      <c r="G10" s="180"/>
      <c r="H10" s="34"/>
      <c r="I10" s="34"/>
      <c r="J10" s="76">
        <v>46147</v>
      </c>
      <c r="K10" s="80">
        <f t="shared" si="0"/>
        <v>0</v>
      </c>
      <c r="L10" s="93">
        <f t="shared" si="1"/>
        <v>24</v>
      </c>
      <c r="M10" s="221">
        <f t="shared" si="2"/>
        <v>1</v>
      </c>
      <c r="N10" s="34"/>
      <c r="O10" s="34"/>
      <c r="P10" s="34"/>
      <c r="Q10" s="34"/>
      <c r="R10" s="34"/>
    </row>
    <row r="11" spans="1:18" x14ac:dyDescent="0.3">
      <c r="A11" s="619">
        <v>46274</v>
      </c>
      <c r="B11" s="620"/>
      <c r="C11" s="80"/>
      <c r="D11" s="347"/>
      <c r="E11" s="347"/>
      <c r="F11" s="243"/>
      <c r="G11" s="180"/>
      <c r="H11" s="34"/>
      <c r="I11" s="34"/>
      <c r="J11" s="76">
        <v>46148</v>
      </c>
      <c r="K11" s="80">
        <f t="shared" si="0"/>
        <v>0</v>
      </c>
      <c r="L11" s="93">
        <f t="shared" si="1"/>
        <v>24</v>
      </c>
      <c r="M11" s="221">
        <f t="shared" si="2"/>
        <v>1</v>
      </c>
      <c r="N11" s="34"/>
      <c r="O11" s="34"/>
      <c r="P11" s="34"/>
      <c r="Q11" s="34"/>
      <c r="R11" s="34"/>
    </row>
    <row r="12" spans="1:18" x14ac:dyDescent="0.3">
      <c r="A12" s="619">
        <v>46275</v>
      </c>
      <c r="B12" s="620"/>
      <c r="C12" s="80"/>
      <c r="D12" s="347"/>
      <c r="E12" s="347"/>
      <c r="F12" s="243">
        <f t="shared" ref="F12:F44" si="3">(E12-D12)*1440</f>
        <v>0</v>
      </c>
      <c r="G12" s="180"/>
      <c r="H12" s="34"/>
      <c r="I12" s="34"/>
      <c r="J12" s="76">
        <v>46149</v>
      </c>
      <c r="K12" s="80">
        <f t="shared" si="0"/>
        <v>0</v>
      </c>
      <c r="L12" s="80">
        <f t="shared" si="1"/>
        <v>24</v>
      </c>
      <c r="M12" s="221">
        <f t="shared" si="2"/>
        <v>1</v>
      </c>
      <c r="N12" s="34"/>
      <c r="O12" s="34"/>
      <c r="P12" s="34"/>
      <c r="Q12" s="34"/>
      <c r="R12" s="34"/>
    </row>
    <row r="13" spans="1:18" x14ac:dyDescent="0.3">
      <c r="A13" s="619">
        <v>46276</v>
      </c>
      <c r="B13" s="620"/>
      <c r="C13" s="80"/>
      <c r="D13" s="347"/>
      <c r="E13" s="347"/>
      <c r="F13" s="243">
        <f t="shared" si="3"/>
        <v>0</v>
      </c>
      <c r="G13" s="180"/>
      <c r="H13" s="34"/>
      <c r="I13" s="34"/>
      <c r="J13" s="76">
        <v>46150</v>
      </c>
      <c r="K13" s="80">
        <f t="shared" si="0"/>
        <v>0</v>
      </c>
      <c r="L13" s="80">
        <f t="shared" si="1"/>
        <v>24</v>
      </c>
      <c r="M13" s="221">
        <f t="shared" si="2"/>
        <v>1</v>
      </c>
      <c r="N13" s="34"/>
      <c r="O13" s="34"/>
      <c r="P13" s="34"/>
      <c r="Q13" s="34"/>
      <c r="R13" s="34"/>
    </row>
    <row r="14" spans="1:18" x14ac:dyDescent="0.3">
      <c r="A14" s="619">
        <v>46277</v>
      </c>
      <c r="B14" s="620"/>
      <c r="C14" s="80"/>
      <c r="D14" s="347"/>
      <c r="E14" s="347"/>
      <c r="F14" s="243">
        <f t="shared" si="3"/>
        <v>0</v>
      </c>
      <c r="G14" s="180"/>
      <c r="H14" s="34"/>
      <c r="I14" s="34"/>
      <c r="J14" s="76">
        <v>46151</v>
      </c>
      <c r="K14" s="80">
        <f t="shared" si="0"/>
        <v>0</v>
      </c>
      <c r="L14" s="80">
        <f t="shared" si="1"/>
        <v>24</v>
      </c>
      <c r="M14" s="221">
        <f t="shared" si="2"/>
        <v>1</v>
      </c>
      <c r="N14" s="34"/>
      <c r="O14" s="34"/>
      <c r="P14" s="34"/>
      <c r="Q14" s="34"/>
      <c r="R14" s="34"/>
    </row>
    <row r="15" spans="1:18" x14ac:dyDescent="0.3">
      <c r="A15" s="619">
        <v>46278</v>
      </c>
      <c r="B15" s="620"/>
      <c r="C15" s="80"/>
      <c r="D15" s="347"/>
      <c r="E15" s="347"/>
      <c r="F15" s="243">
        <f>(E15-D15)*1440</f>
        <v>0</v>
      </c>
      <c r="G15" s="180"/>
      <c r="H15" s="34"/>
      <c r="I15" s="34"/>
      <c r="J15" s="76">
        <v>46152</v>
      </c>
      <c r="K15" s="80">
        <f t="shared" si="0"/>
        <v>0</v>
      </c>
      <c r="L15" s="80">
        <f t="shared" si="1"/>
        <v>24</v>
      </c>
      <c r="M15" s="221">
        <f t="shared" si="2"/>
        <v>1</v>
      </c>
      <c r="N15" s="34"/>
      <c r="O15" s="34"/>
      <c r="P15" s="34"/>
      <c r="Q15" s="34"/>
      <c r="R15" s="34"/>
    </row>
    <row r="16" spans="1:18" x14ac:dyDescent="0.3">
      <c r="A16" s="619">
        <v>46279</v>
      </c>
      <c r="B16" s="620"/>
      <c r="C16" s="80"/>
      <c r="D16" s="347"/>
      <c r="E16" s="347"/>
      <c r="F16" s="243">
        <f t="shared" si="3"/>
        <v>0</v>
      </c>
      <c r="G16" s="180"/>
      <c r="H16" s="34"/>
      <c r="I16" s="34"/>
      <c r="J16" s="76">
        <v>46153</v>
      </c>
      <c r="K16" s="80">
        <f t="shared" si="0"/>
        <v>0</v>
      </c>
      <c r="L16" s="80">
        <f t="shared" si="1"/>
        <v>24</v>
      </c>
      <c r="M16" s="221">
        <f t="shared" si="2"/>
        <v>1</v>
      </c>
      <c r="N16" s="34"/>
      <c r="O16" s="34"/>
      <c r="P16" s="34"/>
      <c r="Q16" s="34"/>
      <c r="R16" s="34"/>
    </row>
    <row r="17" spans="1:18" x14ac:dyDescent="0.3">
      <c r="A17" s="619">
        <v>46280</v>
      </c>
      <c r="B17" s="620"/>
      <c r="C17" s="80"/>
      <c r="D17" s="347"/>
      <c r="E17" s="347"/>
      <c r="F17" s="243">
        <f t="shared" si="3"/>
        <v>0</v>
      </c>
      <c r="G17" s="180"/>
      <c r="H17" s="34"/>
      <c r="I17" s="34"/>
      <c r="J17" s="76">
        <v>46154</v>
      </c>
      <c r="K17" s="80">
        <f t="shared" si="0"/>
        <v>0</v>
      </c>
      <c r="L17" s="80">
        <f t="shared" si="1"/>
        <v>24</v>
      </c>
      <c r="M17" s="221">
        <f t="shared" si="2"/>
        <v>1</v>
      </c>
      <c r="N17" s="34"/>
      <c r="O17" s="34"/>
      <c r="P17" s="34"/>
      <c r="Q17" s="34"/>
      <c r="R17" s="34"/>
    </row>
    <row r="18" spans="1:18" x14ac:dyDescent="0.3">
      <c r="A18" s="619">
        <v>46281</v>
      </c>
      <c r="B18" s="620"/>
      <c r="C18" s="80"/>
      <c r="D18" s="347"/>
      <c r="E18" s="347"/>
      <c r="F18" s="243">
        <f t="shared" si="3"/>
        <v>0</v>
      </c>
      <c r="G18" s="180"/>
      <c r="H18" s="34"/>
      <c r="I18" s="34"/>
      <c r="J18" s="76">
        <v>46155</v>
      </c>
      <c r="K18" s="80">
        <f t="shared" si="0"/>
        <v>0</v>
      </c>
      <c r="L18" s="80">
        <f t="shared" si="1"/>
        <v>24</v>
      </c>
      <c r="M18" s="221">
        <f t="shared" si="2"/>
        <v>1</v>
      </c>
      <c r="N18" s="34"/>
      <c r="O18" s="34"/>
      <c r="P18" s="34"/>
      <c r="Q18" s="34"/>
      <c r="R18" s="34"/>
    </row>
    <row r="19" spans="1:18" x14ac:dyDescent="0.3">
      <c r="A19" s="619">
        <v>46282</v>
      </c>
      <c r="B19" s="620"/>
      <c r="C19" s="80"/>
      <c r="D19" s="347"/>
      <c r="E19" s="347"/>
      <c r="F19" s="243">
        <f t="shared" si="3"/>
        <v>0</v>
      </c>
      <c r="G19" s="180"/>
      <c r="H19" s="34"/>
      <c r="I19" s="34"/>
      <c r="J19" s="76">
        <v>46156</v>
      </c>
      <c r="K19" s="80">
        <f t="shared" si="0"/>
        <v>0</v>
      </c>
      <c r="L19" s="80">
        <f t="shared" si="1"/>
        <v>24</v>
      </c>
      <c r="M19" s="221">
        <f t="shared" si="2"/>
        <v>1</v>
      </c>
      <c r="N19" s="34"/>
      <c r="O19" s="34"/>
      <c r="P19" s="34"/>
      <c r="Q19" s="34"/>
      <c r="R19" s="34"/>
    </row>
    <row r="20" spans="1:18" x14ac:dyDescent="0.3">
      <c r="A20" s="619">
        <v>46283</v>
      </c>
      <c r="B20" s="620"/>
      <c r="C20" s="80"/>
      <c r="D20" s="347"/>
      <c r="E20" s="347"/>
      <c r="F20" s="243">
        <f t="shared" si="3"/>
        <v>0</v>
      </c>
      <c r="G20" s="180"/>
      <c r="H20" s="34"/>
      <c r="I20" s="34"/>
      <c r="J20" s="76">
        <v>46157</v>
      </c>
      <c r="K20" s="80">
        <f t="shared" si="0"/>
        <v>0</v>
      </c>
      <c r="L20" s="80">
        <f t="shared" si="1"/>
        <v>24</v>
      </c>
      <c r="M20" s="221">
        <f t="shared" si="2"/>
        <v>1</v>
      </c>
      <c r="N20" s="34"/>
      <c r="O20" s="34"/>
      <c r="P20" s="34"/>
      <c r="Q20" s="34"/>
      <c r="R20" s="34"/>
    </row>
    <row r="21" spans="1:18" x14ac:dyDescent="0.3">
      <c r="A21" s="619">
        <v>46284</v>
      </c>
      <c r="B21" s="620"/>
      <c r="C21" s="80"/>
      <c r="D21" s="347"/>
      <c r="E21" s="347"/>
      <c r="F21" s="243">
        <f t="shared" si="3"/>
        <v>0</v>
      </c>
      <c r="G21" s="180"/>
      <c r="H21" s="34"/>
      <c r="I21" s="34"/>
      <c r="J21" s="76">
        <v>46158</v>
      </c>
      <c r="K21" s="80">
        <f t="shared" si="0"/>
        <v>0</v>
      </c>
      <c r="L21" s="80">
        <f t="shared" si="1"/>
        <v>24</v>
      </c>
      <c r="M21" s="221">
        <f t="shared" si="2"/>
        <v>1</v>
      </c>
      <c r="N21" s="34"/>
      <c r="O21" s="34"/>
      <c r="P21" s="34"/>
      <c r="Q21" s="34"/>
      <c r="R21" s="34"/>
    </row>
    <row r="22" spans="1:18" x14ac:dyDescent="0.3">
      <c r="A22" s="619">
        <v>46285</v>
      </c>
      <c r="B22" s="620"/>
      <c r="C22" s="80"/>
      <c r="D22" s="347"/>
      <c r="E22" s="347"/>
      <c r="F22" s="243">
        <f t="shared" si="3"/>
        <v>0</v>
      </c>
      <c r="G22" s="180"/>
      <c r="H22" s="34"/>
      <c r="I22" s="34"/>
      <c r="J22" s="76">
        <v>46159</v>
      </c>
      <c r="K22" s="80">
        <f t="shared" si="0"/>
        <v>0</v>
      </c>
      <c r="L22" s="80">
        <f t="shared" si="1"/>
        <v>24</v>
      </c>
      <c r="M22" s="221">
        <f t="shared" si="2"/>
        <v>1</v>
      </c>
      <c r="N22" s="34"/>
      <c r="O22" s="34"/>
      <c r="P22" s="34"/>
      <c r="Q22" s="34"/>
      <c r="R22" s="34"/>
    </row>
    <row r="23" spans="1:18" x14ac:dyDescent="0.3">
      <c r="A23" s="619">
        <v>46286</v>
      </c>
      <c r="B23" s="620"/>
      <c r="C23" s="80"/>
      <c r="D23" s="347"/>
      <c r="E23" s="347"/>
      <c r="F23" s="243">
        <f t="shared" si="3"/>
        <v>0</v>
      </c>
      <c r="G23" s="180"/>
      <c r="H23" s="34"/>
      <c r="I23" s="34"/>
      <c r="J23" s="76">
        <v>46160</v>
      </c>
      <c r="K23" s="80">
        <f t="shared" si="0"/>
        <v>0</v>
      </c>
      <c r="L23" s="80">
        <f t="shared" si="1"/>
        <v>24</v>
      </c>
      <c r="M23" s="221">
        <f t="shared" si="2"/>
        <v>1</v>
      </c>
      <c r="N23" s="34"/>
      <c r="O23" s="34"/>
      <c r="P23" s="34"/>
      <c r="Q23" s="34"/>
      <c r="R23" s="34"/>
    </row>
    <row r="24" spans="1:18" x14ac:dyDescent="0.3">
      <c r="A24" s="619">
        <v>46287</v>
      </c>
      <c r="B24" s="620"/>
      <c r="C24" s="80"/>
      <c r="D24" s="347"/>
      <c r="E24" s="347"/>
      <c r="F24" s="243">
        <f t="shared" si="3"/>
        <v>0</v>
      </c>
      <c r="G24" s="180"/>
      <c r="H24" s="34"/>
      <c r="I24" s="34"/>
      <c r="J24" s="76">
        <v>46161</v>
      </c>
      <c r="K24" s="80">
        <f t="shared" si="0"/>
        <v>0</v>
      </c>
      <c r="L24" s="80">
        <f t="shared" si="1"/>
        <v>24</v>
      </c>
      <c r="M24" s="221">
        <f t="shared" si="2"/>
        <v>1</v>
      </c>
      <c r="N24" s="34"/>
      <c r="O24" s="34"/>
      <c r="P24" s="34"/>
      <c r="Q24" s="34"/>
      <c r="R24" s="34"/>
    </row>
    <row r="25" spans="1:18" x14ac:dyDescent="0.3">
      <c r="A25" s="619">
        <v>46288</v>
      </c>
      <c r="B25" s="620"/>
      <c r="C25" s="80"/>
      <c r="D25" s="347"/>
      <c r="E25" s="347"/>
      <c r="F25" s="243">
        <f t="shared" si="3"/>
        <v>0</v>
      </c>
      <c r="G25" s="180"/>
      <c r="H25" s="34"/>
      <c r="I25" s="34"/>
      <c r="J25" s="76">
        <v>46162</v>
      </c>
      <c r="K25" s="80">
        <f t="shared" si="0"/>
        <v>0</v>
      </c>
      <c r="L25" s="80">
        <f t="shared" si="1"/>
        <v>24</v>
      </c>
      <c r="M25" s="221">
        <f t="shared" si="2"/>
        <v>1</v>
      </c>
      <c r="N25" s="34"/>
      <c r="O25" s="34"/>
      <c r="P25" s="34"/>
      <c r="Q25" s="34"/>
      <c r="R25" s="34"/>
    </row>
    <row r="26" spans="1:18" x14ac:dyDescent="0.3">
      <c r="A26" s="619">
        <v>46289</v>
      </c>
      <c r="B26" s="620"/>
      <c r="C26" s="80"/>
      <c r="D26" s="347"/>
      <c r="E26" s="347"/>
      <c r="F26" s="243">
        <f t="shared" si="3"/>
        <v>0</v>
      </c>
      <c r="G26" s="180"/>
      <c r="H26" s="34"/>
      <c r="I26" s="34"/>
      <c r="J26" s="76">
        <v>45952</v>
      </c>
      <c r="K26" s="80">
        <f t="shared" si="0"/>
        <v>0</v>
      </c>
      <c r="L26" s="80">
        <f t="shared" si="1"/>
        <v>24</v>
      </c>
      <c r="M26" s="221">
        <f t="shared" si="2"/>
        <v>1</v>
      </c>
      <c r="N26" s="34"/>
      <c r="O26" s="34"/>
      <c r="P26" s="34"/>
      <c r="Q26" s="34"/>
      <c r="R26" s="34"/>
    </row>
    <row r="27" spans="1:18" x14ac:dyDescent="0.3">
      <c r="A27" s="619">
        <v>46290</v>
      </c>
      <c r="B27" s="620"/>
      <c r="C27" s="80"/>
      <c r="D27" s="347"/>
      <c r="E27" s="347"/>
      <c r="F27" s="243">
        <f t="shared" si="3"/>
        <v>0</v>
      </c>
      <c r="G27" s="180"/>
      <c r="H27" s="34"/>
      <c r="I27" s="34"/>
      <c r="J27" s="76">
        <v>45953</v>
      </c>
      <c r="K27" s="80">
        <f t="shared" si="0"/>
        <v>0</v>
      </c>
      <c r="L27" s="80">
        <f t="shared" si="1"/>
        <v>24</v>
      </c>
      <c r="M27" s="221">
        <f t="shared" si="2"/>
        <v>1</v>
      </c>
      <c r="N27" s="34"/>
      <c r="O27" s="34"/>
      <c r="P27" s="34"/>
      <c r="Q27" s="34"/>
      <c r="R27" s="34"/>
    </row>
    <row r="28" spans="1:18" x14ac:dyDescent="0.3">
      <c r="A28" s="619">
        <v>46291</v>
      </c>
      <c r="B28" s="620"/>
      <c r="C28" s="80"/>
      <c r="D28" s="347"/>
      <c r="E28" s="347"/>
      <c r="F28" s="243">
        <f t="shared" si="3"/>
        <v>0</v>
      </c>
      <c r="G28" s="180"/>
      <c r="H28" s="34"/>
      <c r="I28" s="34"/>
      <c r="J28" s="76">
        <v>45954</v>
      </c>
      <c r="K28" s="80">
        <f t="shared" si="0"/>
        <v>0</v>
      </c>
      <c r="L28" s="80">
        <f t="shared" si="1"/>
        <v>24</v>
      </c>
      <c r="M28" s="221">
        <f t="shared" si="2"/>
        <v>1</v>
      </c>
      <c r="N28" s="34"/>
      <c r="O28" s="34"/>
      <c r="P28" s="34"/>
      <c r="Q28" s="34"/>
      <c r="R28" s="34"/>
    </row>
    <row r="29" spans="1:18" x14ac:dyDescent="0.3">
      <c r="A29" s="619">
        <v>46292</v>
      </c>
      <c r="B29" s="620"/>
      <c r="C29" s="80"/>
      <c r="D29" s="347"/>
      <c r="E29" s="347"/>
      <c r="F29" s="243">
        <f t="shared" si="3"/>
        <v>0</v>
      </c>
      <c r="G29" s="180"/>
      <c r="H29" s="34"/>
      <c r="I29" s="34"/>
      <c r="J29" s="76">
        <v>45955</v>
      </c>
      <c r="K29" s="80">
        <f t="shared" si="0"/>
        <v>0</v>
      </c>
      <c r="L29" s="80">
        <f t="shared" si="1"/>
        <v>24</v>
      </c>
      <c r="M29" s="221">
        <f t="shared" si="2"/>
        <v>1</v>
      </c>
      <c r="N29" s="34"/>
      <c r="O29" s="34"/>
      <c r="P29" s="34"/>
      <c r="Q29" s="34"/>
      <c r="R29" s="34"/>
    </row>
    <row r="30" spans="1:18" x14ac:dyDescent="0.3">
      <c r="A30" s="619">
        <v>46293</v>
      </c>
      <c r="B30" s="620"/>
      <c r="C30" s="80"/>
      <c r="D30" s="349"/>
      <c r="E30" s="349"/>
      <c r="F30" s="243">
        <f t="shared" si="3"/>
        <v>0</v>
      </c>
      <c r="G30" s="180"/>
      <c r="H30" s="34"/>
      <c r="I30" s="34"/>
      <c r="J30" s="76">
        <v>45956</v>
      </c>
      <c r="K30" s="93">
        <f t="shared" si="0"/>
        <v>0</v>
      </c>
      <c r="L30" s="80">
        <f>(1440-K30)/60</f>
        <v>24</v>
      </c>
      <c r="M30" s="221">
        <f t="shared" si="2"/>
        <v>1</v>
      </c>
      <c r="N30" s="34"/>
      <c r="O30" s="34"/>
      <c r="P30" s="34"/>
      <c r="Q30" s="34"/>
      <c r="R30" s="34"/>
    </row>
    <row r="31" spans="1:18" x14ac:dyDescent="0.3">
      <c r="A31" s="619">
        <v>46294</v>
      </c>
      <c r="B31" s="620"/>
      <c r="C31" s="80"/>
      <c r="D31" s="349"/>
      <c r="E31" s="349"/>
      <c r="F31" s="243">
        <f t="shared" si="3"/>
        <v>0</v>
      </c>
      <c r="G31" s="180"/>
      <c r="H31" s="34"/>
      <c r="I31" s="34"/>
      <c r="J31" s="76">
        <v>45957</v>
      </c>
      <c r="K31" s="93">
        <f t="shared" si="0"/>
        <v>0</v>
      </c>
      <c r="L31" s="80">
        <f>(1440-K31)/60</f>
        <v>24</v>
      </c>
      <c r="M31" s="221">
        <f t="shared" si="2"/>
        <v>1</v>
      </c>
      <c r="N31" s="34"/>
      <c r="O31" s="34"/>
      <c r="P31" s="34"/>
      <c r="Q31" s="34"/>
      <c r="R31" s="182"/>
    </row>
    <row r="32" spans="1:18" x14ac:dyDescent="0.3">
      <c r="A32" s="619">
        <v>46295</v>
      </c>
      <c r="B32" s="620"/>
      <c r="C32" s="80"/>
      <c r="D32" s="349"/>
      <c r="E32" s="349"/>
      <c r="F32" s="243">
        <f t="shared" si="3"/>
        <v>0</v>
      </c>
      <c r="G32" s="180"/>
      <c r="H32" s="34"/>
      <c r="I32" s="34"/>
      <c r="J32" s="76">
        <v>45958</v>
      </c>
      <c r="K32" s="80">
        <f t="shared" si="0"/>
        <v>0</v>
      </c>
      <c r="L32" s="80">
        <f t="shared" si="1"/>
        <v>24</v>
      </c>
      <c r="M32" s="221">
        <f t="shared" si="2"/>
        <v>1</v>
      </c>
      <c r="N32" s="34"/>
      <c r="O32" s="34"/>
      <c r="P32" s="34"/>
      <c r="Q32" s="34"/>
      <c r="R32" s="34"/>
    </row>
    <row r="33" spans="1:18" x14ac:dyDescent="0.3">
      <c r="A33" s="619">
        <v>46296</v>
      </c>
      <c r="B33" s="620"/>
      <c r="C33" s="80"/>
      <c r="D33" s="349"/>
      <c r="E33" s="349"/>
      <c r="F33" s="243">
        <f t="shared" si="3"/>
        <v>0</v>
      </c>
      <c r="G33" s="180"/>
      <c r="H33" s="34"/>
      <c r="I33" s="34"/>
      <c r="J33" s="76">
        <v>45959</v>
      </c>
      <c r="K33" s="93">
        <f>SUM(F33:F35)</f>
        <v>0</v>
      </c>
      <c r="L33" s="93">
        <f t="shared" si="1"/>
        <v>24</v>
      </c>
      <c r="M33" s="221">
        <f>L33/12</f>
        <v>2</v>
      </c>
      <c r="N33" s="34"/>
      <c r="O33" s="34"/>
      <c r="P33" s="34"/>
      <c r="Q33" s="34"/>
      <c r="R33" s="34"/>
    </row>
    <row r="34" spans="1:18" x14ac:dyDescent="0.3">
      <c r="A34" s="619">
        <v>46297</v>
      </c>
      <c r="B34" s="620"/>
      <c r="C34" s="80"/>
      <c r="D34" s="349"/>
      <c r="E34" s="349"/>
      <c r="F34" s="243">
        <f t="shared" si="3"/>
        <v>0</v>
      </c>
      <c r="G34" s="180"/>
      <c r="H34" s="34"/>
      <c r="I34" s="34"/>
      <c r="J34" s="76">
        <v>45960</v>
      </c>
      <c r="K34" s="93">
        <f>SUM(F36:F38)</f>
        <v>0</v>
      </c>
      <c r="L34" s="93">
        <f>(1440-K34)/60</f>
        <v>24</v>
      </c>
      <c r="M34" s="221">
        <f>L34/12</f>
        <v>2</v>
      </c>
      <c r="N34" s="34"/>
      <c r="O34" s="34"/>
      <c r="P34" s="34"/>
      <c r="Q34" s="34"/>
      <c r="R34" s="34"/>
    </row>
    <row r="35" spans="1:18" x14ac:dyDescent="0.3">
      <c r="A35" s="619">
        <v>46298</v>
      </c>
      <c r="B35" s="620"/>
      <c r="C35" s="80"/>
      <c r="D35" s="349"/>
      <c r="E35" s="349"/>
      <c r="F35" s="243">
        <f t="shared" si="3"/>
        <v>0</v>
      </c>
      <c r="G35" s="180"/>
      <c r="H35" s="34"/>
      <c r="I35" s="34"/>
      <c r="J35" s="76">
        <v>45961</v>
      </c>
      <c r="K35" s="80"/>
      <c r="L35" s="80"/>
      <c r="M35" s="221"/>
      <c r="N35" s="34"/>
      <c r="O35" s="34"/>
      <c r="P35" s="34"/>
      <c r="Q35" s="34"/>
      <c r="R35" s="34"/>
    </row>
    <row r="36" spans="1:18" x14ac:dyDescent="0.3">
      <c r="A36" s="619">
        <v>46299</v>
      </c>
      <c r="B36" s="620"/>
      <c r="C36" s="80"/>
      <c r="D36" s="349"/>
      <c r="E36" s="349"/>
      <c r="F36" s="243">
        <f t="shared" si="3"/>
        <v>0</v>
      </c>
      <c r="G36" s="180"/>
      <c r="H36" s="34"/>
      <c r="I36" s="34"/>
      <c r="J36" s="76">
        <v>45962</v>
      </c>
      <c r="K36" s="93">
        <f>SUM(F40:F41)</f>
        <v>0</v>
      </c>
      <c r="L36" s="80">
        <f t="shared" si="1"/>
        <v>24</v>
      </c>
      <c r="M36" s="221">
        <f t="shared" ref="M36:M41" si="4">L36/12</f>
        <v>2</v>
      </c>
      <c r="N36" s="34"/>
      <c r="O36" s="34"/>
      <c r="P36" s="34"/>
      <c r="Q36" s="34"/>
      <c r="R36" s="34"/>
    </row>
    <row r="37" spans="1:18" x14ac:dyDescent="0.3">
      <c r="A37" s="619">
        <v>46300</v>
      </c>
      <c r="B37" s="620"/>
      <c r="C37" s="80"/>
      <c r="D37" s="349"/>
      <c r="E37" s="349"/>
      <c r="F37" s="243">
        <f t="shared" si="3"/>
        <v>0</v>
      </c>
      <c r="G37" s="180"/>
      <c r="H37" s="34"/>
      <c r="I37" s="34"/>
      <c r="J37" s="76">
        <v>45963</v>
      </c>
      <c r="K37" s="93">
        <f>SUM(F42:F44)</f>
        <v>0</v>
      </c>
      <c r="L37" s="93">
        <f t="shared" si="1"/>
        <v>24</v>
      </c>
      <c r="M37" s="221">
        <f t="shared" si="4"/>
        <v>2</v>
      </c>
      <c r="N37" s="34"/>
      <c r="O37" s="34"/>
      <c r="P37" s="34"/>
      <c r="Q37" s="34"/>
      <c r="R37" s="34"/>
    </row>
    <row r="38" spans="1:18" x14ac:dyDescent="0.3">
      <c r="A38" s="619">
        <v>46301</v>
      </c>
      <c r="B38" s="620"/>
      <c r="C38" s="80"/>
      <c r="D38" s="349"/>
      <c r="E38" s="349"/>
      <c r="F38" s="243">
        <f t="shared" si="3"/>
        <v>0</v>
      </c>
      <c r="G38" s="180"/>
      <c r="H38" s="34"/>
      <c r="I38" s="34"/>
      <c r="J38" s="76">
        <v>45964</v>
      </c>
      <c r="K38" s="93">
        <f>SUM(F45:F47)</f>
        <v>0</v>
      </c>
      <c r="L38" s="93">
        <f>(1440-K38)/60</f>
        <v>24</v>
      </c>
      <c r="M38" s="221">
        <f t="shared" si="4"/>
        <v>2</v>
      </c>
      <c r="N38" s="34"/>
      <c r="O38" s="34"/>
      <c r="P38" s="34"/>
      <c r="Q38" s="34"/>
      <c r="R38" s="34"/>
    </row>
    <row r="39" spans="1:18" x14ac:dyDescent="0.3">
      <c r="A39" s="619">
        <v>46302</v>
      </c>
      <c r="B39" s="620"/>
      <c r="C39" s="80"/>
      <c r="D39" s="349"/>
      <c r="E39" s="349"/>
      <c r="F39" s="243">
        <f t="shared" si="3"/>
        <v>0</v>
      </c>
      <c r="G39" s="180"/>
      <c r="H39" s="34"/>
      <c r="I39" s="34"/>
      <c r="J39" s="76">
        <v>45965</v>
      </c>
      <c r="K39" s="93">
        <f>SUM(F48:F49)</f>
        <v>0</v>
      </c>
      <c r="L39" s="93">
        <f>(1440-K39)/60</f>
        <v>24</v>
      </c>
      <c r="M39" s="221">
        <f t="shared" si="4"/>
        <v>2</v>
      </c>
      <c r="N39" s="34"/>
      <c r="O39" s="34"/>
      <c r="P39" s="34"/>
      <c r="Q39" s="34"/>
      <c r="R39" s="34"/>
    </row>
    <row r="40" spans="1:18" x14ac:dyDescent="0.3">
      <c r="A40" s="619">
        <v>46303</v>
      </c>
      <c r="B40" s="620"/>
      <c r="C40" s="80"/>
      <c r="D40" s="349"/>
      <c r="E40" s="349"/>
      <c r="F40" s="243">
        <f t="shared" si="3"/>
        <v>0</v>
      </c>
      <c r="G40" s="180"/>
      <c r="H40" s="34"/>
      <c r="I40" s="34"/>
      <c r="J40" s="76">
        <v>45966</v>
      </c>
      <c r="K40" s="93">
        <f>SUM(F50:F53)</f>
        <v>0</v>
      </c>
      <c r="L40" s="93">
        <f>(1440-K40)/60</f>
        <v>24</v>
      </c>
      <c r="M40" s="221">
        <f t="shared" si="4"/>
        <v>2</v>
      </c>
      <c r="N40" s="34"/>
      <c r="O40" s="34"/>
      <c r="P40" s="34"/>
      <c r="Q40" s="34"/>
      <c r="R40" s="34"/>
    </row>
    <row r="41" spans="1:18" x14ac:dyDescent="0.3">
      <c r="A41" s="619">
        <v>46304</v>
      </c>
      <c r="B41" s="620"/>
      <c r="C41" s="80"/>
      <c r="D41" s="349"/>
      <c r="E41" s="349"/>
      <c r="F41" s="243">
        <f t="shared" si="3"/>
        <v>0</v>
      </c>
      <c r="G41" s="180"/>
      <c r="H41" s="34"/>
      <c r="I41" s="34"/>
      <c r="J41" s="76">
        <v>45967</v>
      </c>
      <c r="K41" s="93">
        <f>SUM(F54:F56)</f>
        <v>0</v>
      </c>
      <c r="L41" s="93">
        <f>(1440-K41)/60</f>
        <v>24</v>
      </c>
      <c r="M41" s="221">
        <f t="shared" si="4"/>
        <v>2</v>
      </c>
      <c r="N41" s="34"/>
      <c r="O41" s="34"/>
      <c r="P41" s="34"/>
      <c r="Q41" s="34"/>
      <c r="R41" s="34"/>
    </row>
    <row r="42" spans="1:18" ht="13.5" customHeight="1" x14ac:dyDescent="0.3">
      <c r="A42" s="619">
        <v>46305</v>
      </c>
      <c r="B42" s="620"/>
      <c r="C42" s="80"/>
      <c r="D42" s="349"/>
      <c r="E42" s="349"/>
      <c r="F42" s="243">
        <f t="shared" si="3"/>
        <v>0</v>
      </c>
      <c r="G42" s="180"/>
      <c r="H42" s="34"/>
      <c r="I42" s="34"/>
      <c r="J42" s="76">
        <v>45968</v>
      </c>
      <c r="K42" s="93"/>
      <c r="L42" s="93"/>
      <c r="M42" s="221"/>
      <c r="N42" s="34"/>
      <c r="O42" s="34"/>
      <c r="P42" s="34"/>
      <c r="Q42" s="34"/>
      <c r="R42" s="34"/>
    </row>
    <row r="43" spans="1:18" ht="13.5" customHeight="1" x14ac:dyDescent="0.3">
      <c r="A43" s="619">
        <v>46306</v>
      </c>
      <c r="B43" s="620"/>
      <c r="C43" s="80"/>
      <c r="D43" s="349"/>
      <c r="E43" s="349"/>
      <c r="F43" s="243">
        <f t="shared" si="3"/>
        <v>0</v>
      </c>
      <c r="G43" s="180"/>
      <c r="H43" s="34"/>
      <c r="I43" s="34"/>
      <c r="J43" s="76">
        <v>45969</v>
      </c>
      <c r="K43" s="93"/>
      <c r="L43" s="93"/>
      <c r="M43" s="221"/>
      <c r="N43" s="34"/>
      <c r="O43" s="34"/>
      <c r="P43" s="34"/>
      <c r="Q43" s="34"/>
      <c r="R43" s="34"/>
    </row>
    <row r="44" spans="1:18" x14ac:dyDescent="0.3">
      <c r="A44" s="619">
        <v>46307</v>
      </c>
      <c r="B44" s="620"/>
      <c r="C44" s="80"/>
      <c r="D44" s="349"/>
      <c r="E44" s="349"/>
      <c r="F44" s="243">
        <f t="shared" si="3"/>
        <v>0</v>
      </c>
      <c r="G44" s="180"/>
      <c r="H44" s="34"/>
      <c r="I44" s="34"/>
      <c r="J44" s="76">
        <v>45970</v>
      </c>
      <c r="K44" s="93"/>
      <c r="L44" s="93"/>
      <c r="M44" s="221"/>
      <c r="N44" s="34"/>
      <c r="O44" s="34"/>
      <c r="P44" s="34"/>
      <c r="Q44" s="34"/>
      <c r="R44" s="34"/>
    </row>
    <row r="45" spans="1:18" x14ac:dyDescent="0.3">
      <c r="A45" s="619">
        <v>46308</v>
      </c>
      <c r="B45" s="620"/>
      <c r="C45" s="80"/>
      <c r="D45" s="349"/>
      <c r="E45" s="349"/>
      <c r="F45" s="243">
        <f>(E45-D45)*1440</f>
        <v>0</v>
      </c>
      <c r="G45" s="180"/>
      <c r="H45" s="34"/>
      <c r="I45" s="34"/>
      <c r="J45" s="76">
        <v>45971</v>
      </c>
      <c r="K45" s="93"/>
      <c r="L45" s="93"/>
      <c r="M45" s="221"/>
      <c r="N45" s="34"/>
      <c r="O45" s="34"/>
      <c r="P45" s="34"/>
      <c r="Q45" s="34"/>
      <c r="R45" s="34"/>
    </row>
    <row r="46" spans="1:18" x14ac:dyDescent="0.3">
      <c r="A46" s="619">
        <v>46309</v>
      </c>
      <c r="B46" s="620"/>
      <c r="C46" s="80"/>
      <c r="D46" s="349"/>
      <c r="E46" s="349"/>
      <c r="F46" s="243">
        <f t="shared" ref="F46:F62" si="5">(E46-D46)*1440</f>
        <v>0</v>
      </c>
      <c r="G46" s="180"/>
      <c r="H46" s="34"/>
      <c r="I46" s="34"/>
      <c r="J46" s="76">
        <v>45972</v>
      </c>
      <c r="K46" s="93"/>
      <c r="L46" s="93"/>
      <c r="M46" s="221"/>
      <c r="N46" s="34"/>
      <c r="O46" s="34"/>
      <c r="P46" s="34"/>
      <c r="Q46" s="34"/>
      <c r="R46" s="34"/>
    </row>
    <row r="47" spans="1:18" x14ac:dyDescent="0.3">
      <c r="A47" s="619">
        <v>46310</v>
      </c>
      <c r="B47" s="620"/>
      <c r="C47" s="80"/>
      <c r="D47" s="349"/>
      <c r="E47" s="349"/>
      <c r="F47" s="243">
        <f t="shared" si="5"/>
        <v>0</v>
      </c>
      <c r="G47" s="180"/>
      <c r="H47" s="34"/>
      <c r="I47" s="34"/>
      <c r="J47" s="76">
        <v>45973</v>
      </c>
      <c r="K47" s="93"/>
      <c r="L47" s="93"/>
      <c r="M47" s="221"/>
      <c r="N47" s="34"/>
      <c r="O47" s="34"/>
      <c r="P47" s="34"/>
      <c r="Q47" s="34"/>
      <c r="R47" s="34"/>
    </row>
    <row r="48" spans="1:18" x14ac:dyDescent="0.3">
      <c r="A48" s="619">
        <v>46311</v>
      </c>
      <c r="B48" s="620"/>
      <c r="C48" s="80"/>
      <c r="D48" s="349"/>
      <c r="E48" s="349"/>
      <c r="F48" s="243">
        <f t="shared" si="5"/>
        <v>0</v>
      </c>
      <c r="G48" s="180"/>
      <c r="H48" s="34"/>
      <c r="I48" s="34"/>
      <c r="J48" s="76">
        <v>45974</v>
      </c>
      <c r="K48" s="93"/>
      <c r="L48" s="93"/>
      <c r="M48" s="221"/>
      <c r="N48" s="34"/>
      <c r="O48" s="34"/>
      <c r="P48" s="34"/>
      <c r="Q48" s="34"/>
      <c r="R48" s="34"/>
    </row>
    <row r="49" spans="1:18" x14ac:dyDescent="0.3">
      <c r="A49" s="619">
        <v>46312</v>
      </c>
      <c r="B49" s="620"/>
      <c r="C49" s="80"/>
      <c r="D49" s="349"/>
      <c r="E49" s="349"/>
      <c r="F49" s="243">
        <f t="shared" si="5"/>
        <v>0</v>
      </c>
      <c r="G49" s="180"/>
      <c r="H49" s="34"/>
      <c r="I49" s="34"/>
      <c r="J49" s="76">
        <v>45975</v>
      </c>
      <c r="K49" s="93"/>
      <c r="L49" s="93"/>
      <c r="M49" s="221"/>
      <c r="N49" s="34"/>
      <c r="O49" s="34"/>
      <c r="P49" s="34"/>
      <c r="Q49" s="34"/>
      <c r="R49" s="161">
        <f>8*24</f>
        <v>192</v>
      </c>
    </row>
    <row r="50" spans="1:18" x14ac:dyDescent="0.3">
      <c r="A50" s="619">
        <v>46313</v>
      </c>
      <c r="B50" s="620"/>
      <c r="C50" s="80"/>
      <c r="D50" s="349"/>
      <c r="E50" s="349"/>
      <c r="F50" s="243">
        <f t="shared" si="5"/>
        <v>0</v>
      </c>
      <c r="G50" s="180"/>
      <c r="H50" s="34"/>
      <c r="I50" s="34"/>
      <c r="J50" s="76">
        <v>45976</v>
      </c>
      <c r="K50" s="93"/>
      <c r="L50" s="93"/>
      <c r="M50" s="221"/>
      <c r="N50" s="34"/>
      <c r="O50" s="34"/>
      <c r="P50" s="34"/>
      <c r="Q50" s="34"/>
      <c r="R50" s="34"/>
    </row>
    <row r="51" spans="1:18" x14ac:dyDescent="0.3">
      <c r="A51" s="619">
        <v>46314</v>
      </c>
      <c r="B51" s="620"/>
      <c r="C51" s="80"/>
      <c r="D51" s="349"/>
      <c r="E51" s="349"/>
      <c r="F51" s="243">
        <f t="shared" si="5"/>
        <v>0</v>
      </c>
      <c r="G51" s="180"/>
      <c r="H51" s="34"/>
      <c r="I51" s="34"/>
      <c r="J51" s="76">
        <v>45977</v>
      </c>
      <c r="K51" s="93"/>
      <c r="L51" s="93"/>
      <c r="M51" s="221"/>
      <c r="N51" s="34"/>
      <c r="O51" s="34"/>
      <c r="P51" s="34"/>
      <c r="Q51" s="34"/>
      <c r="R51" s="34"/>
    </row>
    <row r="52" spans="1:18" x14ac:dyDescent="0.3">
      <c r="A52" s="619">
        <v>46315</v>
      </c>
      <c r="B52" s="620"/>
      <c r="C52" s="80"/>
      <c r="D52" s="349"/>
      <c r="E52" s="349"/>
      <c r="F52" s="243">
        <f t="shared" si="5"/>
        <v>0</v>
      </c>
      <c r="G52" s="180"/>
      <c r="H52" s="34"/>
      <c r="I52" s="34"/>
      <c r="J52" s="76">
        <v>45978</v>
      </c>
      <c r="K52" s="93"/>
      <c r="L52" s="93"/>
      <c r="M52" s="221"/>
      <c r="N52" s="34"/>
      <c r="O52" s="34"/>
      <c r="P52" s="34"/>
      <c r="Q52" s="34"/>
      <c r="R52" s="34"/>
    </row>
    <row r="53" spans="1:18" x14ac:dyDescent="0.3">
      <c r="A53" s="619">
        <v>46316</v>
      </c>
      <c r="B53" s="620"/>
      <c r="C53" s="80"/>
      <c r="D53" s="349"/>
      <c r="E53" s="349"/>
      <c r="F53" s="243">
        <f t="shared" si="5"/>
        <v>0</v>
      </c>
      <c r="G53" s="180"/>
      <c r="H53" s="34"/>
      <c r="I53" s="34"/>
      <c r="J53" s="76">
        <v>45979</v>
      </c>
      <c r="K53" s="93"/>
      <c r="L53" s="93"/>
      <c r="M53" s="221"/>
      <c r="N53" s="34"/>
      <c r="O53" s="34"/>
      <c r="P53" s="34"/>
      <c r="Q53" s="34"/>
      <c r="R53" s="34"/>
    </row>
    <row r="54" spans="1:18" x14ac:dyDescent="0.3">
      <c r="A54" s="619">
        <v>46317</v>
      </c>
      <c r="B54" s="620"/>
      <c r="C54" s="80"/>
      <c r="D54" s="349"/>
      <c r="E54" s="349"/>
      <c r="F54" s="243">
        <f t="shared" si="5"/>
        <v>0</v>
      </c>
      <c r="G54" s="180"/>
      <c r="H54" s="34"/>
      <c r="I54" s="34"/>
      <c r="J54" s="76">
        <v>45980</v>
      </c>
      <c r="K54" s="93"/>
      <c r="L54" s="93"/>
      <c r="M54" s="221"/>
      <c r="N54" s="34"/>
      <c r="O54" s="34"/>
      <c r="P54" s="34"/>
      <c r="Q54" s="34"/>
      <c r="R54" s="34"/>
    </row>
    <row r="55" spans="1:18" x14ac:dyDescent="0.3">
      <c r="A55" s="619">
        <v>46318</v>
      </c>
      <c r="B55" s="620"/>
      <c r="C55" s="80"/>
      <c r="D55" s="349"/>
      <c r="E55" s="349"/>
      <c r="F55" s="243">
        <f t="shared" si="5"/>
        <v>0</v>
      </c>
      <c r="G55" s="180"/>
      <c r="H55" s="34"/>
      <c r="I55" s="34"/>
      <c r="J55" s="76">
        <v>45981</v>
      </c>
      <c r="K55" s="93"/>
      <c r="L55" s="93"/>
      <c r="M55" s="221"/>
      <c r="N55" s="34"/>
      <c r="O55" s="34"/>
      <c r="P55" s="34"/>
      <c r="Q55" s="34"/>
      <c r="R55" s="34"/>
    </row>
    <row r="56" spans="1:18" x14ac:dyDescent="0.3">
      <c r="A56" s="619">
        <v>46319</v>
      </c>
      <c r="B56" s="620"/>
      <c r="C56" s="80"/>
      <c r="D56" s="349"/>
      <c r="E56" s="349"/>
      <c r="F56" s="243">
        <f t="shared" si="5"/>
        <v>0</v>
      </c>
      <c r="G56" s="180"/>
      <c r="H56" s="34"/>
      <c r="I56" s="34"/>
      <c r="J56" s="76">
        <v>45982</v>
      </c>
      <c r="K56" s="93"/>
      <c r="L56" s="93"/>
      <c r="M56" s="221"/>
      <c r="N56" s="34"/>
      <c r="O56" s="34"/>
      <c r="P56" s="34"/>
      <c r="Q56" s="34"/>
      <c r="R56" s="34"/>
    </row>
    <row r="57" spans="1:18" x14ac:dyDescent="0.3">
      <c r="A57" s="619">
        <v>46320</v>
      </c>
      <c r="B57" s="620"/>
      <c r="C57" s="80"/>
      <c r="D57" s="349"/>
      <c r="E57" s="349"/>
      <c r="F57" s="243">
        <f t="shared" si="5"/>
        <v>0</v>
      </c>
      <c r="G57" s="180"/>
      <c r="H57" s="34"/>
      <c r="I57" s="34"/>
      <c r="J57" s="438" t="s">
        <v>59</v>
      </c>
      <c r="K57" s="358">
        <f>SUM(K33:K40)</f>
        <v>0</v>
      </c>
      <c r="L57" s="359">
        <f>SUM(L33:L41)</f>
        <v>192</v>
      </c>
      <c r="M57" s="356">
        <f>L57/192</f>
        <v>1</v>
      </c>
      <c r="N57" s="34"/>
      <c r="O57" s="34"/>
      <c r="P57" s="34"/>
      <c r="Q57" s="34"/>
      <c r="R57" s="34"/>
    </row>
    <row r="58" spans="1:18" x14ac:dyDescent="0.3">
      <c r="A58" s="619">
        <v>46321</v>
      </c>
      <c r="B58" s="620"/>
      <c r="C58" s="80"/>
      <c r="D58" s="349"/>
      <c r="E58" s="349"/>
      <c r="F58" s="243">
        <f t="shared" si="5"/>
        <v>0</v>
      </c>
      <c r="G58" s="180"/>
      <c r="H58" s="34"/>
      <c r="I58" s="34"/>
      <c r="J58" s="86" t="s">
        <v>439</v>
      </c>
      <c r="K58" s="357">
        <f>K57/60</f>
        <v>0</v>
      </c>
      <c r="L58" s="190"/>
      <c r="M58" s="190"/>
      <c r="N58" s="34"/>
      <c r="O58" s="34"/>
      <c r="P58" s="34"/>
      <c r="Q58" s="34"/>
      <c r="R58" s="34"/>
    </row>
    <row r="59" spans="1:18" x14ac:dyDescent="0.3">
      <c r="A59" s="619">
        <v>46322</v>
      </c>
      <c r="B59" s="620"/>
      <c r="C59" s="80"/>
      <c r="D59" s="349"/>
      <c r="E59" s="349"/>
      <c r="F59" s="243">
        <f t="shared" si="5"/>
        <v>0</v>
      </c>
      <c r="G59" s="180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18" x14ac:dyDescent="0.3">
      <c r="A60" s="619">
        <v>46323</v>
      </c>
      <c r="B60" s="620"/>
      <c r="C60" s="80"/>
      <c r="D60" s="349"/>
      <c r="E60" s="349"/>
      <c r="F60" s="243">
        <f t="shared" si="5"/>
        <v>0</v>
      </c>
      <c r="G60" s="180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spans="1:18" x14ac:dyDescent="0.3">
      <c r="A61" s="619">
        <v>46324</v>
      </c>
      <c r="B61" s="620"/>
      <c r="C61" s="80"/>
      <c r="D61" s="349"/>
      <c r="E61" s="349"/>
      <c r="F61" s="243">
        <f t="shared" si="5"/>
        <v>0</v>
      </c>
      <c r="G61" s="180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</row>
    <row r="62" spans="1:18" x14ac:dyDescent="0.3">
      <c r="A62" s="619">
        <v>46325</v>
      </c>
      <c r="B62" s="620"/>
      <c r="C62" s="80"/>
      <c r="D62" s="349"/>
      <c r="E62" s="349"/>
      <c r="F62" s="243">
        <f t="shared" si="5"/>
        <v>0</v>
      </c>
      <c r="G62" s="180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</sheetData>
  <mergeCells count="60"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65E3C"/>
  </sheetPr>
  <dimension ref="A1:U33"/>
  <sheetViews>
    <sheetView showGridLines="0" workbookViewId="0"/>
  </sheetViews>
  <sheetFormatPr defaultColWidth="8.77734375" defaultRowHeight="14.4" x14ac:dyDescent="0.3"/>
  <cols>
    <col min="1" max="2" width="8.77734375" style="1"/>
    <col min="3" max="3" width="17.33203125" style="1" customWidth="1"/>
    <col min="4" max="4" width="8.77734375" style="1"/>
    <col min="5" max="5" width="20.88671875" style="1" customWidth="1"/>
    <col min="6" max="6" width="13.33203125" style="5" customWidth="1"/>
    <col min="7" max="7" width="9.77734375" style="5" customWidth="1"/>
    <col min="8" max="8" width="10.6640625" style="5" customWidth="1"/>
    <col min="9" max="9" width="12.33203125" style="1" customWidth="1"/>
    <col min="10" max="10" width="16.44140625" style="5" customWidth="1"/>
    <col min="11" max="11" width="18.109375" style="1" customWidth="1"/>
    <col min="12" max="12" width="21.21875" style="1" customWidth="1"/>
    <col min="13" max="13" width="42" style="28" customWidth="1"/>
    <col min="14" max="14" width="13.77734375" style="1" customWidth="1"/>
    <col min="15" max="16" width="8.77734375" style="1"/>
    <col min="17" max="17" width="22" style="1" customWidth="1"/>
    <col min="18" max="18" width="15.5546875" style="1" customWidth="1"/>
    <col min="19" max="19" width="14.77734375" style="1" customWidth="1"/>
    <col min="20" max="20" width="21.88671875" style="1" customWidth="1"/>
    <col min="21" max="16384" width="8.77734375" style="1"/>
  </cols>
  <sheetData>
    <row r="1" spans="1:21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 ht="22.05" customHeight="1" x14ac:dyDescent="0.3">
      <c r="A4" s="34"/>
      <c r="B4" s="370" t="s">
        <v>72</v>
      </c>
      <c r="C4" s="370" t="s">
        <v>469</v>
      </c>
      <c r="D4" s="370" t="s">
        <v>286</v>
      </c>
      <c r="E4" s="370" t="s">
        <v>470</v>
      </c>
      <c r="F4" s="370" t="s">
        <v>471</v>
      </c>
      <c r="G4" s="370" t="s">
        <v>472</v>
      </c>
      <c r="H4" s="370" t="s">
        <v>473</v>
      </c>
      <c r="I4" s="370" t="s">
        <v>474</v>
      </c>
      <c r="J4" s="370" t="s">
        <v>475</v>
      </c>
      <c r="K4" s="370" t="s">
        <v>421</v>
      </c>
      <c r="L4" s="370" t="s">
        <v>476</v>
      </c>
      <c r="M4" s="370" t="s">
        <v>477</v>
      </c>
      <c r="N4" s="34"/>
      <c r="O4" s="34"/>
      <c r="P4" s="34"/>
      <c r="Q4" s="572" t="s">
        <v>478</v>
      </c>
      <c r="R4" s="573"/>
      <c r="S4" s="573"/>
      <c r="T4" s="621"/>
      <c r="U4" s="34"/>
    </row>
    <row r="5" spans="1:21" x14ac:dyDescent="0.3">
      <c r="A5" s="34"/>
      <c r="B5" s="86">
        <v>1</v>
      </c>
      <c r="C5" s="86">
        <v>1</v>
      </c>
      <c r="D5" s="86">
        <v>2</v>
      </c>
      <c r="E5" s="86" t="s">
        <v>479</v>
      </c>
      <c r="F5" s="78">
        <v>46266</v>
      </c>
      <c r="G5" s="205">
        <v>6.9444444444444447E-4</v>
      </c>
      <c r="H5" s="205">
        <v>4.2361111111111113E-2</v>
      </c>
      <c r="I5" s="78"/>
      <c r="J5" s="201">
        <f>(H5-G5)*1440</f>
        <v>60.000000000000007</v>
      </c>
      <c r="K5" s="86" t="s">
        <v>480</v>
      </c>
      <c r="L5" s="201">
        <f>J5/60</f>
        <v>1.0000000000000002</v>
      </c>
      <c r="M5" s="348" t="s">
        <v>481</v>
      </c>
      <c r="N5" s="34"/>
      <c r="O5" s="34"/>
      <c r="P5" s="34"/>
      <c r="Q5" s="622"/>
      <c r="R5" s="623"/>
      <c r="S5" s="623"/>
      <c r="T5" s="624"/>
      <c r="U5" s="34"/>
    </row>
    <row r="6" spans="1:21" x14ac:dyDescent="0.3">
      <c r="A6" s="34"/>
      <c r="B6" s="86">
        <v>2</v>
      </c>
      <c r="C6" s="86">
        <v>1</v>
      </c>
      <c r="D6" s="86">
        <v>2</v>
      </c>
      <c r="E6" s="86" t="s">
        <v>479</v>
      </c>
      <c r="F6" s="78">
        <v>46267</v>
      </c>
      <c r="G6" s="205">
        <v>6.9444444444444447E-4</v>
      </c>
      <c r="H6" s="205">
        <v>0.99930555555555556</v>
      </c>
      <c r="I6" s="76"/>
      <c r="J6" s="201">
        <f>(H6-G6)*1440</f>
        <v>1438</v>
      </c>
      <c r="K6" s="86"/>
      <c r="L6" s="201">
        <f t="shared" ref="L6:L33" si="0">J6/60</f>
        <v>23.966666666666665</v>
      </c>
      <c r="M6" s="348" t="s">
        <v>482</v>
      </c>
      <c r="N6" s="34"/>
      <c r="O6" s="34"/>
      <c r="P6" s="34"/>
      <c r="Q6" s="190"/>
      <c r="R6" s="190"/>
      <c r="S6" s="190"/>
      <c r="T6" s="190"/>
      <c r="U6" s="34"/>
    </row>
    <row r="7" spans="1:21" ht="24" customHeight="1" x14ac:dyDescent="0.3">
      <c r="A7" s="34"/>
      <c r="B7" s="86">
        <v>2</v>
      </c>
      <c r="C7" s="78" t="s">
        <v>483</v>
      </c>
      <c r="D7" s="86" t="s">
        <v>484</v>
      </c>
      <c r="E7" s="86" t="s">
        <v>479</v>
      </c>
      <c r="F7" s="78">
        <v>46268</v>
      </c>
      <c r="G7" s="205">
        <v>6.9444444444444447E-4</v>
      </c>
      <c r="H7" s="205">
        <v>0.99930555555555556</v>
      </c>
      <c r="I7" s="76"/>
      <c r="J7" s="201">
        <f t="shared" ref="J7:J33" si="1">(H7-G7)*1440</f>
        <v>1438</v>
      </c>
      <c r="K7" s="200"/>
      <c r="L7" s="201">
        <f t="shared" si="0"/>
        <v>23.966666666666665</v>
      </c>
      <c r="M7" s="348" t="s">
        <v>485</v>
      </c>
      <c r="N7" s="191"/>
      <c r="O7" s="34"/>
      <c r="P7" s="34"/>
      <c r="Q7" s="371" t="s">
        <v>486</v>
      </c>
      <c r="R7" s="371" t="s">
        <v>475</v>
      </c>
      <c r="S7" s="371" t="s">
        <v>487</v>
      </c>
      <c r="T7" s="371" t="s">
        <v>488</v>
      </c>
      <c r="U7" s="440" t="s">
        <v>489</v>
      </c>
    </row>
    <row r="8" spans="1:21" ht="37.200000000000003" customHeight="1" x14ac:dyDescent="0.3">
      <c r="A8" s="34"/>
      <c r="B8" s="86">
        <v>3</v>
      </c>
      <c r="C8" s="78" t="s">
        <v>483</v>
      </c>
      <c r="D8" s="86">
        <v>2</v>
      </c>
      <c r="E8" s="86" t="s">
        <v>479</v>
      </c>
      <c r="F8" s="78">
        <v>46269</v>
      </c>
      <c r="G8" s="205">
        <v>6.9444444444444447E-4</v>
      </c>
      <c r="H8" s="205">
        <v>0.95833333333333337</v>
      </c>
      <c r="I8" s="76"/>
      <c r="J8" s="201">
        <f t="shared" si="1"/>
        <v>1379</v>
      </c>
      <c r="K8" s="86"/>
      <c r="L8" s="201">
        <f t="shared" si="0"/>
        <v>22.983333333333334</v>
      </c>
      <c r="M8" s="348" t="s">
        <v>490</v>
      </c>
      <c r="N8" s="34"/>
      <c r="O8" s="34"/>
      <c r="P8" s="34"/>
      <c r="Q8" s="80" t="s">
        <v>479</v>
      </c>
      <c r="R8" s="86">
        <f>SUMIFS(J5:J27,E5:E27,"Normal Operation")</f>
        <v>4315</v>
      </c>
      <c r="S8" s="200">
        <f>R8/60</f>
        <v>71.916666666666671</v>
      </c>
      <c r="T8" s="200">
        <f>S8/24</f>
        <v>2.9965277777777781</v>
      </c>
      <c r="U8" s="162">
        <f>S8/S11</f>
        <v>0.98628571428571432</v>
      </c>
    </row>
    <row r="9" spans="1:21" x14ac:dyDescent="0.3">
      <c r="A9" s="34"/>
      <c r="B9" s="86">
        <v>4</v>
      </c>
      <c r="C9" s="86">
        <v>2</v>
      </c>
      <c r="D9" s="86">
        <v>2</v>
      </c>
      <c r="E9" s="86" t="s">
        <v>491</v>
      </c>
      <c r="F9" s="78">
        <v>46269</v>
      </c>
      <c r="G9" s="205">
        <v>6.9444444444444447E-4</v>
      </c>
      <c r="H9" s="360">
        <v>4.2361111111111113E-2</v>
      </c>
      <c r="I9" s="80"/>
      <c r="J9" s="201">
        <f t="shared" si="1"/>
        <v>60.000000000000007</v>
      </c>
      <c r="K9" s="86"/>
      <c r="L9" s="201">
        <f t="shared" si="0"/>
        <v>1.0000000000000002</v>
      </c>
      <c r="M9" s="348" t="s">
        <v>492</v>
      </c>
      <c r="N9" s="34"/>
      <c r="O9" s="34"/>
      <c r="P9" s="34"/>
      <c r="Q9" s="80" t="s">
        <v>493</v>
      </c>
      <c r="R9" s="86">
        <f>SUMIFS(J5:J27,E5:E27,"Downtime Planed")</f>
        <v>0</v>
      </c>
      <c r="S9" s="86">
        <f t="shared" ref="S9" si="2">R9/60</f>
        <v>0</v>
      </c>
      <c r="T9" s="200">
        <f t="shared" ref="T9" si="3">S9/24</f>
        <v>0</v>
      </c>
      <c r="U9" s="86"/>
    </row>
    <row r="10" spans="1:21" x14ac:dyDescent="0.3">
      <c r="A10" s="34"/>
      <c r="B10" s="86">
        <v>5</v>
      </c>
      <c r="C10" s="78"/>
      <c r="D10" s="86">
        <v>3</v>
      </c>
      <c r="E10" s="86"/>
      <c r="F10" s="361"/>
      <c r="G10" s="205"/>
      <c r="H10" s="205"/>
      <c r="I10" s="80"/>
      <c r="J10" s="201">
        <f t="shared" si="1"/>
        <v>0</v>
      </c>
      <c r="K10" s="86"/>
      <c r="L10" s="201">
        <f t="shared" si="0"/>
        <v>0</v>
      </c>
      <c r="M10" s="348"/>
      <c r="N10" s="34"/>
      <c r="O10" s="34"/>
      <c r="P10" s="34"/>
      <c r="Q10" s="80" t="s">
        <v>494</v>
      </c>
      <c r="R10" s="86">
        <f>SUMIFS(J5:J33,E5:E33,"Unplaned Downtime")</f>
        <v>60.000000000000007</v>
      </c>
      <c r="S10" s="200">
        <f>R10/60</f>
        <v>1.0000000000000002</v>
      </c>
      <c r="T10" s="200">
        <f>S10/24</f>
        <v>4.1666666666666678E-2</v>
      </c>
      <c r="U10" s="86"/>
    </row>
    <row r="11" spans="1:21" x14ac:dyDescent="0.3">
      <c r="A11" s="34"/>
      <c r="B11" s="86">
        <v>6</v>
      </c>
      <c r="C11" s="78"/>
      <c r="D11" s="86">
        <v>3</v>
      </c>
      <c r="E11" s="86"/>
      <c r="F11" s="361"/>
      <c r="G11" s="205"/>
      <c r="H11" s="205"/>
      <c r="I11" s="80"/>
      <c r="J11" s="201">
        <f t="shared" si="1"/>
        <v>0</v>
      </c>
      <c r="K11" s="86"/>
      <c r="L11" s="201">
        <f t="shared" si="0"/>
        <v>0</v>
      </c>
      <c r="M11" s="348"/>
      <c r="N11" s="34"/>
      <c r="O11" s="34"/>
      <c r="P11" s="34"/>
      <c r="Q11" s="441" t="s">
        <v>495</v>
      </c>
      <c r="R11" s="86"/>
      <c r="S11" s="200">
        <f>SUM(S8:S10)</f>
        <v>72.916666666666671</v>
      </c>
      <c r="T11" s="200">
        <f>S11/24</f>
        <v>3.0381944444444446</v>
      </c>
      <c r="U11" s="86"/>
    </row>
    <row r="12" spans="1:21" x14ac:dyDescent="0.3">
      <c r="A12" s="34"/>
      <c r="B12" s="86">
        <v>7</v>
      </c>
      <c r="C12" s="78"/>
      <c r="D12" s="86">
        <v>3</v>
      </c>
      <c r="E12" s="86"/>
      <c r="F12" s="361"/>
      <c r="G12" s="205"/>
      <c r="H12" s="205"/>
      <c r="I12" s="80"/>
      <c r="J12" s="201">
        <f t="shared" si="1"/>
        <v>0</v>
      </c>
      <c r="K12" s="86"/>
      <c r="L12" s="201">
        <f t="shared" si="0"/>
        <v>0</v>
      </c>
      <c r="M12" s="348"/>
      <c r="N12" s="34"/>
      <c r="O12" s="34"/>
      <c r="P12" s="34"/>
      <c r="Q12" s="34"/>
      <c r="R12" s="34"/>
      <c r="S12" s="34"/>
      <c r="T12" s="34"/>
      <c r="U12" s="34"/>
    </row>
    <row r="13" spans="1:21" x14ac:dyDescent="0.3">
      <c r="A13" s="34"/>
      <c r="B13" s="86">
        <v>8</v>
      </c>
      <c r="C13" s="78"/>
      <c r="D13" s="86">
        <v>2</v>
      </c>
      <c r="E13" s="86"/>
      <c r="F13" s="78"/>
      <c r="G13" s="205"/>
      <c r="H13" s="205"/>
      <c r="I13" s="80"/>
      <c r="J13" s="201">
        <f t="shared" si="1"/>
        <v>0</v>
      </c>
      <c r="K13" s="86"/>
      <c r="L13" s="201">
        <f t="shared" si="0"/>
        <v>0</v>
      </c>
      <c r="M13" s="348"/>
      <c r="N13" s="34"/>
      <c r="O13" s="34"/>
      <c r="P13" s="34"/>
      <c r="Q13" s="34"/>
      <c r="R13" s="34"/>
      <c r="S13" s="34"/>
      <c r="T13" s="34"/>
      <c r="U13" s="34"/>
    </row>
    <row r="14" spans="1:21" x14ac:dyDescent="0.3">
      <c r="A14" s="34"/>
      <c r="B14" s="86">
        <v>10</v>
      </c>
      <c r="C14" s="78"/>
      <c r="D14" s="86">
        <v>2</v>
      </c>
      <c r="E14" s="86"/>
      <c r="F14" s="78"/>
      <c r="G14" s="205"/>
      <c r="H14" s="205"/>
      <c r="I14" s="80"/>
      <c r="J14" s="201">
        <f t="shared" si="1"/>
        <v>0</v>
      </c>
      <c r="K14" s="86"/>
      <c r="L14" s="201">
        <f t="shared" si="0"/>
        <v>0</v>
      </c>
      <c r="M14" s="348"/>
      <c r="N14" s="34"/>
      <c r="O14" s="34"/>
      <c r="P14" s="34"/>
      <c r="Q14" s="34"/>
      <c r="R14" s="34"/>
      <c r="S14" s="34"/>
      <c r="T14" s="34"/>
      <c r="U14" s="34"/>
    </row>
    <row r="15" spans="1:21" x14ac:dyDescent="0.3">
      <c r="A15" s="34"/>
      <c r="B15" s="86">
        <v>11</v>
      </c>
      <c r="C15" s="78"/>
      <c r="D15" s="86">
        <v>2</v>
      </c>
      <c r="E15" s="86"/>
      <c r="F15" s="78"/>
      <c r="G15" s="205"/>
      <c r="H15" s="205"/>
      <c r="I15" s="80"/>
      <c r="J15" s="201">
        <f t="shared" si="1"/>
        <v>0</v>
      </c>
      <c r="K15" s="86"/>
      <c r="L15" s="201">
        <f t="shared" si="0"/>
        <v>0</v>
      </c>
      <c r="M15" s="348"/>
      <c r="N15" s="34"/>
      <c r="O15" s="34"/>
      <c r="P15" s="34"/>
      <c r="Q15" s="34"/>
      <c r="R15" s="34"/>
      <c r="S15" s="34"/>
      <c r="T15" s="34"/>
      <c r="U15" s="34"/>
    </row>
    <row r="16" spans="1:21" x14ac:dyDescent="0.3">
      <c r="A16" s="34"/>
      <c r="B16" s="86">
        <v>12</v>
      </c>
      <c r="C16" s="78"/>
      <c r="D16" s="86">
        <v>3</v>
      </c>
      <c r="E16" s="86"/>
      <c r="F16" s="78"/>
      <c r="G16" s="205"/>
      <c r="H16" s="205"/>
      <c r="I16" s="80"/>
      <c r="J16" s="201">
        <f t="shared" si="1"/>
        <v>0</v>
      </c>
      <c r="K16" s="86"/>
      <c r="L16" s="201">
        <f t="shared" si="0"/>
        <v>0</v>
      </c>
      <c r="M16" s="348"/>
      <c r="N16" s="34"/>
      <c r="O16" s="34"/>
      <c r="P16" s="34"/>
      <c r="Q16" s="34"/>
      <c r="R16" s="34"/>
      <c r="S16" s="34"/>
      <c r="T16" s="34"/>
      <c r="U16" s="34"/>
    </row>
    <row r="17" spans="1:21" x14ac:dyDescent="0.3">
      <c r="A17" s="34"/>
      <c r="B17" s="86">
        <v>13</v>
      </c>
      <c r="C17" s="78"/>
      <c r="D17" s="86">
        <v>3</v>
      </c>
      <c r="E17" s="86"/>
      <c r="F17" s="205"/>
      <c r="G17" s="205"/>
      <c r="H17" s="205"/>
      <c r="I17" s="80"/>
      <c r="J17" s="201">
        <f t="shared" si="1"/>
        <v>0</v>
      </c>
      <c r="K17" s="86"/>
      <c r="L17" s="201">
        <f t="shared" si="0"/>
        <v>0</v>
      </c>
      <c r="M17" s="348"/>
      <c r="N17" s="34"/>
      <c r="O17" s="34"/>
      <c r="P17" s="34"/>
      <c r="Q17" s="34"/>
      <c r="R17" s="34"/>
      <c r="S17" s="34"/>
      <c r="T17" s="34"/>
      <c r="U17" s="34"/>
    </row>
    <row r="18" spans="1:21" x14ac:dyDescent="0.3">
      <c r="A18" s="34"/>
      <c r="B18" s="86">
        <v>14</v>
      </c>
      <c r="C18" s="78"/>
      <c r="D18" s="86">
        <v>3</v>
      </c>
      <c r="E18" s="86"/>
      <c r="F18" s="78"/>
      <c r="G18" s="205"/>
      <c r="H18" s="205"/>
      <c r="I18" s="80"/>
      <c r="J18" s="201">
        <f t="shared" si="1"/>
        <v>0</v>
      </c>
      <c r="K18" s="86"/>
      <c r="L18" s="201">
        <f t="shared" si="0"/>
        <v>0</v>
      </c>
      <c r="M18" s="348"/>
      <c r="N18" s="34"/>
      <c r="O18" s="34"/>
      <c r="P18" s="34"/>
      <c r="Q18" s="34"/>
      <c r="R18" s="34"/>
      <c r="S18" s="34"/>
      <c r="T18" s="34"/>
      <c r="U18" s="34"/>
    </row>
    <row r="19" spans="1:21" s="5" customFormat="1" x14ac:dyDescent="0.3">
      <c r="A19" s="34"/>
      <c r="B19" s="86">
        <v>15</v>
      </c>
      <c r="C19" s="78"/>
      <c r="D19" s="86">
        <v>3</v>
      </c>
      <c r="E19" s="86"/>
      <c r="F19" s="361"/>
      <c r="G19" s="205"/>
      <c r="H19" s="205"/>
      <c r="I19" s="86"/>
      <c r="J19" s="201">
        <f t="shared" si="1"/>
        <v>0</v>
      </c>
      <c r="K19" s="86"/>
      <c r="L19" s="201">
        <f t="shared" si="0"/>
        <v>0</v>
      </c>
      <c r="M19" s="348"/>
      <c r="N19" s="34"/>
      <c r="O19" s="34"/>
      <c r="P19" s="34"/>
      <c r="Q19" s="204"/>
      <c r="R19" s="34"/>
      <c r="S19" s="34"/>
      <c r="T19" s="34"/>
      <c r="U19" s="34"/>
    </row>
    <row r="20" spans="1:21" x14ac:dyDescent="0.3">
      <c r="A20" s="34"/>
      <c r="B20" s="86">
        <v>16</v>
      </c>
      <c r="C20" s="78"/>
      <c r="D20" s="86">
        <v>3</v>
      </c>
      <c r="E20" s="86"/>
      <c r="F20" s="78"/>
      <c r="G20" s="205"/>
      <c r="H20" s="205"/>
      <c r="I20" s="86"/>
      <c r="J20" s="201">
        <f t="shared" si="1"/>
        <v>0</v>
      </c>
      <c r="K20" s="86"/>
      <c r="L20" s="201">
        <f t="shared" si="0"/>
        <v>0</v>
      </c>
      <c r="M20" s="348"/>
      <c r="N20" s="34"/>
      <c r="O20" s="34"/>
      <c r="P20" s="34"/>
      <c r="Q20" s="203"/>
      <c r="R20" s="34"/>
      <c r="S20" s="34"/>
      <c r="T20" s="34"/>
      <c r="U20" s="34"/>
    </row>
    <row r="21" spans="1:21" x14ac:dyDescent="0.3">
      <c r="A21" s="34"/>
      <c r="B21" s="86">
        <v>18</v>
      </c>
      <c r="C21" s="78"/>
      <c r="D21" s="86">
        <v>2</v>
      </c>
      <c r="E21" s="86"/>
      <c r="F21" s="78"/>
      <c r="G21" s="205"/>
      <c r="H21" s="205"/>
      <c r="I21" s="80"/>
      <c r="J21" s="201">
        <f t="shared" si="1"/>
        <v>0</v>
      </c>
      <c r="K21" s="86"/>
      <c r="L21" s="201">
        <f t="shared" si="0"/>
        <v>0</v>
      </c>
      <c r="M21" s="348"/>
      <c r="N21" s="34"/>
      <c r="O21" s="34"/>
      <c r="P21" s="34"/>
      <c r="Q21" s="34"/>
      <c r="R21" s="34"/>
      <c r="S21" s="34"/>
      <c r="T21" s="34"/>
      <c r="U21" s="34"/>
    </row>
    <row r="22" spans="1:21" x14ac:dyDescent="0.3">
      <c r="A22" s="34"/>
      <c r="B22" s="86">
        <v>19</v>
      </c>
      <c r="C22" s="78"/>
      <c r="D22" s="86">
        <v>3</v>
      </c>
      <c r="E22" s="86"/>
      <c r="F22" s="78"/>
      <c r="G22" s="205"/>
      <c r="H22" s="205"/>
      <c r="I22" s="80"/>
      <c r="J22" s="201">
        <f t="shared" si="1"/>
        <v>0</v>
      </c>
      <c r="K22" s="86"/>
      <c r="L22" s="201">
        <f t="shared" si="0"/>
        <v>0</v>
      </c>
      <c r="M22" s="348"/>
      <c r="N22" s="34"/>
      <c r="O22" s="34"/>
      <c r="P22" s="34"/>
      <c r="Q22" s="34"/>
      <c r="R22" s="34"/>
      <c r="S22" s="34"/>
      <c r="T22" s="34"/>
      <c r="U22" s="34"/>
    </row>
    <row r="23" spans="1:21" x14ac:dyDescent="0.3">
      <c r="A23" s="34"/>
      <c r="B23" s="86">
        <v>20</v>
      </c>
      <c r="C23" s="78"/>
      <c r="D23" s="86">
        <v>3</v>
      </c>
      <c r="E23" s="86"/>
      <c r="F23" s="78"/>
      <c r="G23" s="205"/>
      <c r="H23" s="205"/>
      <c r="I23" s="80"/>
      <c r="J23" s="201">
        <f t="shared" si="1"/>
        <v>0</v>
      </c>
      <c r="K23" s="86"/>
      <c r="L23" s="201">
        <f t="shared" si="0"/>
        <v>0</v>
      </c>
      <c r="M23" s="348"/>
      <c r="N23" s="34"/>
      <c r="O23" s="34"/>
      <c r="P23" s="34"/>
      <c r="Q23" s="34"/>
      <c r="R23" s="34"/>
      <c r="S23" s="34"/>
      <c r="T23" s="34"/>
      <c r="U23" s="34"/>
    </row>
    <row r="24" spans="1:21" x14ac:dyDescent="0.3">
      <c r="A24" s="34"/>
      <c r="B24" s="86">
        <v>21</v>
      </c>
      <c r="C24" s="78"/>
      <c r="D24" s="80">
        <v>3</v>
      </c>
      <c r="E24" s="80"/>
      <c r="F24" s="78"/>
      <c r="G24" s="205"/>
      <c r="H24" s="205"/>
      <c r="I24" s="80"/>
      <c r="J24" s="201">
        <f t="shared" si="1"/>
        <v>0</v>
      </c>
      <c r="K24" s="80"/>
      <c r="L24" s="201">
        <f t="shared" si="0"/>
        <v>0</v>
      </c>
      <c r="M24" s="348"/>
      <c r="N24" s="34"/>
      <c r="O24" s="34"/>
      <c r="P24" s="34"/>
      <c r="Q24" s="34"/>
      <c r="R24" s="34"/>
      <c r="S24" s="34"/>
      <c r="T24" s="34"/>
      <c r="U24" s="34"/>
    </row>
    <row r="25" spans="1:21" x14ac:dyDescent="0.3">
      <c r="A25" s="34"/>
      <c r="B25" s="86">
        <v>22</v>
      </c>
      <c r="C25" s="78"/>
      <c r="D25" s="80"/>
      <c r="E25" s="80"/>
      <c r="F25" s="86"/>
      <c r="G25" s="86"/>
      <c r="H25" s="86"/>
      <c r="I25" s="80"/>
      <c r="J25" s="201">
        <f t="shared" si="1"/>
        <v>0</v>
      </c>
      <c r="K25" s="80"/>
      <c r="L25" s="201">
        <f t="shared" si="0"/>
        <v>0</v>
      </c>
      <c r="M25" s="348"/>
      <c r="N25" s="34"/>
      <c r="O25" s="34"/>
      <c r="P25" s="34"/>
      <c r="Q25" s="34"/>
      <c r="R25" s="34"/>
      <c r="S25" s="34"/>
      <c r="T25" s="34"/>
      <c r="U25" s="34"/>
    </row>
    <row r="26" spans="1:21" x14ac:dyDescent="0.3">
      <c r="A26" s="34"/>
      <c r="B26" s="86">
        <v>23</v>
      </c>
      <c r="C26" s="78"/>
      <c r="D26" s="80"/>
      <c r="E26" s="80"/>
      <c r="F26" s="86"/>
      <c r="G26" s="86"/>
      <c r="H26" s="86"/>
      <c r="I26" s="80"/>
      <c r="J26" s="201">
        <f t="shared" si="1"/>
        <v>0</v>
      </c>
      <c r="K26" s="80"/>
      <c r="L26" s="201">
        <f t="shared" si="0"/>
        <v>0</v>
      </c>
      <c r="M26" s="348"/>
      <c r="N26" s="34"/>
      <c r="O26" s="34"/>
      <c r="P26" s="34"/>
      <c r="Q26" s="34"/>
      <c r="R26" s="34"/>
      <c r="S26" s="34"/>
      <c r="T26" s="34"/>
      <c r="U26" s="34"/>
    </row>
    <row r="27" spans="1:21" x14ac:dyDescent="0.3">
      <c r="A27" s="34"/>
      <c r="B27" s="86">
        <v>24</v>
      </c>
      <c r="C27" s="78"/>
      <c r="D27" s="80"/>
      <c r="E27" s="80"/>
      <c r="F27" s="86"/>
      <c r="G27" s="86"/>
      <c r="H27" s="86"/>
      <c r="I27" s="80"/>
      <c r="J27" s="201">
        <f t="shared" si="1"/>
        <v>0</v>
      </c>
      <c r="K27" s="80"/>
      <c r="L27" s="201">
        <f t="shared" si="0"/>
        <v>0</v>
      </c>
      <c r="M27" s="348"/>
      <c r="N27" s="34"/>
      <c r="O27" s="34"/>
      <c r="P27" s="34"/>
      <c r="Q27" s="34"/>
      <c r="R27" s="34"/>
      <c r="S27" s="34"/>
      <c r="T27" s="34"/>
      <c r="U27" s="34"/>
    </row>
    <row r="28" spans="1:21" x14ac:dyDescent="0.3">
      <c r="A28" s="34"/>
      <c r="B28" s="86">
        <v>25</v>
      </c>
      <c r="C28" s="78"/>
      <c r="D28" s="80"/>
      <c r="E28" s="80"/>
      <c r="F28" s="86"/>
      <c r="G28" s="86"/>
      <c r="H28" s="86"/>
      <c r="I28" s="80"/>
      <c r="J28" s="201">
        <f t="shared" si="1"/>
        <v>0</v>
      </c>
      <c r="K28" s="80"/>
      <c r="L28" s="201">
        <f t="shared" si="0"/>
        <v>0</v>
      </c>
      <c r="M28" s="348"/>
      <c r="N28" s="34"/>
      <c r="O28" s="34"/>
      <c r="P28" s="34"/>
      <c r="Q28" s="34"/>
      <c r="R28" s="34"/>
      <c r="S28" s="34"/>
      <c r="T28" s="34"/>
      <c r="U28" s="34"/>
    </row>
    <row r="29" spans="1:21" x14ac:dyDescent="0.3">
      <c r="A29" s="34"/>
      <c r="B29" s="86">
        <v>26</v>
      </c>
      <c r="C29" s="78"/>
      <c r="D29" s="80"/>
      <c r="E29" s="80"/>
      <c r="F29" s="86"/>
      <c r="G29" s="86"/>
      <c r="H29" s="86"/>
      <c r="I29" s="80"/>
      <c r="J29" s="201">
        <f t="shared" si="1"/>
        <v>0</v>
      </c>
      <c r="K29" s="80"/>
      <c r="L29" s="201">
        <f t="shared" si="0"/>
        <v>0</v>
      </c>
      <c r="M29" s="348"/>
      <c r="N29" s="34"/>
      <c r="O29" s="34"/>
      <c r="P29" s="34"/>
      <c r="Q29" s="34"/>
      <c r="R29" s="34"/>
      <c r="S29" s="34"/>
      <c r="T29" s="34"/>
      <c r="U29" s="34"/>
    </row>
    <row r="30" spans="1:21" x14ac:dyDescent="0.3">
      <c r="A30" s="34"/>
      <c r="B30" s="86">
        <v>27</v>
      </c>
      <c r="C30" s="78"/>
      <c r="D30" s="80"/>
      <c r="E30" s="80"/>
      <c r="F30" s="86"/>
      <c r="G30" s="86"/>
      <c r="H30" s="86"/>
      <c r="I30" s="80"/>
      <c r="J30" s="201">
        <f t="shared" si="1"/>
        <v>0</v>
      </c>
      <c r="K30" s="80"/>
      <c r="L30" s="201">
        <f t="shared" si="0"/>
        <v>0</v>
      </c>
      <c r="M30" s="348"/>
      <c r="N30" s="34"/>
      <c r="O30" s="34"/>
      <c r="P30" s="34"/>
      <c r="Q30" s="34"/>
      <c r="R30" s="34"/>
      <c r="S30" s="34"/>
      <c r="T30" s="34"/>
      <c r="U30" s="34"/>
    </row>
    <row r="31" spans="1:21" x14ac:dyDescent="0.3">
      <c r="A31" s="34"/>
      <c r="B31" s="86">
        <v>28</v>
      </c>
      <c r="C31" s="78"/>
      <c r="D31" s="80"/>
      <c r="E31" s="80"/>
      <c r="F31" s="86"/>
      <c r="G31" s="86"/>
      <c r="H31" s="86"/>
      <c r="I31" s="80"/>
      <c r="J31" s="201">
        <f t="shared" si="1"/>
        <v>0</v>
      </c>
      <c r="K31" s="80"/>
      <c r="L31" s="201">
        <f t="shared" si="0"/>
        <v>0</v>
      </c>
      <c r="M31" s="348"/>
      <c r="N31" s="34"/>
      <c r="O31" s="34"/>
      <c r="P31" s="34"/>
      <c r="Q31" s="34"/>
      <c r="R31" s="34"/>
      <c r="S31" s="34"/>
      <c r="T31" s="34"/>
      <c r="U31" s="34"/>
    </row>
    <row r="32" spans="1:21" x14ac:dyDescent="0.3">
      <c r="A32" s="34"/>
      <c r="B32" s="86">
        <v>29</v>
      </c>
      <c r="C32" s="78"/>
      <c r="D32" s="80"/>
      <c r="E32" s="80"/>
      <c r="F32" s="86"/>
      <c r="G32" s="86"/>
      <c r="H32" s="86"/>
      <c r="I32" s="80"/>
      <c r="J32" s="201">
        <f t="shared" si="1"/>
        <v>0</v>
      </c>
      <c r="K32" s="80"/>
      <c r="L32" s="201">
        <f t="shared" si="0"/>
        <v>0</v>
      </c>
      <c r="M32" s="348"/>
      <c r="N32" s="34"/>
      <c r="O32" s="34"/>
      <c r="P32" s="34"/>
      <c r="Q32" s="34"/>
      <c r="R32" s="34"/>
      <c r="S32" s="34"/>
      <c r="T32" s="34"/>
      <c r="U32" s="34"/>
    </row>
    <row r="33" spans="1:21" x14ac:dyDescent="0.3">
      <c r="A33" s="34"/>
      <c r="B33" s="86">
        <v>30</v>
      </c>
      <c r="C33" s="78"/>
      <c r="D33" s="80"/>
      <c r="E33" s="80"/>
      <c r="F33" s="86"/>
      <c r="G33" s="86"/>
      <c r="H33" s="86"/>
      <c r="I33" s="80"/>
      <c r="J33" s="201">
        <f t="shared" si="1"/>
        <v>0</v>
      </c>
      <c r="K33" s="80"/>
      <c r="L33" s="201">
        <f t="shared" si="0"/>
        <v>0</v>
      </c>
      <c r="M33" s="348"/>
      <c r="N33" s="34"/>
      <c r="O33" s="34"/>
      <c r="P33" s="34"/>
      <c r="Q33" s="34"/>
      <c r="R33" s="34"/>
      <c r="S33" s="34"/>
      <c r="T33" s="34"/>
      <c r="U33" s="34"/>
    </row>
  </sheetData>
  <mergeCells count="1">
    <mergeCell ref="Q4:T5"/>
  </mergeCells>
  <dataValidations count="1">
    <dataValidation type="list" allowBlank="1" showInputMessage="1" showErrorMessage="1" sqref="E5:E33" xr:uid="{00000000-0002-0000-0E00-000000000000}">
      <formula1>"Normal Operation, Unplaned Downtime, Downtime Planed"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74C67"/>
  </sheetPr>
  <dimension ref="A1:AW28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x14ac:dyDescent="0.3"/>
  <cols>
    <col min="1" max="1" width="11.33203125" customWidth="1"/>
    <col min="2" max="2" width="28.33203125" customWidth="1"/>
    <col min="3" max="3" width="16" customWidth="1"/>
    <col min="4" max="4" width="23.88671875" customWidth="1"/>
    <col min="5" max="5" width="18.88671875" customWidth="1"/>
    <col min="6" max="6" width="15.77734375" customWidth="1"/>
    <col min="7" max="7" width="9.21875" style="8" customWidth="1"/>
    <col min="8" max="8" width="15.5546875" customWidth="1"/>
    <col min="9" max="14" width="22.77734375" customWidth="1"/>
    <col min="15" max="16" width="9.21875" customWidth="1"/>
    <col min="17" max="17" width="11.88671875" customWidth="1"/>
    <col min="18" max="19" width="9.21875" customWidth="1"/>
    <col min="20" max="20" width="11.88671875" customWidth="1"/>
    <col min="21" max="22" width="9.21875" customWidth="1"/>
    <col min="23" max="23" width="11.88671875" customWidth="1"/>
    <col min="24" max="25" width="9.21875" customWidth="1"/>
    <col min="26" max="26" width="11.88671875" customWidth="1"/>
    <col min="27" max="28" width="9.21875" customWidth="1"/>
    <col min="29" max="29" width="11.88671875" customWidth="1"/>
    <col min="30" max="31" width="9.21875" customWidth="1"/>
    <col min="32" max="32" width="11.88671875" customWidth="1"/>
    <col min="33" max="34" width="9.21875" customWidth="1"/>
    <col min="35" max="35" width="11.88671875" customWidth="1"/>
    <col min="36" max="37" width="9.21875" customWidth="1"/>
    <col min="38" max="38" width="11.88671875" customWidth="1"/>
    <col min="39" max="40" width="9.21875" customWidth="1"/>
    <col min="41" max="41" width="11.88671875" customWidth="1"/>
    <col min="42" max="43" width="9.21875" customWidth="1"/>
    <col min="44" max="47" width="11.88671875" customWidth="1"/>
    <col min="48" max="49" width="34" customWidth="1"/>
  </cols>
  <sheetData>
    <row r="1" spans="1:49" x14ac:dyDescent="0.3">
      <c r="A1" s="161"/>
      <c r="B1" s="161"/>
      <c r="C1" s="161"/>
      <c r="D1" s="161"/>
      <c r="E1" s="161"/>
      <c r="F1" s="161"/>
      <c r="G1" s="190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</row>
    <row r="2" spans="1:49" x14ac:dyDescent="0.3">
      <c r="A2" s="161"/>
      <c r="B2" s="161"/>
      <c r="C2" s="161"/>
      <c r="D2" s="161"/>
      <c r="E2" s="161"/>
      <c r="F2" s="161"/>
      <c r="G2" s="190"/>
      <c r="H2" s="161"/>
      <c r="I2" s="161"/>
      <c r="J2" s="203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</row>
    <row r="3" spans="1:49" x14ac:dyDescent="0.3">
      <c r="A3" s="161"/>
      <c r="B3" s="161"/>
      <c r="C3" s="161"/>
      <c r="D3" s="161"/>
      <c r="E3" s="161"/>
      <c r="F3" s="161"/>
      <c r="G3" s="190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</row>
    <row r="4" spans="1:49" ht="22.05" customHeight="1" x14ac:dyDescent="0.3">
      <c r="A4" s="532" t="s">
        <v>74</v>
      </c>
      <c r="B4" s="532" t="s">
        <v>496</v>
      </c>
      <c r="C4" s="532"/>
      <c r="D4" s="532"/>
      <c r="E4" s="532"/>
      <c r="F4" s="370"/>
      <c r="G4" s="370"/>
      <c r="H4" s="370"/>
      <c r="I4" s="370"/>
      <c r="J4" s="370"/>
      <c r="K4" s="370"/>
      <c r="L4" s="532" t="s">
        <v>497</v>
      </c>
      <c r="M4" s="532"/>
      <c r="N4" s="532"/>
      <c r="O4" s="532" t="s">
        <v>498</v>
      </c>
      <c r="P4" s="532"/>
      <c r="Q4" s="532"/>
      <c r="R4" s="532" t="s">
        <v>499</v>
      </c>
      <c r="S4" s="532"/>
      <c r="T4" s="532"/>
      <c r="U4" s="532" t="s">
        <v>500</v>
      </c>
      <c r="V4" s="532"/>
      <c r="W4" s="532"/>
      <c r="X4" s="532" t="s">
        <v>501</v>
      </c>
      <c r="Y4" s="532"/>
      <c r="Z4" s="532"/>
      <c r="AA4" s="532" t="s">
        <v>502</v>
      </c>
      <c r="AB4" s="532"/>
      <c r="AC4" s="532"/>
      <c r="AD4" s="532" t="s">
        <v>503</v>
      </c>
      <c r="AE4" s="532"/>
      <c r="AF4" s="532"/>
      <c r="AG4" s="647">
        <v>0.83333333333333337</v>
      </c>
      <c r="AH4" s="532"/>
      <c r="AI4" s="532"/>
      <c r="AJ4" s="647">
        <v>0.91666666666666663</v>
      </c>
      <c r="AK4" s="647"/>
      <c r="AL4" s="647"/>
      <c r="AM4" s="647">
        <v>0</v>
      </c>
      <c r="AN4" s="647"/>
      <c r="AO4" s="647"/>
      <c r="AP4" s="647">
        <v>8.3333333333333329E-2</v>
      </c>
      <c r="AQ4" s="647"/>
      <c r="AR4" s="647"/>
      <c r="AS4" s="647">
        <v>0.16666666666666666</v>
      </c>
      <c r="AT4" s="647"/>
      <c r="AU4" s="647"/>
      <c r="AV4" s="370" t="s">
        <v>504</v>
      </c>
      <c r="AW4" s="370"/>
    </row>
    <row r="5" spans="1:49" ht="24" customHeight="1" x14ac:dyDescent="0.3">
      <c r="A5" s="535"/>
      <c r="B5" s="371" t="s">
        <v>505</v>
      </c>
      <c r="C5" s="371" t="s">
        <v>506</v>
      </c>
      <c r="D5" s="431" t="s">
        <v>507</v>
      </c>
      <c r="E5" s="431" t="s">
        <v>508</v>
      </c>
      <c r="F5" s="371" t="s">
        <v>509</v>
      </c>
      <c r="G5" s="371" t="s">
        <v>286</v>
      </c>
      <c r="H5" s="371" t="s">
        <v>510</v>
      </c>
      <c r="I5" s="371" t="s">
        <v>262</v>
      </c>
      <c r="J5" s="371" t="s">
        <v>511</v>
      </c>
      <c r="K5" s="371" t="s">
        <v>512</v>
      </c>
      <c r="L5" s="371" t="s">
        <v>513</v>
      </c>
      <c r="M5" s="371" t="s">
        <v>360</v>
      </c>
      <c r="N5" s="371" t="s">
        <v>514</v>
      </c>
      <c r="O5" s="371" t="s">
        <v>513</v>
      </c>
      <c r="P5" s="371" t="s">
        <v>360</v>
      </c>
      <c r="Q5" s="371" t="s">
        <v>514</v>
      </c>
      <c r="R5" s="371" t="s">
        <v>513</v>
      </c>
      <c r="S5" s="371" t="s">
        <v>360</v>
      </c>
      <c r="T5" s="371" t="s">
        <v>514</v>
      </c>
      <c r="U5" s="371" t="s">
        <v>513</v>
      </c>
      <c r="V5" s="371" t="s">
        <v>360</v>
      </c>
      <c r="W5" s="371" t="s">
        <v>514</v>
      </c>
      <c r="X5" s="371" t="s">
        <v>513</v>
      </c>
      <c r="Y5" s="371" t="s">
        <v>360</v>
      </c>
      <c r="Z5" s="371" t="s">
        <v>514</v>
      </c>
      <c r="AA5" s="371" t="s">
        <v>513</v>
      </c>
      <c r="AB5" s="371" t="s">
        <v>360</v>
      </c>
      <c r="AC5" s="371" t="s">
        <v>514</v>
      </c>
      <c r="AD5" s="371" t="s">
        <v>513</v>
      </c>
      <c r="AE5" s="371" t="s">
        <v>360</v>
      </c>
      <c r="AF5" s="371" t="s">
        <v>514</v>
      </c>
      <c r="AG5" s="371" t="s">
        <v>513</v>
      </c>
      <c r="AH5" s="371" t="s">
        <v>360</v>
      </c>
      <c r="AI5" s="371" t="s">
        <v>514</v>
      </c>
      <c r="AJ5" s="371" t="s">
        <v>513</v>
      </c>
      <c r="AK5" s="371" t="s">
        <v>360</v>
      </c>
      <c r="AL5" s="371" t="s">
        <v>514</v>
      </c>
      <c r="AM5" s="371" t="s">
        <v>513</v>
      </c>
      <c r="AN5" s="371" t="s">
        <v>360</v>
      </c>
      <c r="AO5" s="371" t="s">
        <v>514</v>
      </c>
      <c r="AP5" s="371" t="s">
        <v>513</v>
      </c>
      <c r="AQ5" s="371" t="s">
        <v>360</v>
      </c>
      <c r="AR5" s="371" t="s">
        <v>514</v>
      </c>
      <c r="AS5" s="371" t="s">
        <v>513</v>
      </c>
      <c r="AT5" s="371" t="s">
        <v>360</v>
      </c>
      <c r="AU5" s="371" t="s">
        <v>514</v>
      </c>
      <c r="AV5" s="371" t="s">
        <v>515</v>
      </c>
      <c r="AW5" s="371" t="s">
        <v>516</v>
      </c>
    </row>
    <row r="6" spans="1:49" x14ac:dyDescent="0.3">
      <c r="A6" s="639">
        <v>46147</v>
      </c>
      <c r="B6" s="641"/>
      <c r="C6" s="76" t="s">
        <v>199</v>
      </c>
      <c r="D6" s="76" t="s">
        <v>517</v>
      </c>
      <c r="E6" s="76"/>
      <c r="F6" s="78" t="s">
        <v>518</v>
      </c>
      <c r="G6" s="86">
        <v>1</v>
      </c>
      <c r="H6" s="200"/>
      <c r="I6" s="86"/>
      <c r="J6" s="86"/>
      <c r="K6" s="86"/>
      <c r="L6" s="86"/>
      <c r="M6" s="86"/>
      <c r="N6" s="86"/>
      <c r="O6" s="86"/>
      <c r="P6" s="162"/>
      <c r="Q6" s="162"/>
      <c r="R6" s="86"/>
      <c r="S6" s="86"/>
      <c r="T6" s="86"/>
      <c r="U6" s="86"/>
      <c r="V6" s="86"/>
      <c r="W6" s="86"/>
      <c r="X6" s="86"/>
      <c r="Y6" s="162"/>
      <c r="Z6" s="162"/>
      <c r="AA6" s="86">
        <v>11</v>
      </c>
      <c r="AB6" s="162">
        <v>0.38</v>
      </c>
      <c r="AC6" s="86">
        <v>200</v>
      </c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625" t="s">
        <v>519</v>
      </c>
      <c r="AW6" s="626"/>
    </row>
    <row r="7" spans="1:49" x14ac:dyDescent="0.3">
      <c r="A7" s="639"/>
      <c r="B7" s="642"/>
      <c r="C7" s="76"/>
      <c r="D7" s="76"/>
      <c r="E7" s="80"/>
      <c r="F7" s="80"/>
      <c r="G7" s="86">
        <v>2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625"/>
      <c r="AW7" s="627"/>
    </row>
    <row r="8" spans="1:49" x14ac:dyDescent="0.3">
      <c r="A8" s="639"/>
      <c r="B8" s="642"/>
      <c r="C8" s="76"/>
      <c r="D8" s="76"/>
      <c r="E8" s="80"/>
      <c r="F8" s="80"/>
      <c r="G8" s="86">
        <v>3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625"/>
      <c r="AW8" s="627"/>
    </row>
    <row r="9" spans="1:49" x14ac:dyDescent="0.3">
      <c r="A9" s="641"/>
      <c r="B9" s="642"/>
      <c r="C9" s="364"/>
      <c r="D9" s="364"/>
      <c r="E9" s="130"/>
      <c r="F9" s="130"/>
      <c r="G9" s="319">
        <v>4</v>
      </c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626"/>
      <c r="AW9" s="628"/>
    </row>
    <row r="10" spans="1:49" x14ac:dyDescent="0.3">
      <c r="A10" s="643">
        <v>46148</v>
      </c>
      <c r="B10" s="648" t="s">
        <v>520</v>
      </c>
      <c r="C10" s="365" t="s">
        <v>199</v>
      </c>
      <c r="D10" s="234" t="s">
        <v>521</v>
      </c>
      <c r="E10" s="365"/>
      <c r="F10" s="234"/>
      <c r="G10" s="280">
        <v>1</v>
      </c>
      <c r="H10" s="235">
        <f>(1.5*1000)/I10</f>
        <v>2.7777777777777777</v>
      </c>
      <c r="I10" s="280">
        <v>540</v>
      </c>
      <c r="J10" s="280">
        <v>258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>
        <v>11</v>
      </c>
      <c r="V10" s="280"/>
      <c r="W10" s="280">
        <v>170</v>
      </c>
      <c r="X10" s="86">
        <v>11.1</v>
      </c>
      <c r="Y10" s="162">
        <v>0.38</v>
      </c>
      <c r="Z10" s="280"/>
      <c r="AA10" s="280">
        <v>11</v>
      </c>
      <c r="AB10" s="280"/>
      <c r="AC10" s="280">
        <v>170</v>
      </c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631" t="s">
        <v>522</v>
      </c>
      <c r="AW10" s="634" t="s">
        <v>523</v>
      </c>
    </row>
    <row r="11" spans="1:49" x14ac:dyDescent="0.3">
      <c r="A11" s="644"/>
      <c r="B11" s="642"/>
      <c r="C11" s="76"/>
      <c r="D11" s="76"/>
      <c r="E11" s="76"/>
      <c r="F11" s="78"/>
      <c r="G11" s="86">
        <v>2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632"/>
      <c r="AW11" s="635"/>
    </row>
    <row r="12" spans="1:49" x14ac:dyDescent="0.3">
      <c r="A12" s="644"/>
      <c r="B12" s="642"/>
      <c r="C12" s="76"/>
      <c r="D12" s="76"/>
      <c r="E12" s="76"/>
      <c r="F12" s="78"/>
      <c r="G12" s="86">
        <v>3</v>
      </c>
      <c r="H12" s="50"/>
      <c r="I12" s="50"/>
      <c r="J12" s="50"/>
      <c r="K12" s="50"/>
      <c r="L12" s="50"/>
      <c r="M12" s="50"/>
      <c r="N12" s="50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632"/>
      <c r="AW12" s="635"/>
    </row>
    <row r="13" spans="1:49" x14ac:dyDescent="0.3">
      <c r="A13" s="645"/>
      <c r="B13" s="642"/>
      <c r="C13" s="366"/>
      <c r="D13" s="366"/>
      <c r="E13" s="366"/>
      <c r="F13" s="255"/>
      <c r="G13" s="298">
        <v>4</v>
      </c>
      <c r="H13" s="367"/>
      <c r="I13" s="367"/>
      <c r="J13" s="367"/>
      <c r="K13" s="367"/>
      <c r="L13" s="367"/>
      <c r="M13" s="367"/>
      <c r="N13" s="367"/>
      <c r="O13" s="298"/>
      <c r="P13" s="298"/>
      <c r="Q13" s="298"/>
      <c r="R13" s="298"/>
      <c r="S13" s="298"/>
      <c r="T13" s="298"/>
      <c r="U13" s="34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8"/>
      <c r="AU13" s="298"/>
      <c r="AV13" s="633"/>
      <c r="AW13" s="636"/>
    </row>
    <row r="14" spans="1:49" x14ac:dyDescent="0.3">
      <c r="A14" s="643">
        <v>46149</v>
      </c>
      <c r="B14" s="78" t="s">
        <v>524</v>
      </c>
      <c r="C14" s="365"/>
      <c r="D14" s="96"/>
      <c r="E14" s="96"/>
      <c r="F14" s="280"/>
      <c r="G14" s="280">
        <v>1</v>
      </c>
      <c r="H14" s="235">
        <f>(1.5*1000)/I14</f>
        <v>2.7777777777777777</v>
      </c>
      <c r="I14" s="280">
        <v>540</v>
      </c>
      <c r="J14" s="280">
        <v>258</v>
      </c>
      <c r="K14" s="235">
        <f>J14*((1-38%)/38%)</f>
        <v>420.9473684210526</v>
      </c>
      <c r="L14" s="235"/>
      <c r="M14" s="235"/>
      <c r="N14" s="235"/>
      <c r="O14" s="280"/>
      <c r="P14" s="280"/>
      <c r="Q14" s="280"/>
      <c r="R14" s="280">
        <v>11</v>
      </c>
      <c r="S14" s="280"/>
      <c r="T14" s="280">
        <v>180</v>
      </c>
      <c r="U14" s="280">
        <v>11</v>
      </c>
      <c r="V14" s="280"/>
      <c r="W14" s="280">
        <v>180</v>
      </c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631" t="s">
        <v>525</v>
      </c>
      <c r="AW14" s="634"/>
    </row>
    <row r="15" spans="1:49" x14ac:dyDescent="0.3">
      <c r="A15" s="644"/>
      <c r="B15" s="78" t="s">
        <v>526</v>
      </c>
      <c r="C15" s="76" t="s">
        <v>199</v>
      </c>
      <c r="D15" s="80" t="s">
        <v>527</v>
      </c>
      <c r="E15" s="80"/>
      <c r="F15" s="86"/>
      <c r="G15" s="86">
        <v>2</v>
      </c>
      <c r="H15" s="200">
        <f>1200/I15</f>
        <v>2.2222222222222223</v>
      </c>
      <c r="I15" s="86">
        <v>540</v>
      </c>
      <c r="J15" s="86">
        <v>265</v>
      </c>
      <c r="K15" s="235">
        <f>J15*((1-39%)/39%)</f>
        <v>414.4871794871795</v>
      </c>
      <c r="L15" s="243"/>
      <c r="M15" s="243"/>
      <c r="N15" s="243"/>
      <c r="O15" s="86">
        <v>11</v>
      </c>
      <c r="P15" s="162">
        <v>0.39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632"/>
      <c r="AW15" s="635"/>
    </row>
    <row r="16" spans="1:49" x14ac:dyDescent="0.3">
      <c r="A16" s="644"/>
      <c r="B16" s="78"/>
      <c r="C16" s="76"/>
      <c r="D16" s="80"/>
      <c r="E16" s="80"/>
      <c r="F16" s="86"/>
      <c r="G16" s="86">
        <v>3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632"/>
      <c r="AW16" s="635"/>
    </row>
    <row r="17" spans="1:49" x14ac:dyDescent="0.3">
      <c r="A17" s="645"/>
      <c r="B17" s="78"/>
      <c r="C17" s="366"/>
      <c r="D17" s="125"/>
      <c r="E17" s="125"/>
      <c r="F17" s="298"/>
      <c r="G17" s="298">
        <v>4</v>
      </c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632"/>
      <c r="AW17" s="636"/>
    </row>
    <row r="18" spans="1:49" x14ac:dyDescent="0.3">
      <c r="A18" s="646">
        <v>46150</v>
      </c>
      <c r="B18" s="78" t="s">
        <v>528</v>
      </c>
      <c r="C18" s="353"/>
      <c r="D18" s="317"/>
      <c r="E18" s="317"/>
      <c r="F18" s="276"/>
      <c r="G18" s="276">
        <v>1</v>
      </c>
      <c r="H18" s="276"/>
      <c r="I18" s="276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171" t="s">
        <v>529</v>
      </c>
      <c r="AW18" s="637"/>
    </row>
    <row r="19" spans="1:49" ht="22.8" x14ac:dyDescent="0.3">
      <c r="A19" s="639"/>
      <c r="B19" s="78" t="s">
        <v>530</v>
      </c>
      <c r="C19" s="76"/>
      <c r="D19" s="80"/>
      <c r="E19" s="80"/>
      <c r="F19" s="86"/>
      <c r="G19" s="86">
        <v>2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171" t="s">
        <v>531</v>
      </c>
      <c r="AW19" s="638"/>
    </row>
    <row r="20" spans="1:49" x14ac:dyDescent="0.3">
      <c r="A20" s="639"/>
      <c r="B20" s="78"/>
      <c r="C20" s="76"/>
      <c r="D20" s="80"/>
      <c r="E20" s="80"/>
      <c r="F20" s="86"/>
      <c r="G20" s="86">
        <v>3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171"/>
      <c r="AW20" s="638"/>
    </row>
    <row r="21" spans="1:49" x14ac:dyDescent="0.3">
      <c r="A21" s="639"/>
      <c r="B21" s="258"/>
      <c r="C21" s="76"/>
      <c r="D21" s="80"/>
      <c r="E21" s="80"/>
      <c r="F21" s="86"/>
      <c r="G21" s="86">
        <v>4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171"/>
      <c r="AW21" s="638"/>
    </row>
    <row r="22" spans="1:49" x14ac:dyDescent="0.3">
      <c r="A22" s="639">
        <v>46151</v>
      </c>
      <c r="B22" s="260"/>
      <c r="C22" s="76"/>
      <c r="D22" s="629"/>
      <c r="E22" s="629"/>
      <c r="F22" s="319"/>
      <c r="G22" s="86">
        <v>5</v>
      </c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171"/>
      <c r="AW22" s="638"/>
    </row>
    <row r="23" spans="1:49" x14ac:dyDescent="0.3">
      <c r="A23" s="639"/>
      <c r="B23" s="362"/>
      <c r="C23" s="76"/>
      <c r="D23" s="630"/>
      <c r="E23" s="630"/>
      <c r="F23" s="363"/>
      <c r="G23" s="86">
        <v>6</v>
      </c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171"/>
      <c r="AW23" s="638"/>
    </row>
    <row r="24" spans="1:49" x14ac:dyDescent="0.3">
      <c r="A24" s="639"/>
      <c r="B24" s="362"/>
      <c r="C24" s="76"/>
      <c r="D24" s="630"/>
      <c r="E24" s="630"/>
      <c r="F24" s="363"/>
      <c r="G24" s="86">
        <v>7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171"/>
      <c r="AW24" s="638"/>
    </row>
    <row r="25" spans="1:49" x14ac:dyDescent="0.3">
      <c r="A25" s="639"/>
      <c r="B25" s="258"/>
      <c r="C25" s="76"/>
      <c r="D25" s="614"/>
      <c r="E25" s="614"/>
      <c r="F25" s="276"/>
      <c r="G25" s="86">
        <v>8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298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171"/>
      <c r="AW25" s="638"/>
    </row>
    <row r="26" spans="1:49" x14ac:dyDescent="0.3">
      <c r="A26" s="639">
        <v>46152</v>
      </c>
      <c r="B26" s="260"/>
      <c r="C26" s="76"/>
      <c r="D26" s="629"/>
      <c r="E26" s="629"/>
      <c r="F26" s="319"/>
      <c r="G26" s="86">
        <v>1</v>
      </c>
      <c r="H26" s="50"/>
      <c r="I26" s="50"/>
      <c r="J26" s="50"/>
      <c r="K26" s="50"/>
      <c r="L26" s="50"/>
      <c r="M26" s="50"/>
      <c r="N26" s="50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637"/>
      <c r="AW26" s="637"/>
    </row>
    <row r="27" spans="1:49" x14ac:dyDescent="0.3">
      <c r="A27" s="639"/>
      <c r="B27" s="362"/>
      <c r="C27" s="76"/>
      <c r="D27" s="630"/>
      <c r="E27" s="630"/>
      <c r="F27" s="363"/>
      <c r="G27" s="86">
        <v>2</v>
      </c>
      <c r="H27" s="50"/>
      <c r="I27" s="50"/>
      <c r="J27" s="50"/>
      <c r="K27" s="50"/>
      <c r="L27" s="50"/>
      <c r="M27" s="50"/>
      <c r="N27" s="50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638"/>
      <c r="AW27" s="638"/>
    </row>
    <row r="28" spans="1:49" x14ac:dyDescent="0.3">
      <c r="A28" s="639"/>
      <c r="B28" s="362"/>
      <c r="C28" s="76"/>
      <c r="D28" s="630"/>
      <c r="E28" s="630"/>
      <c r="F28" s="363"/>
      <c r="G28" s="86">
        <v>3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638"/>
      <c r="AW28" s="638"/>
    </row>
    <row r="29" spans="1:49" x14ac:dyDescent="0.3">
      <c r="A29" s="639"/>
      <c r="B29" s="258"/>
      <c r="C29" s="76"/>
      <c r="D29" s="614"/>
      <c r="E29" s="614"/>
      <c r="F29" s="276"/>
      <c r="G29" s="86">
        <v>4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638"/>
      <c r="AW29" s="638"/>
    </row>
    <row r="30" spans="1:49" x14ac:dyDescent="0.3">
      <c r="A30" s="639">
        <v>46153</v>
      </c>
      <c r="B30" s="260"/>
      <c r="C30" s="76"/>
      <c r="D30" s="629"/>
      <c r="E30" s="629"/>
      <c r="F30" s="319"/>
      <c r="G30" s="86">
        <v>5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638"/>
      <c r="AW30" s="638"/>
    </row>
    <row r="31" spans="1:49" x14ac:dyDescent="0.3">
      <c r="A31" s="639"/>
      <c r="B31" s="362"/>
      <c r="C31" s="76"/>
      <c r="D31" s="630"/>
      <c r="E31" s="630"/>
      <c r="F31" s="363"/>
      <c r="G31" s="86">
        <v>6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638"/>
      <c r="AW31" s="638"/>
    </row>
    <row r="32" spans="1:49" x14ac:dyDescent="0.3">
      <c r="A32" s="639"/>
      <c r="B32" s="362"/>
      <c r="C32" s="76"/>
      <c r="D32" s="630"/>
      <c r="E32" s="630"/>
      <c r="F32" s="363"/>
      <c r="G32" s="86">
        <v>7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638"/>
      <c r="AW32" s="638"/>
    </row>
    <row r="33" spans="1:49" x14ac:dyDescent="0.3">
      <c r="A33" s="639"/>
      <c r="B33" s="258"/>
      <c r="C33" s="76"/>
      <c r="D33" s="614"/>
      <c r="E33" s="614"/>
      <c r="F33" s="276"/>
      <c r="G33" s="86">
        <v>8</v>
      </c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638"/>
      <c r="AW33" s="638"/>
    </row>
    <row r="34" spans="1:49" x14ac:dyDescent="0.3">
      <c r="A34" s="639">
        <v>46154</v>
      </c>
      <c r="B34" s="260"/>
      <c r="C34" s="76"/>
      <c r="D34" s="629"/>
      <c r="E34" s="629"/>
      <c r="F34" s="319"/>
      <c r="G34" s="86">
        <v>1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637"/>
      <c r="AW34" s="637"/>
    </row>
    <row r="35" spans="1:49" x14ac:dyDescent="0.3">
      <c r="A35" s="639"/>
      <c r="B35" s="362"/>
      <c r="C35" s="76"/>
      <c r="D35" s="630"/>
      <c r="E35" s="630"/>
      <c r="F35" s="363"/>
      <c r="G35" s="86">
        <v>2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638"/>
      <c r="AW35" s="638"/>
    </row>
    <row r="36" spans="1:49" x14ac:dyDescent="0.3">
      <c r="A36" s="639"/>
      <c r="B36" s="362"/>
      <c r="C36" s="76"/>
      <c r="D36" s="630"/>
      <c r="E36" s="630"/>
      <c r="F36" s="363"/>
      <c r="G36" s="86">
        <v>3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638"/>
      <c r="AW36" s="638"/>
    </row>
    <row r="37" spans="1:49" x14ac:dyDescent="0.3">
      <c r="A37" s="639"/>
      <c r="B37" s="258"/>
      <c r="C37" s="76"/>
      <c r="D37" s="614"/>
      <c r="E37" s="614"/>
      <c r="F37" s="276"/>
      <c r="G37" s="86">
        <v>4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638"/>
      <c r="AW37" s="638"/>
    </row>
    <row r="38" spans="1:49" x14ac:dyDescent="0.3">
      <c r="A38" s="639">
        <v>46155</v>
      </c>
      <c r="B38" s="260"/>
      <c r="C38" s="76"/>
      <c r="D38" s="629"/>
      <c r="E38" s="629"/>
      <c r="F38" s="319"/>
      <c r="G38" s="86">
        <v>5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638"/>
      <c r="AW38" s="638"/>
    </row>
    <row r="39" spans="1:49" x14ac:dyDescent="0.3">
      <c r="A39" s="639"/>
      <c r="B39" s="362"/>
      <c r="C39" s="76"/>
      <c r="D39" s="630"/>
      <c r="E39" s="630"/>
      <c r="F39" s="363"/>
      <c r="G39" s="86">
        <v>6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638"/>
      <c r="AW39" s="638"/>
    </row>
    <row r="40" spans="1:49" x14ac:dyDescent="0.3">
      <c r="A40" s="639"/>
      <c r="B40" s="362"/>
      <c r="C40" s="76"/>
      <c r="D40" s="630"/>
      <c r="E40" s="630"/>
      <c r="F40" s="363"/>
      <c r="G40" s="86">
        <v>7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638"/>
      <c r="AW40" s="638"/>
    </row>
    <row r="41" spans="1:49" x14ac:dyDescent="0.3">
      <c r="A41" s="639"/>
      <c r="B41" s="258"/>
      <c r="C41" s="76"/>
      <c r="D41" s="614"/>
      <c r="E41" s="614"/>
      <c r="F41" s="276"/>
      <c r="G41" s="86">
        <v>8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638"/>
      <c r="AW41" s="638"/>
    </row>
    <row r="42" spans="1:49" x14ac:dyDescent="0.3">
      <c r="A42" s="639">
        <v>46156</v>
      </c>
      <c r="B42" s="260"/>
      <c r="C42" s="76"/>
      <c r="D42" s="629"/>
      <c r="E42" s="629"/>
      <c r="F42" s="319"/>
      <c r="G42" s="86">
        <v>1</v>
      </c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637"/>
      <c r="AW42" s="637"/>
    </row>
    <row r="43" spans="1:49" x14ac:dyDescent="0.3">
      <c r="A43" s="639"/>
      <c r="B43" s="362"/>
      <c r="C43" s="76"/>
      <c r="D43" s="630"/>
      <c r="E43" s="630"/>
      <c r="F43" s="363"/>
      <c r="G43" s="86">
        <v>2</v>
      </c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638"/>
      <c r="AW43" s="638"/>
    </row>
    <row r="44" spans="1:49" x14ac:dyDescent="0.3">
      <c r="A44" s="639"/>
      <c r="B44" s="362"/>
      <c r="C44" s="76"/>
      <c r="D44" s="630"/>
      <c r="E44" s="630"/>
      <c r="F44" s="363"/>
      <c r="G44" s="86">
        <v>3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638"/>
      <c r="AW44" s="638"/>
    </row>
    <row r="45" spans="1:49" x14ac:dyDescent="0.3">
      <c r="A45" s="639"/>
      <c r="B45" s="258"/>
      <c r="C45" s="76"/>
      <c r="D45" s="614"/>
      <c r="E45" s="614"/>
      <c r="F45" s="276"/>
      <c r="G45" s="86">
        <v>4</v>
      </c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638"/>
      <c r="AW45" s="638"/>
    </row>
    <row r="46" spans="1:49" x14ac:dyDescent="0.3">
      <c r="A46" s="639">
        <v>46157</v>
      </c>
      <c r="B46" s="260"/>
      <c r="C46" s="76"/>
      <c r="D46" s="629" t="s">
        <v>532</v>
      </c>
      <c r="E46" s="629"/>
      <c r="F46" s="319" t="s">
        <v>533</v>
      </c>
      <c r="G46" s="86">
        <v>5</v>
      </c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638"/>
      <c r="AW46" s="638"/>
    </row>
    <row r="47" spans="1:49" x14ac:dyDescent="0.3">
      <c r="A47" s="639"/>
      <c r="B47" s="362"/>
      <c r="C47" s="76"/>
      <c r="D47" s="630"/>
      <c r="E47" s="630"/>
      <c r="F47" s="363"/>
      <c r="G47" s="86">
        <v>6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638"/>
      <c r="AW47" s="638"/>
    </row>
    <row r="48" spans="1:49" x14ac:dyDescent="0.3">
      <c r="A48" s="639"/>
      <c r="B48" s="362"/>
      <c r="C48" s="76"/>
      <c r="D48" s="630"/>
      <c r="E48" s="630"/>
      <c r="F48" s="363"/>
      <c r="G48" s="86">
        <v>7</v>
      </c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638"/>
      <c r="AW48" s="638"/>
    </row>
    <row r="49" spans="1:49" x14ac:dyDescent="0.3">
      <c r="A49" s="639"/>
      <c r="B49" s="258"/>
      <c r="C49" s="76"/>
      <c r="D49" s="614"/>
      <c r="E49" s="614"/>
      <c r="F49" s="276"/>
      <c r="G49" s="86">
        <v>8</v>
      </c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638"/>
      <c r="AW49" s="638"/>
    </row>
    <row r="50" spans="1:49" x14ac:dyDescent="0.3">
      <c r="A50" s="639">
        <v>46158</v>
      </c>
      <c r="B50" s="260"/>
      <c r="C50" s="76"/>
      <c r="D50" s="629"/>
      <c r="E50" s="629"/>
      <c r="F50" s="319"/>
      <c r="G50" s="86">
        <v>1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637"/>
      <c r="AW50" s="637"/>
    </row>
    <row r="51" spans="1:49" x14ac:dyDescent="0.3">
      <c r="A51" s="639"/>
      <c r="B51" s="362"/>
      <c r="C51" s="76"/>
      <c r="D51" s="630"/>
      <c r="E51" s="630"/>
      <c r="F51" s="363"/>
      <c r="G51" s="86">
        <v>2</v>
      </c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638"/>
      <c r="AW51" s="638"/>
    </row>
    <row r="52" spans="1:49" x14ac:dyDescent="0.3">
      <c r="A52" s="639"/>
      <c r="B52" s="362"/>
      <c r="C52" s="76"/>
      <c r="D52" s="630"/>
      <c r="E52" s="630"/>
      <c r="F52" s="363"/>
      <c r="G52" s="86">
        <v>3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638"/>
      <c r="AW52" s="638"/>
    </row>
    <row r="53" spans="1:49" x14ac:dyDescent="0.3">
      <c r="A53" s="639"/>
      <c r="B53" s="258"/>
      <c r="C53" s="76"/>
      <c r="D53" s="614"/>
      <c r="E53" s="614"/>
      <c r="F53" s="276"/>
      <c r="G53" s="86">
        <v>4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638"/>
      <c r="AW53" s="638"/>
    </row>
    <row r="54" spans="1:49" x14ac:dyDescent="0.3">
      <c r="A54" s="639">
        <v>46159</v>
      </c>
      <c r="B54" s="260"/>
      <c r="C54" s="76"/>
      <c r="D54" s="80"/>
      <c r="E54" s="629" t="s">
        <v>534</v>
      </c>
      <c r="F54" s="319" t="s">
        <v>535</v>
      </c>
      <c r="G54" s="86">
        <v>5</v>
      </c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638"/>
      <c r="AW54" s="638"/>
    </row>
    <row r="55" spans="1:49" x14ac:dyDescent="0.3">
      <c r="A55" s="639"/>
      <c r="B55" s="362"/>
      <c r="C55" s="76"/>
      <c r="D55" s="80"/>
      <c r="E55" s="630"/>
      <c r="F55" s="363"/>
      <c r="G55" s="86">
        <v>6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638"/>
      <c r="AW55" s="638"/>
    </row>
    <row r="56" spans="1:49" x14ac:dyDescent="0.3">
      <c r="A56" s="639"/>
      <c r="B56" s="362"/>
      <c r="C56" s="76"/>
      <c r="D56" s="80"/>
      <c r="E56" s="630"/>
      <c r="F56" s="363"/>
      <c r="G56" s="86">
        <v>7</v>
      </c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638"/>
      <c r="AW56" s="638"/>
    </row>
    <row r="57" spans="1:49" x14ac:dyDescent="0.3">
      <c r="A57" s="639"/>
      <c r="B57" s="258"/>
      <c r="C57" s="76"/>
      <c r="D57" s="80"/>
      <c r="E57" s="614"/>
      <c r="F57" s="276"/>
      <c r="G57" s="86">
        <v>8</v>
      </c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638"/>
      <c r="AW57" s="638"/>
    </row>
    <row r="58" spans="1:49" x14ac:dyDescent="0.3">
      <c r="A58" s="639">
        <v>46160</v>
      </c>
      <c r="B58" s="260"/>
      <c r="C58" s="76"/>
      <c r="D58" s="80"/>
      <c r="E58" s="80"/>
      <c r="F58" s="319"/>
      <c r="G58" s="86">
        <v>1</v>
      </c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637"/>
      <c r="AW58" s="637"/>
    </row>
    <row r="59" spans="1:49" x14ac:dyDescent="0.3">
      <c r="A59" s="639"/>
      <c r="B59" s="362"/>
      <c r="C59" s="76"/>
      <c r="D59" s="80"/>
      <c r="E59" s="80"/>
      <c r="F59" s="363"/>
      <c r="G59" s="86">
        <v>2</v>
      </c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638"/>
      <c r="AW59" s="638"/>
    </row>
    <row r="60" spans="1:49" x14ac:dyDescent="0.3">
      <c r="A60" s="639"/>
      <c r="B60" s="362"/>
      <c r="C60" s="76"/>
      <c r="D60" s="80"/>
      <c r="E60" s="80"/>
      <c r="F60" s="363"/>
      <c r="G60" s="86">
        <v>3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638"/>
      <c r="AW60" s="638"/>
    </row>
    <row r="61" spans="1:49" x14ac:dyDescent="0.3">
      <c r="A61" s="639"/>
      <c r="B61" s="258"/>
      <c r="C61" s="76"/>
      <c r="D61" s="80"/>
      <c r="E61" s="80"/>
      <c r="F61" s="276"/>
      <c r="G61" s="86">
        <v>4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638"/>
      <c r="AW61" s="638"/>
    </row>
    <row r="62" spans="1:49" x14ac:dyDescent="0.3">
      <c r="A62" s="639">
        <v>46161</v>
      </c>
      <c r="B62" s="260"/>
      <c r="C62" s="76"/>
      <c r="D62" s="80"/>
      <c r="E62" s="80"/>
      <c r="F62" s="319"/>
      <c r="G62" s="86">
        <v>5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638"/>
      <c r="AW62" s="638"/>
    </row>
    <row r="63" spans="1:49" x14ac:dyDescent="0.3">
      <c r="A63" s="639"/>
      <c r="B63" s="362"/>
      <c r="C63" s="76"/>
      <c r="D63" s="80"/>
      <c r="E63" s="80"/>
      <c r="F63" s="363"/>
      <c r="G63" s="86">
        <v>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638"/>
      <c r="AW63" s="638"/>
    </row>
    <row r="64" spans="1:49" x14ac:dyDescent="0.3">
      <c r="A64" s="639"/>
      <c r="B64" s="362"/>
      <c r="C64" s="76"/>
      <c r="D64" s="80"/>
      <c r="E64" s="80"/>
      <c r="F64" s="363"/>
      <c r="G64" s="86">
        <v>7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638"/>
      <c r="AW64" s="638"/>
    </row>
    <row r="65" spans="1:49" x14ac:dyDescent="0.3">
      <c r="A65" s="639"/>
      <c r="B65" s="258"/>
      <c r="C65" s="76"/>
      <c r="D65" s="80"/>
      <c r="E65" s="80"/>
      <c r="F65" s="276"/>
      <c r="G65" s="86">
        <v>8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638"/>
      <c r="AW65" s="638"/>
    </row>
    <row r="66" spans="1:49" x14ac:dyDescent="0.3">
      <c r="A66" s="639">
        <v>46162</v>
      </c>
      <c r="B66" s="260"/>
      <c r="C66" s="76"/>
      <c r="D66" s="80"/>
      <c r="E66" s="80"/>
      <c r="F66" s="319"/>
      <c r="G66" s="86">
        <v>1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637"/>
      <c r="AW66" s="637"/>
    </row>
    <row r="67" spans="1:49" x14ac:dyDescent="0.3">
      <c r="A67" s="639"/>
      <c r="B67" s="362"/>
      <c r="C67" s="76"/>
      <c r="D67" s="80"/>
      <c r="E67" s="80"/>
      <c r="F67" s="363"/>
      <c r="G67" s="86">
        <v>2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638"/>
      <c r="AW67" s="638"/>
    </row>
    <row r="68" spans="1:49" x14ac:dyDescent="0.3">
      <c r="A68" s="639"/>
      <c r="B68" s="362"/>
      <c r="C68" s="76"/>
      <c r="D68" s="80"/>
      <c r="E68" s="80"/>
      <c r="F68" s="363"/>
      <c r="G68" s="86">
        <v>3</v>
      </c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638"/>
      <c r="AW68" s="638"/>
    </row>
    <row r="69" spans="1:49" x14ac:dyDescent="0.3">
      <c r="A69" s="639"/>
      <c r="B69" s="258"/>
      <c r="C69" s="76"/>
      <c r="D69" s="80"/>
      <c r="E69" s="80"/>
      <c r="F69" s="276"/>
      <c r="G69" s="86">
        <v>4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638"/>
      <c r="AW69" s="638"/>
    </row>
    <row r="70" spans="1:49" x14ac:dyDescent="0.3">
      <c r="A70" s="639">
        <v>46163</v>
      </c>
      <c r="B70" s="260"/>
      <c r="C70" s="76"/>
      <c r="D70" s="80"/>
      <c r="E70" s="80"/>
      <c r="F70" s="319"/>
      <c r="G70" s="86">
        <v>5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638"/>
      <c r="AW70" s="638"/>
    </row>
    <row r="71" spans="1:49" x14ac:dyDescent="0.3">
      <c r="A71" s="639"/>
      <c r="B71" s="362"/>
      <c r="C71" s="76"/>
      <c r="D71" s="80"/>
      <c r="E71" s="80"/>
      <c r="F71" s="363"/>
      <c r="G71" s="86">
        <v>6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638"/>
      <c r="AW71" s="638"/>
    </row>
    <row r="72" spans="1:49" x14ac:dyDescent="0.3">
      <c r="A72" s="639"/>
      <c r="B72" s="362"/>
      <c r="C72" s="76"/>
      <c r="D72" s="80"/>
      <c r="E72" s="80"/>
      <c r="F72" s="363"/>
      <c r="G72" s="86">
        <v>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638"/>
      <c r="AW72" s="638"/>
    </row>
    <row r="73" spans="1:49" x14ac:dyDescent="0.3">
      <c r="A73" s="639"/>
      <c r="B73" s="258"/>
      <c r="C73" s="76"/>
      <c r="D73" s="80"/>
      <c r="E73" s="80"/>
      <c r="F73" s="276"/>
      <c r="G73" s="86">
        <v>8</v>
      </c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638"/>
      <c r="AW73" s="638"/>
    </row>
    <row r="74" spans="1:49" x14ac:dyDescent="0.3">
      <c r="A74" s="639">
        <v>46164</v>
      </c>
      <c r="B74" s="260"/>
      <c r="C74" s="76"/>
      <c r="D74" s="80"/>
      <c r="E74" s="80"/>
      <c r="F74" s="319"/>
      <c r="G74" s="86">
        <v>1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637"/>
      <c r="AW74" s="637"/>
    </row>
    <row r="75" spans="1:49" x14ac:dyDescent="0.3">
      <c r="A75" s="639"/>
      <c r="B75" s="362"/>
      <c r="C75" s="76"/>
      <c r="D75" s="80"/>
      <c r="E75" s="80"/>
      <c r="F75" s="363"/>
      <c r="G75" s="86">
        <v>2</v>
      </c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638"/>
      <c r="AW75" s="638"/>
    </row>
    <row r="76" spans="1:49" x14ac:dyDescent="0.3">
      <c r="A76" s="639"/>
      <c r="B76" s="362"/>
      <c r="C76" s="76"/>
      <c r="D76" s="80"/>
      <c r="E76" s="80"/>
      <c r="F76" s="363"/>
      <c r="G76" s="86">
        <v>3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638"/>
      <c r="AW76" s="638"/>
    </row>
    <row r="77" spans="1:49" x14ac:dyDescent="0.3">
      <c r="A77" s="639"/>
      <c r="B77" s="258"/>
      <c r="C77" s="76"/>
      <c r="D77" s="80"/>
      <c r="E77" s="80"/>
      <c r="F77" s="276"/>
      <c r="G77" s="86">
        <v>4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638"/>
      <c r="AW77" s="638"/>
    </row>
    <row r="78" spans="1:49" x14ac:dyDescent="0.3">
      <c r="A78" s="639">
        <v>46165</v>
      </c>
      <c r="B78" s="260"/>
      <c r="C78" s="76"/>
      <c r="D78" s="80"/>
      <c r="E78" s="80"/>
      <c r="F78" s="319"/>
      <c r="G78" s="86">
        <v>5</v>
      </c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638"/>
      <c r="AW78" s="638"/>
    </row>
    <row r="79" spans="1:49" x14ac:dyDescent="0.3">
      <c r="A79" s="639"/>
      <c r="B79" s="362"/>
      <c r="C79" s="76"/>
      <c r="D79" s="80"/>
      <c r="E79" s="80"/>
      <c r="F79" s="363"/>
      <c r="G79" s="86">
        <v>6</v>
      </c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638"/>
      <c r="AW79" s="638"/>
    </row>
    <row r="80" spans="1:49" x14ac:dyDescent="0.3">
      <c r="A80" s="639"/>
      <c r="B80" s="362"/>
      <c r="C80" s="76"/>
      <c r="D80" s="80"/>
      <c r="E80" s="80"/>
      <c r="F80" s="363"/>
      <c r="G80" s="86">
        <v>7</v>
      </c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638"/>
      <c r="AW80" s="638"/>
    </row>
    <row r="81" spans="1:49" x14ac:dyDescent="0.3">
      <c r="A81" s="639"/>
      <c r="B81" s="258"/>
      <c r="C81" s="76"/>
      <c r="D81" s="80"/>
      <c r="E81" s="80"/>
      <c r="F81" s="276"/>
      <c r="G81" s="86">
        <v>8</v>
      </c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638"/>
      <c r="AW81" s="638"/>
    </row>
    <row r="82" spans="1:49" x14ac:dyDescent="0.3">
      <c r="A82" s="639">
        <v>46166</v>
      </c>
      <c r="B82" s="260"/>
      <c r="C82" s="76"/>
      <c r="D82" s="80"/>
      <c r="E82" s="80"/>
      <c r="F82" s="319"/>
      <c r="G82" s="86">
        <v>1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637"/>
      <c r="AW82" s="637"/>
    </row>
    <row r="83" spans="1:49" x14ac:dyDescent="0.3">
      <c r="A83" s="639"/>
      <c r="B83" s="362"/>
      <c r="C83" s="76"/>
      <c r="D83" s="80"/>
      <c r="E83" s="80"/>
      <c r="F83" s="363"/>
      <c r="G83" s="86">
        <v>2</v>
      </c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638"/>
      <c r="AW83" s="638"/>
    </row>
    <row r="84" spans="1:49" x14ac:dyDescent="0.3">
      <c r="A84" s="639"/>
      <c r="B84" s="362"/>
      <c r="C84" s="76"/>
      <c r="D84" s="80"/>
      <c r="E84" s="80"/>
      <c r="F84" s="363"/>
      <c r="G84" s="86">
        <v>3</v>
      </c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638"/>
      <c r="AW84" s="638"/>
    </row>
    <row r="85" spans="1:49" x14ac:dyDescent="0.3">
      <c r="A85" s="639"/>
      <c r="B85" s="258"/>
      <c r="C85" s="76"/>
      <c r="D85" s="80"/>
      <c r="E85" s="80"/>
      <c r="F85" s="276"/>
      <c r="G85" s="86">
        <v>4</v>
      </c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638"/>
      <c r="AW85" s="638"/>
    </row>
    <row r="86" spans="1:49" x14ac:dyDescent="0.3">
      <c r="A86" s="639">
        <v>46167</v>
      </c>
      <c r="B86" s="260"/>
      <c r="C86" s="76"/>
      <c r="D86" s="80"/>
      <c r="E86" s="80"/>
      <c r="F86" s="319"/>
      <c r="G86" s="86">
        <v>5</v>
      </c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638"/>
      <c r="AW86" s="638"/>
    </row>
    <row r="87" spans="1:49" x14ac:dyDescent="0.3">
      <c r="A87" s="639"/>
      <c r="B87" s="362"/>
      <c r="C87" s="76"/>
      <c r="D87" s="80"/>
      <c r="E87" s="80"/>
      <c r="F87" s="363"/>
      <c r="G87" s="86">
        <v>6</v>
      </c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638"/>
      <c r="AW87" s="638"/>
    </row>
    <row r="88" spans="1:49" x14ac:dyDescent="0.3">
      <c r="A88" s="639"/>
      <c r="B88" s="362"/>
      <c r="C88" s="76"/>
      <c r="D88" s="80"/>
      <c r="E88" s="80"/>
      <c r="F88" s="363"/>
      <c r="G88" s="86">
        <v>7</v>
      </c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638"/>
      <c r="AW88" s="638"/>
    </row>
    <row r="89" spans="1:49" x14ac:dyDescent="0.3">
      <c r="A89" s="639"/>
      <c r="B89" s="258"/>
      <c r="C89" s="76"/>
      <c r="D89" s="80"/>
      <c r="E89" s="80"/>
      <c r="F89" s="276"/>
      <c r="G89" s="86">
        <v>8</v>
      </c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638"/>
      <c r="AW89" s="638"/>
    </row>
    <row r="90" spans="1:49" x14ac:dyDescent="0.3">
      <c r="A90" s="639">
        <v>46168</v>
      </c>
      <c r="B90" s="260"/>
      <c r="C90" s="76"/>
      <c r="D90" s="80"/>
      <c r="E90" s="80"/>
      <c r="F90" s="319"/>
      <c r="G90" s="86">
        <v>1</v>
      </c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637"/>
      <c r="AW90" s="637"/>
    </row>
    <row r="91" spans="1:49" x14ac:dyDescent="0.3">
      <c r="A91" s="639"/>
      <c r="B91" s="362"/>
      <c r="C91" s="76"/>
      <c r="D91" s="80"/>
      <c r="E91" s="80"/>
      <c r="F91" s="363"/>
      <c r="G91" s="86">
        <v>2</v>
      </c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638"/>
      <c r="AW91" s="638"/>
    </row>
    <row r="92" spans="1:49" x14ac:dyDescent="0.3">
      <c r="A92" s="639"/>
      <c r="B92" s="362"/>
      <c r="C92" s="76"/>
      <c r="D92" s="80"/>
      <c r="E92" s="80"/>
      <c r="F92" s="363"/>
      <c r="G92" s="86">
        <v>3</v>
      </c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638"/>
      <c r="AW92" s="638"/>
    </row>
    <row r="93" spans="1:49" x14ac:dyDescent="0.3">
      <c r="A93" s="639"/>
      <c r="B93" s="258"/>
      <c r="C93" s="76"/>
      <c r="D93" s="80"/>
      <c r="E93" s="80"/>
      <c r="F93" s="276"/>
      <c r="G93" s="86">
        <v>4</v>
      </c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638"/>
      <c r="AW93" s="638"/>
    </row>
    <row r="94" spans="1:49" x14ac:dyDescent="0.3">
      <c r="A94" s="639">
        <v>46169</v>
      </c>
      <c r="B94" s="260"/>
      <c r="C94" s="76"/>
      <c r="D94" s="80"/>
      <c r="E94" s="80"/>
      <c r="F94" s="319"/>
      <c r="G94" s="86">
        <v>5</v>
      </c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638"/>
      <c r="AW94" s="638"/>
    </row>
    <row r="95" spans="1:49" x14ac:dyDescent="0.3">
      <c r="A95" s="639"/>
      <c r="B95" s="362"/>
      <c r="C95" s="76"/>
      <c r="D95" s="80"/>
      <c r="E95" s="80"/>
      <c r="F95" s="363"/>
      <c r="G95" s="86">
        <v>6</v>
      </c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638"/>
      <c r="AW95" s="638"/>
    </row>
    <row r="96" spans="1:49" x14ac:dyDescent="0.3">
      <c r="A96" s="639"/>
      <c r="B96" s="362"/>
      <c r="C96" s="76"/>
      <c r="D96" s="80"/>
      <c r="E96" s="80"/>
      <c r="F96" s="363"/>
      <c r="G96" s="86">
        <v>7</v>
      </c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638"/>
      <c r="AW96" s="638"/>
    </row>
    <row r="97" spans="1:49" x14ac:dyDescent="0.3">
      <c r="A97" s="639"/>
      <c r="B97" s="258"/>
      <c r="C97" s="76"/>
      <c r="D97" s="80"/>
      <c r="E97" s="80"/>
      <c r="F97" s="276"/>
      <c r="G97" s="86">
        <v>8</v>
      </c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638"/>
      <c r="AW97" s="638"/>
    </row>
    <row r="98" spans="1:49" x14ac:dyDescent="0.3">
      <c r="A98" s="639">
        <v>46170</v>
      </c>
      <c r="B98" s="260"/>
      <c r="C98" s="76"/>
      <c r="D98" s="80"/>
      <c r="E98" s="80"/>
      <c r="F98" s="319"/>
      <c r="G98" s="86">
        <v>1</v>
      </c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637"/>
      <c r="AW98" s="637"/>
    </row>
    <row r="99" spans="1:49" x14ac:dyDescent="0.3">
      <c r="A99" s="639"/>
      <c r="B99" s="362"/>
      <c r="C99" s="76"/>
      <c r="D99" s="80"/>
      <c r="E99" s="80"/>
      <c r="F99" s="363"/>
      <c r="G99" s="86">
        <v>2</v>
      </c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638"/>
      <c r="AW99" s="638"/>
    </row>
    <row r="100" spans="1:49" x14ac:dyDescent="0.3">
      <c r="A100" s="639"/>
      <c r="B100" s="362"/>
      <c r="C100" s="76"/>
      <c r="D100" s="80"/>
      <c r="E100" s="80"/>
      <c r="F100" s="363"/>
      <c r="G100" s="86">
        <v>3</v>
      </c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638"/>
      <c r="AW100" s="638"/>
    </row>
    <row r="101" spans="1:49" x14ac:dyDescent="0.3">
      <c r="A101" s="639"/>
      <c r="B101" s="258"/>
      <c r="C101" s="76"/>
      <c r="D101" s="80"/>
      <c r="E101" s="80"/>
      <c r="F101" s="276"/>
      <c r="G101" s="86">
        <v>4</v>
      </c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638"/>
      <c r="AW101" s="638"/>
    </row>
    <row r="102" spans="1:49" x14ac:dyDescent="0.3">
      <c r="A102" s="639">
        <v>46171</v>
      </c>
      <c r="B102" s="260"/>
      <c r="C102" s="76"/>
      <c r="D102" s="80"/>
      <c r="E102" s="80"/>
      <c r="F102" s="319"/>
      <c r="G102" s="86">
        <v>5</v>
      </c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638"/>
      <c r="AW102" s="638"/>
    </row>
    <row r="103" spans="1:49" x14ac:dyDescent="0.3">
      <c r="A103" s="639"/>
      <c r="B103" s="362"/>
      <c r="C103" s="76"/>
      <c r="D103" s="80"/>
      <c r="E103" s="80"/>
      <c r="F103" s="363"/>
      <c r="G103" s="86">
        <v>6</v>
      </c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638"/>
      <c r="AW103" s="638"/>
    </row>
    <row r="104" spans="1:49" x14ac:dyDescent="0.3">
      <c r="A104" s="639"/>
      <c r="B104" s="362"/>
      <c r="C104" s="76"/>
      <c r="D104" s="80"/>
      <c r="E104" s="80"/>
      <c r="F104" s="363"/>
      <c r="G104" s="86">
        <v>7</v>
      </c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638"/>
      <c r="AW104" s="638"/>
    </row>
    <row r="105" spans="1:49" x14ac:dyDescent="0.3">
      <c r="A105" s="639"/>
      <c r="B105" s="258"/>
      <c r="C105" s="76"/>
      <c r="D105" s="80"/>
      <c r="E105" s="80"/>
      <c r="F105" s="276"/>
      <c r="G105" s="86">
        <v>8</v>
      </c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638"/>
      <c r="AW105" s="638"/>
    </row>
    <row r="106" spans="1:49" x14ac:dyDescent="0.3">
      <c r="A106" s="639">
        <v>46172</v>
      </c>
      <c r="B106" s="260"/>
      <c r="C106" s="76"/>
      <c r="D106" s="80"/>
      <c r="E106" s="80"/>
      <c r="F106" s="319"/>
      <c r="G106" s="86">
        <v>1</v>
      </c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637"/>
      <c r="AW106" s="637"/>
    </row>
    <row r="107" spans="1:49" x14ac:dyDescent="0.3">
      <c r="A107" s="639"/>
      <c r="B107" s="362"/>
      <c r="C107" s="76"/>
      <c r="D107" s="80"/>
      <c r="E107" s="80"/>
      <c r="F107" s="363"/>
      <c r="G107" s="86">
        <v>2</v>
      </c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638"/>
      <c r="AW107" s="638"/>
    </row>
    <row r="108" spans="1:49" x14ac:dyDescent="0.3">
      <c r="A108" s="639"/>
      <c r="B108" s="362"/>
      <c r="C108" s="76"/>
      <c r="D108" s="80"/>
      <c r="E108" s="80"/>
      <c r="F108" s="363"/>
      <c r="G108" s="86">
        <v>3</v>
      </c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638"/>
      <c r="AW108" s="638"/>
    </row>
    <row r="109" spans="1:49" x14ac:dyDescent="0.3">
      <c r="A109" s="639"/>
      <c r="B109" s="258"/>
      <c r="C109" s="76"/>
      <c r="D109" s="80"/>
      <c r="E109" s="80"/>
      <c r="F109" s="276"/>
      <c r="G109" s="86">
        <v>4</v>
      </c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638"/>
      <c r="AW109" s="638"/>
    </row>
    <row r="110" spans="1:49" x14ac:dyDescent="0.3">
      <c r="A110" s="639">
        <v>46173</v>
      </c>
      <c r="B110" s="260"/>
      <c r="C110" s="76"/>
      <c r="D110" s="80"/>
      <c r="E110" s="80"/>
      <c r="F110" s="319"/>
      <c r="G110" s="86">
        <v>5</v>
      </c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638"/>
      <c r="AW110" s="638"/>
    </row>
    <row r="111" spans="1:49" x14ac:dyDescent="0.3">
      <c r="A111" s="639"/>
      <c r="B111" s="362"/>
      <c r="C111" s="76"/>
      <c r="D111" s="80"/>
      <c r="E111" s="80"/>
      <c r="F111" s="363"/>
      <c r="G111" s="86">
        <v>6</v>
      </c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638"/>
      <c r="AW111" s="638"/>
    </row>
    <row r="112" spans="1:49" x14ac:dyDescent="0.3">
      <c r="A112" s="639"/>
      <c r="B112" s="362"/>
      <c r="C112" s="76"/>
      <c r="D112" s="80"/>
      <c r="E112" s="80"/>
      <c r="F112" s="363"/>
      <c r="G112" s="86">
        <v>7</v>
      </c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638"/>
      <c r="AW112" s="638"/>
    </row>
    <row r="113" spans="1:49" x14ac:dyDescent="0.3">
      <c r="A113" s="639"/>
      <c r="B113" s="258"/>
      <c r="C113" s="76"/>
      <c r="D113" s="80"/>
      <c r="E113" s="80"/>
      <c r="F113" s="276"/>
      <c r="G113" s="86">
        <v>8</v>
      </c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638"/>
      <c r="AW113" s="638"/>
    </row>
    <row r="114" spans="1:49" x14ac:dyDescent="0.3">
      <c r="A114" s="639">
        <v>46174</v>
      </c>
      <c r="B114" s="260"/>
      <c r="C114" s="76"/>
      <c r="D114" s="80"/>
      <c r="E114" s="80"/>
      <c r="F114" s="319"/>
      <c r="G114" s="86">
        <v>1</v>
      </c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637"/>
      <c r="AW114" s="637"/>
    </row>
    <row r="115" spans="1:49" x14ac:dyDescent="0.3">
      <c r="A115" s="639"/>
      <c r="B115" s="362"/>
      <c r="C115" s="76"/>
      <c r="D115" s="80"/>
      <c r="E115" s="80"/>
      <c r="F115" s="363"/>
      <c r="G115" s="86">
        <v>2</v>
      </c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638"/>
      <c r="AW115" s="638"/>
    </row>
    <row r="116" spans="1:49" x14ac:dyDescent="0.3">
      <c r="A116" s="639"/>
      <c r="B116" s="362"/>
      <c r="C116" s="76"/>
      <c r="D116" s="80"/>
      <c r="E116" s="80"/>
      <c r="F116" s="363"/>
      <c r="G116" s="86">
        <v>3</v>
      </c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638"/>
      <c r="AW116" s="638"/>
    </row>
    <row r="117" spans="1:49" x14ac:dyDescent="0.3">
      <c r="A117" s="639"/>
      <c r="B117" s="258"/>
      <c r="C117" s="76"/>
      <c r="D117" s="80"/>
      <c r="E117" s="80"/>
      <c r="F117" s="276"/>
      <c r="G117" s="86">
        <v>4</v>
      </c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638"/>
      <c r="AW117" s="638"/>
    </row>
    <row r="118" spans="1:49" x14ac:dyDescent="0.3">
      <c r="A118" s="639">
        <v>46175</v>
      </c>
      <c r="B118" s="260"/>
      <c r="C118" s="76"/>
      <c r="D118" s="629"/>
      <c r="E118" s="629"/>
      <c r="F118" s="319"/>
      <c r="G118" s="86">
        <v>5</v>
      </c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638"/>
      <c r="AW118" s="638"/>
    </row>
    <row r="119" spans="1:49" x14ac:dyDescent="0.3">
      <c r="A119" s="639"/>
      <c r="B119" s="362"/>
      <c r="C119" s="76"/>
      <c r="D119" s="630"/>
      <c r="E119" s="630"/>
      <c r="F119" s="363"/>
      <c r="G119" s="86">
        <v>6</v>
      </c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638"/>
      <c r="AW119" s="638"/>
    </row>
    <row r="120" spans="1:49" x14ac:dyDescent="0.3">
      <c r="A120" s="639"/>
      <c r="B120" s="362"/>
      <c r="C120" s="76"/>
      <c r="D120" s="630"/>
      <c r="E120" s="630"/>
      <c r="F120" s="363"/>
      <c r="G120" s="86">
        <v>7</v>
      </c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638"/>
      <c r="AW120" s="638"/>
    </row>
    <row r="121" spans="1:49" x14ac:dyDescent="0.3">
      <c r="A121" s="639"/>
      <c r="B121" s="258"/>
      <c r="C121" s="76"/>
      <c r="D121" s="614"/>
      <c r="E121" s="614"/>
      <c r="F121" s="276"/>
      <c r="G121" s="86">
        <v>8</v>
      </c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638"/>
      <c r="AW121" s="638"/>
    </row>
    <row r="122" spans="1:49" x14ac:dyDescent="0.3">
      <c r="A122" s="639">
        <v>46176</v>
      </c>
      <c r="B122" s="260"/>
      <c r="C122" s="76"/>
      <c r="D122" s="629"/>
      <c r="E122" s="629"/>
      <c r="F122" s="319"/>
      <c r="G122" s="86">
        <v>1</v>
      </c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637"/>
      <c r="AW122" s="637"/>
    </row>
    <row r="123" spans="1:49" x14ac:dyDescent="0.3">
      <c r="A123" s="639"/>
      <c r="B123" s="362"/>
      <c r="C123" s="76"/>
      <c r="D123" s="630"/>
      <c r="E123" s="630"/>
      <c r="F123" s="363"/>
      <c r="G123" s="86">
        <v>2</v>
      </c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638"/>
      <c r="AW123" s="638"/>
    </row>
    <row r="124" spans="1:49" x14ac:dyDescent="0.3">
      <c r="A124" s="639"/>
      <c r="B124" s="362"/>
      <c r="C124" s="76"/>
      <c r="D124" s="630"/>
      <c r="E124" s="630"/>
      <c r="F124" s="363"/>
      <c r="G124" s="86">
        <v>3</v>
      </c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638"/>
      <c r="AW124" s="638"/>
    </row>
    <row r="125" spans="1:49" x14ac:dyDescent="0.3">
      <c r="A125" s="639"/>
      <c r="B125" s="258"/>
      <c r="C125" s="76"/>
      <c r="D125" s="614"/>
      <c r="E125" s="614"/>
      <c r="F125" s="276"/>
      <c r="G125" s="86">
        <v>4</v>
      </c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638"/>
      <c r="AW125" s="638"/>
    </row>
    <row r="126" spans="1:49" x14ac:dyDescent="0.3">
      <c r="A126" s="639">
        <v>46177</v>
      </c>
      <c r="B126" s="260"/>
      <c r="C126" s="76"/>
      <c r="D126" s="629"/>
      <c r="E126" s="629"/>
      <c r="F126" s="319"/>
      <c r="G126" s="86">
        <v>5</v>
      </c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638"/>
      <c r="AW126" s="638"/>
    </row>
    <row r="127" spans="1:49" x14ac:dyDescent="0.3">
      <c r="A127" s="639"/>
      <c r="B127" s="362"/>
      <c r="C127" s="76"/>
      <c r="D127" s="630"/>
      <c r="E127" s="630"/>
      <c r="F127" s="363"/>
      <c r="G127" s="86">
        <v>6</v>
      </c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638"/>
      <c r="AW127" s="638"/>
    </row>
    <row r="128" spans="1:49" x14ac:dyDescent="0.3">
      <c r="A128" s="639"/>
      <c r="B128" s="362"/>
      <c r="C128" s="76"/>
      <c r="D128" s="630"/>
      <c r="E128" s="630"/>
      <c r="F128" s="363"/>
      <c r="G128" s="86">
        <v>7</v>
      </c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638"/>
      <c r="AW128" s="638"/>
    </row>
    <row r="129" spans="1:49" x14ac:dyDescent="0.3">
      <c r="A129" s="639"/>
      <c r="B129" s="258"/>
      <c r="C129" s="76"/>
      <c r="D129" s="614"/>
      <c r="E129" s="614"/>
      <c r="F129" s="276"/>
      <c r="G129" s="86">
        <v>8</v>
      </c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638"/>
      <c r="AW129" s="638"/>
    </row>
    <row r="130" spans="1:49" x14ac:dyDescent="0.3">
      <c r="A130" s="50"/>
      <c r="B130" s="50"/>
      <c r="C130" s="50"/>
      <c r="D130" s="639"/>
      <c r="E130" s="639"/>
      <c r="F130" s="78"/>
      <c r="G130" s="86">
        <v>1</v>
      </c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637"/>
      <c r="AW130" s="637"/>
    </row>
    <row r="131" spans="1:49" x14ac:dyDescent="0.3">
      <c r="A131" s="50"/>
      <c r="B131" s="50"/>
      <c r="C131" s="50"/>
      <c r="D131" s="640"/>
      <c r="E131" s="640"/>
      <c r="F131" s="80"/>
      <c r="G131" s="86">
        <v>2</v>
      </c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638"/>
      <c r="AW131" s="638"/>
    </row>
    <row r="132" spans="1:49" x14ac:dyDescent="0.3">
      <c r="A132" s="50"/>
      <c r="B132" s="50"/>
      <c r="C132" s="50"/>
      <c r="D132" s="640"/>
      <c r="E132" s="640"/>
      <c r="F132" s="80"/>
      <c r="G132" s="86">
        <v>3</v>
      </c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638"/>
      <c r="AW132" s="638"/>
    </row>
    <row r="133" spans="1:49" x14ac:dyDescent="0.3">
      <c r="A133" s="50"/>
      <c r="B133" s="50"/>
      <c r="C133" s="50"/>
      <c r="D133" s="640"/>
      <c r="E133" s="640"/>
      <c r="F133" s="80"/>
      <c r="G133" s="86">
        <v>4</v>
      </c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638"/>
      <c r="AW133" s="638"/>
    </row>
    <row r="134" spans="1:49" x14ac:dyDescent="0.3">
      <c r="A134" s="50"/>
      <c r="B134" s="50"/>
      <c r="C134" s="50"/>
      <c r="D134" s="640"/>
      <c r="E134" s="640"/>
      <c r="F134" s="80"/>
      <c r="G134" s="86">
        <v>5</v>
      </c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638"/>
      <c r="AW134" s="638"/>
    </row>
    <row r="135" spans="1:49" x14ac:dyDescent="0.3">
      <c r="A135" s="50"/>
      <c r="B135" s="50"/>
      <c r="C135" s="50"/>
      <c r="D135" s="640"/>
      <c r="E135" s="640"/>
      <c r="F135" s="80"/>
      <c r="G135" s="86">
        <v>6</v>
      </c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638"/>
      <c r="AW135" s="638"/>
    </row>
    <row r="136" spans="1:49" x14ac:dyDescent="0.3">
      <c r="A136" s="50"/>
      <c r="B136" s="50"/>
      <c r="C136" s="50"/>
      <c r="D136" s="640"/>
      <c r="E136" s="640"/>
      <c r="F136" s="80"/>
      <c r="G136" s="86">
        <v>7</v>
      </c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638"/>
      <c r="AW136" s="638"/>
    </row>
    <row r="137" spans="1:49" x14ac:dyDescent="0.3">
      <c r="A137" s="50"/>
      <c r="B137" s="50"/>
      <c r="C137" s="50"/>
      <c r="D137" s="640"/>
      <c r="E137" s="640"/>
      <c r="F137" s="80"/>
      <c r="G137" s="86">
        <v>8</v>
      </c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638"/>
      <c r="AW137" s="638"/>
    </row>
    <row r="138" spans="1:49" x14ac:dyDescent="0.3">
      <c r="A138" s="50"/>
      <c r="B138" s="50"/>
      <c r="C138" s="50"/>
      <c r="D138" s="639"/>
      <c r="E138" s="639"/>
      <c r="F138" s="78"/>
      <c r="G138" s="86">
        <v>1</v>
      </c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637"/>
      <c r="AW138" s="637"/>
    </row>
    <row r="139" spans="1:49" x14ac:dyDescent="0.3">
      <c r="A139" s="50"/>
      <c r="B139" s="50"/>
      <c r="C139" s="50"/>
      <c r="D139" s="640"/>
      <c r="E139" s="640"/>
      <c r="F139" s="80"/>
      <c r="G139" s="86">
        <v>2</v>
      </c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638"/>
      <c r="AW139" s="638"/>
    </row>
    <row r="140" spans="1:49" x14ac:dyDescent="0.3">
      <c r="A140" s="50"/>
      <c r="B140" s="50"/>
      <c r="C140" s="50"/>
      <c r="D140" s="640"/>
      <c r="E140" s="640"/>
      <c r="F140" s="80"/>
      <c r="G140" s="86">
        <v>3</v>
      </c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638"/>
      <c r="AW140" s="638"/>
    </row>
    <row r="141" spans="1:49" x14ac:dyDescent="0.3">
      <c r="A141" s="50"/>
      <c r="B141" s="50"/>
      <c r="C141" s="50"/>
      <c r="D141" s="640"/>
      <c r="E141" s="640"/>
      <c r="F141" s="80"/>
      <c r="G141" s="86">
        <v>4</v>
      </c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638"/>
      <c r="AW141" s="638"/>
    </row>
    <row r="142" spans="1:49" x14ac:dyDescent="0.3">
      <c r="A142" s="50"/>
      <c r="B142" s="50"/>
      <c r="C142" s="50"/>
      <c r="D142" s="640"/>
      <c r="E142" s="640"/>
      <c r="F142" s="80"/>
      <c r="G142" s="86">
        <v>5</v>
      </c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638"/>
      <c r="AW142" s="638"/>
    </row>
    <row r="143" spans="1:49" x14ac:dyDescent="0.3">
      <c r="A143" s="50"/>
      <c r="B143" s="50"/>
      <c r="C143" s="50"/>
      <c r="D143" s="640"/>
      <c r="E143" s="640"/>
      <c r="F143" s="80"/>
      <c r="G143" s="86">
        <v>6</v>
      </c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638"/>
      <c r="AW143" s="638"/>
    </row>
    <row r="144" spans="1:49" x14ac:dyDescent="0.3">
      <c r="A144" s="50"/>
      <c r="B144" s="50"/>
      <c r="C144" s="50"/>
      <c r="D144" s="640"/>
      <c r="E144" s="640"/>
      <c r="F144" s="80"/>
      <c r="G144" s="86">
        <v>7</v>
      </c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638"/>
      <c r="AW144" s="638"/>
    </row>
    <row r="145" spans="1:49" x14ac:dyDescent="0.3">
      <c r="A145" s="50"/>
      <c r="B145" s="50"/>
      <c r="C145" s="50"/>
      <c r="D145" s="640"/>
      <c r="E145" s="640"/>
      <c r="F145" s="80"/>
      <c r="G145" s="86">
        <v>8</v>
      </c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638"/>
      <c r="AW145" s="638"/>
    </row>
    <row r="146" spans="1:49" x14ac:dyDescent="0.3">
      <c r="A146" s="50"/>
      <c r="B146" s="50"/>
      <c r="C146" s="50"/>
      <c r="D146" s="639"/>
      <c r="E146" s="639"/>
      <c r="F146" s="78"/>
      <c r="G146" s="86">
        <v>1</v>
      </c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637"/>
      <c r="AW146" s="637"/>
    </row>
    <row r="147" spans="1:49" x14ac:dyDescent="0.3">
      <c r="A147" s="50"/>
      <c r="B147" s="50"/>
      <c r="C147" s="50"/>
      <c r="D147" s="640"/>
      <c r="E147" s="640"/>
      <c r="F147" s="80"/>
      <c r="G147" s="86">
        <v>2</v>
      </c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638"/>
      <c r="AW147" s="638"/>
    </row>
    <row r="148" spans="1:49" x14ac:dyDescent="0.3">
      <c r="A148" s="50"/>
      <c r="B148" s="50"/>
      <c r="C148" s="50"/>
      <c r="D148" s="640"/>
      <c r="E148" s="640"/>
      <c r="F148" s="80"/>
      <c r="G148" s="86">
        <v>3</v>
      </c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638"/>
      <c r="AW148" s="638"/>
    </row>
    <row r="149" spans="1:49" x14ac:dyDescent="0.3">
      <c r="A149" s="50"/>
      <c r="B149" s="50"/>
      <c r="C149" s="50"/>
      <c r="D149" s="640"/>
      <c r="E149" s="640"/>
      <c r="F149" s="80"/>
      <c r="G149" s="86">
        <v>4</v>
      </c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638"/>
      <c r="AW149" s="638"/>
    </row>
    <row r="150" spans="1:49" x14ac:dyDescent="0.3">
      <c r="A150" s="50"/>
      <c r="B150" s="50"/>
      <c r="C150" s="50"/>
      <c r="D150" s="640"/>
      <c r="E150" s="640"/>
      <c r="F150" s="80"/>
      <c r="G150" s="86">
        <v>5</v>
      </c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638"/>
      <c r="AW150" s="638"/>
    </row>
    <row r="151" spans="1:49" x14ac:dyDescent="0.3">
      <c r="A151" s="50"/>
      <c r="B151" s="50"/>
      <c r="C151" s="50"/>
      <c r="D151" s="640"/>
      <c r="E151" s="640"/>
      <c r="F151" s="80"/>
      <c r="G151" s="86">
        <v>6</v>
      </c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638"/>
      <c r="AW151" s="638"/>
    </row>
    <row r="152" spans="1:49" x14ac:dyDescent="0.3">
      <c r="A152" s="50"/>
      <c r="B152" s="50"/>
      <c r="C152" s="50"/>
      <c r="D152" s="640"/>
      <c r="E152" s="640"/>
      <c r="F152" s="80"/>
      <c r="G152" s="86">
        <v>7</v>
      </c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638"/>
      <c r="AW152" s="638"/>
    </row>
    <row r="153" spans="1:49" x14ac:dyDescent="0.3">
      <c r="A153" s="50"/>
      <c r="B153" s="50"/>
      <c r="C153" s="50"/>
      <c r="D153" s="640"/>
      <c r="E153" s="640"/>
      <c r="F153" s="80"/>
      <c r="G153" s="86">
        <v>8</v>
      </c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638"/>
      <c r="AW153" s="638"/>
    </row>
    <row r="154" spans="1:49" x14ac:dyDescent="0.3">
      <c r="A154" s="50"/>
      <c r="B154" s="50"/>
      <c r="C154" s="50"/>
      <c r="D154" s="639"/>
      <c r="E154" s="639"/>
      <c r="F154" s="78"/>
      <c r="G154" s="86">
        <v>1</v>
      </c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637"/>
      <c r="AW154" s="637"/>
    </row>
    <row r="155" spans="1:49" x14ac:dyDescent="0.3">
      <c r="A155" s="50"/>
      <c r="B155" s="50"/>
      <c r="C155" s="50"/>
      <c r="D155" s="640"/>
      <c r="E155" s="640"/>
      <c r="F155" s="80"/>
      <c r="G155" s="86">
        <v>2</v>
      </c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638"/>
      <c r="AW155" s="638"/>
    </row>
    <row r="156" spans="1:49" x14ac:dyDescent="0.3">
      <c r="A156" s="50"/>
      <c r="B156" s="50"/>
      <c r="C156" s="50"/>
      <c r="D156" s="640"/>
      <c r="E156" s="640"/>
      <c r="F156" s="80"/>
      <c r="G156" s="86">
        <v>3</v>
      </c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638"/>
      <c r="AW156" s="638"/>
    </row>
    <row r="157" spans="1:49" x14ac:dyDescent="0.3">
      <c r="A157" s="50"/>
      <c r="B157" s="50"/>
      <c r="C157" s="50"/>
      <c r="D157" s="640"/>
      <c r="E157" s="640"/>
      <c r="F157" s="80"/>
      <c r="G157" s="86">
        <v>4</v>
      </c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638"/>
      <c r="AW157" s="638"/>
    </row>
    <row r="158" spans="1:49" x14ac:dyDescent="0.3">
      <c r="A158" s="50"/>
      <c r="B158" s="50"/>
      <c r="C158" s="50"/>
      <c r="D158" s="640"/>
      <c r="E158" s="640"/>
      <c r="F158" s="80"/>
      <c r="G158" s="86">
        <v>5</v>
      </c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638"/>
      <c r="AW158" s="638"/>
    </row>
    <row r="159" spans="1:49" x14ac:dyDescent="0.3">
      <c r="A159" s="50"/>
      <c r="B159" s="50"/>
      <c r="C159" s="50"/>
      <c r="D159" s="640"/>
      <c r="E159" s="640"/>
      <c r="F159" s="80"/>
      <c r="G159" s="86">
        <v>6</v>
      </c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638"/>
      <c r="AW159" s="638"/>
    </row>
    <row r="160" spans="1:49" x14ac:dyDescent="0.3">
      <c r="A160" s="50"/>
      <c r="B160" s="50"/>
      <c r="C160" s="50"/>
      <c r="D160" s="640"/>
      <c r="E160" s="640"/>
      <c r="F160" s="80"/>
      <c r="G160" s="86">
        <v>7</v>
      </c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638"/>
      <c r="AW160" s="638"/>
    </row>
    <row r="161" spans="1:49" x14ac:dyDescent="0.3">
      <c r="A161" s="50"/>
      <c r="B161" s="50"/>
      <c r="C161" s="50"/>
      <c r="D161" s="640"/>
      <c r="E161" s="640"/>
      <c r="F161" s="80"/>
      <c r="G161" s="86">
        <v>8</v>
      </c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638"/>
      <c r="AW161" s="638"/>
    </row>
    <row r="162" spans="1:49" x14ac:dyDescent="0.3">
      <c r="A162" s="50"/>
      <c r="B162" s="50"/>
      <c r="C162" s="50"/>
      <c r="D162" s="639"/>
      <c r="E162" s="639"/>
      <c r="F162" s="78"/>
      <c r="G162" s="86">
        <v>1</v>
      </c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637"/>
      <c r="AW162" s="637"/>
    </row>
    <row r="163" spans="1:49" x14ac:dyDescent="0.3">
      <c r="A163" s="50"/>
      <c r="B163" s="50"/>
      <c r="C163" s="50"/>
      <c r="D163" s="640"/>
      <c r="E163" s="640"/>
      <c r="F163" s="80"/>
      <c r="G163" s="86">
        <v>2</v>
      </c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638"/>
      <c r="AW163" s="638"/>
    </row>
    <row r="164" spans="1:49" x14ac:dyDescent="0.3">
      <c r="A164" s="50"/>
      <c r="B164" s="50"/>
      <c r="C164" s="50"/>
      <c r="D164" s="640"/>
      <c r="E164" s="640"/>
      <c r="F164" s="80"/>
      <c r="G164" s="86">
        <v>3</v>
      </c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638"/>
      <c r="AW164" s="638"/>
    </row>
    <row r="165" spans="1:49" x14ac:dyDescent="0.3">
      <c r="A165" s="50"/>
      <c r="B165" s="50"/>
      <c r="C165" s="50"/>
      <c r="D165" s="640"/>
      <c r="E165" s="640"/>
      <c r="F165" s="80"/>
      <c r="G165" s="86">
        <v>4</v>
      </c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638"/>
      <c r="AW165" s="638"/>
    </row>
    <row r="166" spans="1:49" x14ac:dyDescent="0.3">
      <c r="A166" s="50"/>
      <c r="B166" s="50"/>
      <c r="C166" s="50"/>
      <c r="D166" s="640"/>
      <c r="E166" s="640"/>
      <c r="F166" s="80"/>
      <c r="G166" s="86">
        <v>5</v>
      </c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638"/>
      <c r="AW166" s="638"/>
    </row>
    <row r="167" spans="1:49" x14ac:dyDescent="0.3">
      <c r="A167" s="50"/>
      <c r="B167" s="50"/>
      <c r="C167" s="50"/>
      <c r="D167" s="640"/>
      <c r="E167" s="640"/>
      <c r="F167" s="80"/>
      <c r="G167" s="86">
        <v>6</v>
      </c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638"/>
      <c r="AW167" s="638"/>
    </row>
    <row r="168" spans="1:49" x14ac:dyDescent="0.3">
      <c r="A168" s="50"/>
      <c r="B168" s="50"/>
      <c r="C168" s="50"/>
      <c r="D168" s="640"/>
      <c r="E168" s="640"/>
      <c r="F168" s="80"/>
      <c r="G168" s="86">
        <v>7</v>
      </c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638"/>
      <c r="AW168" s="638"/>
    </row>
    <row r="169" spans="1:49" x14ac:dyDescent="0.3">
      <c r="A169" s="50"/>
      <c r="B169" s="50"/>
      <c r="C169" s="50"/>
      <c r="D169" s="640"/>
      <c r="E169" s="640"/>
      <c r="F169" s="80"/>
      <c r="G169" s="86">
        <v>8</v>
      </c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638"/>
      <c r="AW169" s="638"/>
    </row>
    <row r="170" spans="1:49" x14ac:dyDescent="0.3">
      <c r="A170" s="50"/>
      <c r="B170" s="50"/>
      <c r="C170" s="50"/>
      <c r="D170" s="639"/>
      <c r="E170" s="639"/>
      <c r="F170" s="78"/>
      <c r="G170" s="86">
        <v>1</v>
      </c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637"/>
      <c r="AW170" s="637"/>
    </row>
    <row r="171" spans="1:49" x14ac:dyDescent="0.3">
      <c r="A171" s="50"/>
      <c r="B171" s="50"/>
      <c r="C171" s="50"/>
      <c r="D171" s="640"/>
      <c r="E171" s="640"/>
      <c r="F171" s="80"/>
      <c r="G171" s="86">
        <v>2</v>
      </c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638"/>
      <c r="AW171" s="638"/>
    </row>
    <row r="172" spans="1:49" x14ac:dyDescent="0.3">
      <c r="A172" s="50"/>
      <c r="B172" s="50"/>
      <c r="C172" s="50"/>
      <c r="D172" s="640"/>
      <c r="E172" s="640"/>
      <c r="F172" s="80"/>
      <c r="G172" s="86">
        <v>3</v>
      </c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638"/>
      <c r="AW172" s="638"/>
    </row>
    <row r="173" spans="1:49" x14ac:dyDescent="0.3">
      <c r="A173" s="50"/>
      <c r="B173" s="50"/>
      <c r="C173" s="50"/>
      <c r="D173" s="640"/>
      <c r="E173" s="640"/>
      <c r="F173" s="80"/>
      <c r="G173" s="86">
        <v>4</v>
      </c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638"/>
      <c r="AW173" s="638"/>
    </row>
    <row r="174" spans="1:49" x14ac:dyDescent="0.3">
      <c r="A174" s="50"/>
      <c r="B174" s="50"/>
      <c r="C174" s="50"/>
      <c r="D174" s="640"/>
      <c r="E174" s="640"/>
      <c r="F174" s="80"/>
      <c r="G174" s="86">
        <v>5</v>
      </c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638"/>
      <c r="AW174" s="638"/>
    </row>
    <row r="175" spans="1:49" x14ac:dyDescent="0.3">
      <c r="A175" s="50"/>
      <c r="B175" s="50"/>
      <c r="C175" s="50"/>
      <c r="D175" s="640"/>
      <c r="E175" s="640"/>
      <c r="F175" s="80"/>
      <c r="G175" s="86">
        <v>6</v>
      </c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638"/>
      <c r="AW175" s="638"/>
    </row>
    <row r="176" spans="1:49" x14ac:dyDescent="0.3">
      <c r="A176" s="50"/>
      <c r="B176" s="50"/>
      <c r="C176" s="50"/>
      <c r="D176" s="640"/>
      <c r="E176" s="640"/>
      <c r="F176" s="80"/>
      <c r="G176" s="86">
        <v>7</v>
      </c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638"/>
      <c r="AW176" s="638"/>
    </row>
    <row r="177" spans="1:49" x14ac:dyDescent="0.3">
      <c r="A177" s="50"/>
      <c r="B177" s="50"/>
      <c r="C177" s="50"/>
      <c r="D177" s="640"/>
      <c r="E177" s="640"/>
      <c r="F177" s="80"/>
      <c r="G177" s="86">
        <v>8</v>
      </c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638"/>
      <c r="AW177" s="638"/>
    </row>
    <row r="178" spans="1:49" x14ac:dyDescent="0.3">
      <c r="A178" s="50"/>
      <c r="B178" s="50"/>
      <c r="C178" s="50"/>
      <c r="D178" s="639"/>
      <c r="E178" s="639"/>
      <c r="F178" s="78"/>
      <c r="G178" s="86">
        <v>1</v>
      </c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637"/>
      <c r="AW178" s="637"/>
    </row>
    <row r="179" spans="1:49" x14ac:dyDescent="0.3">
      <c r="A179" s="50"/>
      <c r="B179" s="50"/>
      <c r="C179" s="50"/>
      <c r="D179" s="640"/>
      <c r="E179" s="640"/>
      <c r="F179" s="80"/>
      <c r="G179" s="86">
        <v>2</v>
      </c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638"/>
      <c r="AW179" s="638"/>
    </row>
    <row r="180" spans="1:49" x14ac:dyDescent="0.3">
      <c r="A180" s="50"/>
      <c r="B180" s="50"/>
      <c r="C180" s="50"/>
      <c r="D180" s="640"/>
      <c r="E180" s="640"/>
      <c r="F180" s="80"/>
      <c r="G180" s="86">
        <v>3</v>
      </c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638"/>
      <c r="AW180" s="638"/>
    </row>
    <row r="181" spans="1:49" x14ac:dyDescent="0.3">
      <c r="A181" s="50"/>
      <c r="B181" s="50"/>
      <c r="C181" s="50"/>
      <c r="D181" s="640"/>
      <c r="E181" s="640"/>
      <c r="F181" s="80"/>
      <c r="G181" s="86">
        <v>4</v>
      </c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638"/>
      <c r="AW181" s="638"/>
    </row>
    <row r="182" spans="1:49" x14ac:dyDescent="0.3">
      <c r="A182" s="50"/>
      <c r="B182" s="50"/>
      <c r="C182" s="50"/>
      <c r="D182" s="640"/>
      <c r="E182" s="640"/>
      <c r="F182" s="80"/>
      <c r="G182" s="86">
        <v>5</v>
      </c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638"/>
      <c r="AW182" s="638"/>
    </row>
    <row r="183" spans="1:49" x14ac:dyDescent="0.3">
      <c r="A183" s="50"/>
      <c r="B183" s="50"/>
      <c r="C183" s="50"/>
      <c r="D183" s="640"/>
      <c r="E183" s="640"/>
      <c r="F183" s="80"/>
      <c r="G183" s="86">
        <v>6</v>
      </c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638"/>
      <c r="AW183" s="638"/>
    </row>
    <row r="184" spans="1:49" x14ac:dyDescent="0.3">
      <c r="A184" s="50"/>
      <c r="B184" s="50"/>
      <c r="C184" s="50"/>
      <c r="D184" s="640"/>
      <c r="E184" s="640"/>
      <c r="F184" s="80"/>
      <c r="G184" s="86">
        <v>7</v>
      </c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638"/>
      <c r="AW184" s="638"/>
    </row>
    <row r="185" spans="1:49" x14ac:dyDescent="0.3">
      <c r="A185" s="50"/>
      <c r="B185" s="50"/>
      <c r="C185" s="50"/>
      <c r="D185" s="640"/>
      <c r="E185" s="640"/>
      <c r="F185" s="80"/>
      <c r="G185" s="86">
        <v>8</v>
      </c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638"/>
      <c r="AW185" s="638"/>
    </row>
    <row r="186" spans="1:49" x14ac:dyDescent="0.3">
      <c r="A186" s="50"/>
      <c r="B186" s="50"/>
      <c r="C186" s="50"/>
      <c r="D186" s="639"/>
      <c r="E186" s="639"/>
      <c r="F186" s="78"/>
      <c r="G186" s="86">
        <v>1</v>
      </c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637"/>
      <c r="AW186" s="637"/>
    </row>
    <row r="187" spans="1:49" x14ac:dyDescent="0.3">
      <c r="A187" s="50"/>
      <c r="B187" s="50"/>
      <c r="C187" s="50"/>
      <c r="D187" s="640"/>
      <c r="E187" s="640"/>
      <c r="F187" s="80"/>
      <c r="G187" s="86">
        <v>2</v>
      </c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638"/>
      <c r="AW187" s="638"/>
    </row>
    <row r="188" spans="1:49" x14ac:dyDescent="0.3">
      <c r="A188" s="50"/>
      <c r="B188" s="50"/>
      <c r="C188" s="50"/>
      <c r="D188" s="640"/>
      <c r="E188" s="640"/>
      <c r="F188" s="80"/>
      <c r="G188" s="86">
        <v>3</v>
      </c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638"/>
      <c r="AW188" s="638"/>
    </row>
    <row r="189" spans="1:49" x14ac:dyDescent="0.3">
      <c r="A189" s="50"/>
      <c r="B189" s="50"/>
      <c r="C189" s="50"/>
      <c r="D189" s="640"/>
      <c r="E189" s="640"/>
      <c r="F189" s="80"/>
      <c r="G189" s="86">
        <v>4</v>
      </c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638"/>
      <c r="AW189" s="638"/>
    </row>
    <row r="190" spans="1:49" x14ac:dyDescent="0.3">
      <c r="A190" s="50"/>
      <c r="B190" s="50"/>
      <c r="C190" s="50"/>
      <c r="D190" s="640"/>
      <c r="E190" s="640"/>
      <c r="F190" s="80"/>
      <c r="G190" s="86">
        <v>5</v>
      </c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638"/>
      <c r="AW190" s="638"/>
    </row>
    <row r="191" spans="1:49" x14ac:dyDescent="0.3">
      <c r="A191" s="50"/>
      <c r="B191" s="50"/>
      <c r="C191" s="50"/>
      <c r="D191" s="640"/>
      <c r="E191" s="640"/>
      <c r="F191" s="80"/>
      <c r="G191" s="86">
        <v>6</v>
      </c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638"/>
      <c r="AW191" s="638"/>
    </row>
    <row r="192" spans="1:49" x14ac:dyDescent="0.3">
      <c r="A192" s="50"/>
      <c r="B192" s="50"/>
      <c r="C192" s="50"/>
      <c r="D192" s="640"/>
      <c r="E192" s="640"/>
      <c r="F192" s="80"/>
      <c r="G192" s="86">
        <v>7</v>
      </c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638"/>
      <c r="AW192" s="638"/>
    </row>
    <row r="193" spans="1:49" x14ac:dyDescent="0.3">
      <c r="A193" s="50"/>
      <c r="B193" s="50"/>
      <c r="C193" s="50"/>
      <c r="D193" s="640"/>
      <c r="E193" s="640"/>
      <c r="F193" s="80"/>
      <c r="G193" s="86">
        <v>8</v>
      </c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638"/>
      <c r="AW193" s="638"/>
    </row>
    <row r="194" spans="1:49" x14ac:dyDescent="0.3">
      <c r="A194" s="50"/>
      <c r="B194" s="50"/>
      <c r="C194" s="50"/>
      <c r="D194" s="639"/>
      <c r="E194" s="639"/>
      <c r="F194" s="78"/>
      <c r="G194" s="86">
        <v>1</v>
      </c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637"/>
      <c r="AW194" s="637"/>
    </row>
    <row r="195" spans="1:49" x14ac:dyDescent="0.3">
      <c r="A195" s="50"/>
      <c r="B195" s="50"/>
      <c r="C195" s="50"/>
      <c r="D195" s="640"/>
      <c r="E195" s="640"/>
      <c r="F195" s="80"/>
      <c r="G195" s="86">
        <v>2</v>
      </c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638"/>
      <c r="AW195" s="638"/>
    </row>
    <row r="196" spans="1:49" x14ac:dyDescent="0.3">
      <c r="A196" s="50"/>
      <c r="B196" s="50"/>
      <c r="C196" s="50"/>
      <c r="D196" s="640"/>
      <c r="E196" s="640"/>
      <c r="F196" s="80"/>
      <c r="G196" s="86">
        <v>3</v>
      </c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638"/>
      <c r="AW196" s="638"/>
    </row>
    <row r="197" spans="1:49" x14ac:dyDescent="0.3">
      <c r="A197" s="50"/>
      <c r="B197" s="50"/>
      <c r="C197" s="50"/>
      <c r="D197" s="640"/>
      <c r="E197" s="640"/>
      <c r="F197" s="80"/>
      <c r="G197" s="86">
        <v>4</v>
      </c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638"/>
      <c r="AW197" s="638"/>
    </row>
    <row r="198" spans="1:49" x14ac:dyDescent="0.3">
      <c r="A198" s="50"/>
      <c r="B198" s="50"/>
      <c r="C198" s="50"/>
      <c r="D198" s="640"/>
      <c r="E198" s="640"/>
      <c r="F198" s="80"/>
      <c r="G198" s="86">
        <v>5</v>
      </c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638"/>
      <c r="AW198" s="638"/>
    </row>
    <row r="199" spans="1:49" x14ac:dyDescent="0.3">
      <c r="A199" s="50"/>
      <c r="B199" s="50"/>
      <c r="C199" s="50"/>
      <c r="D199" s="640"/>
      <c r="E199" s="640"/>
      <c r="F199" s="80"/>
      <c r="G199" s="86">
        <v>6</v>
      </c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638"/>
      <c r="AW199" s="638"/>
    </row>
    <row r="200" spans="1:49" x14ac:dyDescent="0.3">
      <c r="A200" s="50"/>
      <c r="B200" s="50"/>
      <c r="C200" s="50"/>
      <c r="D200" s="640"/>
      <c r="E200" s="640"/>
      <c r="F200" s="80"/>
      <c r="G200" s="86">
        <v>7</v>
      </c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638"/>
      <c r="AW200" s="638"/>
    </row>
    <row r="201" spans="1:49" x14ac:dyDescent="0.3">
      <c r="A201" s="50"/>
      <c r="B201" s="50"/>
      <c r="C201" s="50"/>
      <c r="D201" s="640"/>
      <c r="E201" s="640"/>
      <c r="F201" s="80"/>
      <c r="G201" s="86">
        <v>8</v>
      </c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638"/>
      <c r="AW201" s="638"/>
    </row>
    <row r="202" spans="1:49" x14ac:dyDescent="0.3">
      <c r="A202" s="50"/>
      <c r="B202" s="50"/>
      <c r="C202" s="50"/>
      <c r="D202" s="639"/>
      <c r="E202" s="639"/>
      <c r="F202" s="78"/>
      <c r="G202" s="86">
        <v>1</v>
      </c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637"/>
      <c r="AW202" s="637"/>
    </row>
    <row r="203" spans="1:49" x14ac:dyDescent="0.3">
      <c r="A203" s="50"/>
      <c r="B203" s="50"/>
      <c r="C203" s="50"/>
      <c r="D203" s="640"/>
      <c r="E203" s="640"/>
      <c r="F203" s="80"/>
      <c r="G203" s="86">
        <v>2</v>
      </c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638"/>
      <c r="AW203" s="638"/>
    </row>
    <row r="204" spans="1:49" x14ac:dyDescent="0.3">
      <c r="A204" s="50"/>
      <c r="B204" s="50"/>
      <c r="C204" s="50"/>
      <c r="D204" s="640"/>
      <c r="E204" s="640"/>
      <c r="F204" s="80"/>
      <c r="G204" s="86">
        <v>3</v>
      </c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638"/>
      <c r="AW204" s="638"/>
    </row>
    <row r="205" spans="1:49" x14ac:dyDescent="0.3">
      <c r="A205" s="50"/>
      <c r="B205" s="50"/>
      <c r="C205" s="50"/>
      <c r="D205" s="640"/>
      <c r="E205" s="640"/>
      <c r="F205" s="80"/>
      <c r="G205" s="86">
        <v>4</v>
      </c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638"/>
      <c r="AW205" s="638"/>
    </row>
    <row r="206" spans="1:49" x14ac:dyDescent="0.3">
      <c r="A206" s="50"/>
      <c r="B206" s="50"/>
      <c r="C206" s="50"/>
      <c r="D206" s="640"/>
      <c r="E206" s="640"/>
      <c r="F206" s="80"/>
      <c r="G206" s="86">
        <v>5</v>
      </c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638"/>
      <c r="AW206" s="638"/>
    </row>
    <row r="207" spans="1:49" x14ac:dyDescent="0.3">
      <c r="A207" s="50"/>
      <c r="B207" s="50"/>
      <c r="C207" s="50"/>
      <c r="D207" s="640"/>
      <c r="E207" s="640"/>
      <c r="F207" s="80"/>
      <c r="G207" s="86">
        <v>6</v>
      </c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638"/>
      <c r="AW207" s="638"/>
    </row>
    <row r="208" spans="1:49" x14ac:dyDescent="0.3">
      <c r="A208" s="50"/>
      <c r="B208" s="50"/>
      <c r="C208" s="50"/>
      <c r="D208" s="640"/>
      <c r="E208" s="640"/>
      <c r="F208" s="80"/>
      <c r="G208" s="86">
        <v>7</v>
      </c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638"/>
      <c r="AW208" s="638"/>
    </row>
    <row r="209" spans="1:49" x14ac:dyDescent="0.3">
      <c r="A209" s="50"/>
      <c r="B209" s="50"/>
      <c r="C209" s="50"/>
      <c r="D209" s="640"/>
      <c r="E209" s="640"/>
      <c r="F209" s="80"/>
      <c r="G209" s="86">
        <v>8</v>
      </c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638"/>
      <c r="AW209" s="638"/>
    </row>
    <row r="210" spans="1:49" x14ac:dyDescent="0.3">
      <c r="A210" s="50"/>
      <c r="B210" s="50"/>
      <c r="C210" s="50"/>
      <c r="D210" s="639"/>
      <c r="E210" s="639"/>
      <c r="F210" s="78"/>
      <c r="G210" s="86">
        <v>1</v>
      </c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637"/>
      <c r="AW210" s="637"/>
    </row>
    <row r="211" spans="1:49" x14ac:dyDescent="0.3">
      <c r="A211" s="50"/>
      <c r="B211" s="50"/>
      <c r="C211" s="50"/>
      <c r="D211" s="640"/>
      <c r="E211" s="640"/>
      <c r="F211" s="80"/>
      <c r="G211" s="86">
        <v>2</v>
      </c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638"/>
      <c r="AW211" s="638"/>
    </row>
    <row r="212" spans="1:49" x14ac:dyDescent="0.3">
      <c r="A212" s="50"/>
      <c r="B212" s="50"/>
      <c r="C212" s="50"/>
      <c r="D212" s="640"/>
      <c r="E212" s="640"/>
      <c r="F212" s="80"/>
      <c r="G212" s="86">
        <v>3</v>
      </c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638"/>
      <c r="AW212" s="638"/>
    </row>
    <row r="213" spans="1:49" x14ac:dyDescent="0.3">
      <c r="A213" s="50"/>
      <c r="B213" s="50"/>
      <c r="C213" s="50"/>
      <c r="D213" s="640"/>
      <c r="E213" s="640"/>
      <c r="F213" s="80"/>
      <c r="G213" s="86">
        <v>4</v>
      </c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638"/>
      <c r="AW213" s="638"/>
    </row>
    <row r="214" spans="1:49" x14ac:dyDescent="0.3">
      <c r="A214" s="50"/>
      <c r="B214" s="50"/>
      <c r="C214" s="50"/>
      <c r="D214" s="640"/>
      <c r="E214" s="640"/>
      <c r="F214" s="80"/>
      <c r="G214" s="86">
        <v>5</v>
      </c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638"/>
      <c r="AW214" s="638"/>
    </row>
    <row r="215" spans="1:49" x14ac:dyDescent="0.3">
      <c r="A215" s="50"/>
      <c r="B215" s="50"/>
      <c r="C215" s="50"/>
      <c r="D215" s="640"/>
      <c r="E215" s="640"/>
      <c r="F215" s="80"/>
      <c r="G215" s="86">
        <v>6</v>
      </c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638"/>
      <c r="AW215" s="638"/>
    </row>
    <row r="216" spans="1:49" x14ac:dyDescent="0.3">
      <c r="A216" s="50"/>
      <c r="B216" s="50"/>
      <c r="C216" s="50"/>
      <c r="D216" s="640"/>
      <c r="E216" s="640"/>
      <c r="F216" s="80"/>
      <c r="G216" s="86">
        <v>7</v>
      </c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638"/>
      <c r="AW216" s="638"/>
    </row>
    <row r="217" spans="1:49" x14ac:dyDescent="0.3">
      <c r="A217" s="50"/>
      <c r="B217" s="50"/>
      <c r="C217" s="50"/>
      <c r="D217" s="640"/>
      <c r="E217" s="640"/>
      <c r="F217" s="80"/>
      <c r="G217" s="86">
        <v>8</v>
      </c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638"/>
      <c r="AW217" s="638"/>
    </row>
    <row r="218" spans="1:49" x14ac:dyDescent="0.3">
      <c r="A218" s="50"/>
      <c r="B218" s="50"/>
      <c r="C218" s="50"/>
      <c r="D218" s="639"/>
      <c r="E218" s="639"/>
      <c r="F218" s="78"/>
      <c r="G218" s="86">
        <v>1</v>
      </c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637"/>
      <c r="AW218" s="637"/>
    </row>
    <row r="219" spans="1:49" x14ac:dyDescent="0.3">
      <c r="A219" s="50"/>
      <c r="B219" s="50"/>
      <c r="C219" s="50"/>
      <c r="D219" s="640"/>
      <c r="E219" s="640"/>
      <c r="F219" s="80"/>
      <c r="G219" s="86">
        <v>2</v>
      </c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638"/>
      <c r="AW219" s="638"/>
    </row>
    <row r="220" spans="1:49" x14ac:dyDescent="0.3">
      <c r="A220" s="50"/>
      <c r="B220" s="50"/>
      <c r="C220" s="50"/>
      <c r="D220" s="640"/>
      <c r="E220" s="640"/>
      <c r="F220" s="80"/>
      <c r="G220" s="86">
        <v>3</v>
      </c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638"/>
      <c r="AW220" s="638"/>
    </row>
    <row r="221" spans="1:49" x14ac:dyDescent="0.3">
      <c r="A221" s="50"/>
      <c r="B221" s="50"/>
      <c r="C221" s="50"/>
      <c r="D221" s="640"/>
      <c r="E221" s="640"/>
      <c r="F221" s="80"/>
      <c r="G221" s="86">
        <v>4</v>
      </c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638"/>
      <c r="AW221" s="638"/>
    </row>
    <row r="222" spans="1:49" x14ac:dyDescent="0.3">
      <c r="A222" s="50"/>
      <c r="B222" s="50"/>
      <c r="C222" s="50"/>
      <c r="D222" s="640"/>
      <c r="E222" s="640"/>
      <c r="F222" s="80"/>
      <c r="G222" s="86">
        <v>5</v>
      </c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638"/>
      <c r="AW222" s="638"/>
    </row>
    <row r="223" spans="1:49" x14ac:dyDescent="0.3">
      <c r="A223" s="50"/>
      <c r="B223" s="50"/>
      <c r="C223" s="50"/>
      <c r="D223" s="640"/>
      <c r="E223" s="640"/>
      <c r="F223" s="80"/>
      <c r="G223" s="86">
        <v>6</v>
      </c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638"/>
      <c r="AW223" s="638"/>
    </row>
    <row r="224" spans="1:49" x14ac:dyDescent="0.3">
      <c r="A224" s="50"/>
      <c r="B224" s="50"/>
      <c r="C224" s="50"/>
      <c r="D224" s="640"/>
      <c r="E224" s="640"/>
      <c r="F224" s="80"/>
      <c r="G224" s="86">
        <v>7</v>
      </c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638"/>
      <c r="AW224" s="638"/>
    </row>
    <row r="225" spans="1:49" x14ac:dyDescent="0.3">
      <c r="A225" s="50"/>
      <c r="B225" s="50"/>
      <c r="C225" s="50"/>
      <c r="D225" s="640"/>
      <c r="E225" s="640"/>
      <c r="F225" s="80"/>
      <c r="G225" s="86">
        <v>8</v>
      </c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638"/>
      <c r="AW225" s="638"/>
    </row>
    <row r="226" spans="1:49" x14ac:dyDescent="0.3">
      <c r="A226" s="50"/>
      <c r="B226" s="50"/>
      <c r="C226" s="50"/>
      <c r="D226" s="639"/>
      <c r="E226" s="639"/>
      <c r="F226" s="78"/>
      <c r="G226" s="86">
        <v>1</v>
      </c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637"/>
      <c r="AW226" s="637"/>
    </row>
    <row r="227" spans="1:49" x14ac:dyDescent="0.3">
      <c r="A227" s="50"/>
      <c r="B227" s="50"/>
      <c r="C227" s="50"/>
      <c r="D227" s="640"/>
      <c r="E227" s="640"/>
      <c r="F227" s="80"/>
      <c r="G227" s="86">
        <v>2</v>
      </c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6"/>
      <c r="AU227" s="86"/>
      <c r="AV227" s="638"/>
      <c r="AW227" s="638"/>
    </row>
    <row r="228" spans="1:49" x14ac:dyDescent="0.3">
      <c r="A228" s="50"/>
      <c r="B228" s="50"/>
      <c r="C228" s="50"/>
      <c r="D228" s="640"/>
      <c r="E228" s="640"/>
      <c r="F228" s="80"/>
      <c r="G228" s="86">
        <v>3</v>
      </c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AS228" s="86"/>
      <c r="AT228" s="86"/>
      <c r="AU228" s="86"/>
      <c r="AV228" s="638"/>
      <c r="AW228" s="638"/>
    </row>
    <row r="229" spans="1:49" x14ac:dyDescent="0.3">
      <c r="A229" s="50"/>
      <c r="B229" s="50"/>
      <c r="C229" s="50"/>
      <c r="D229" s="640"/>
      <c r="E229" s="640"/>
      <c r="F229" s="80"/>
      <c r="G229" s="86">
        <v>4</v>
      </c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638"/>
      <c r="AW229" s="638"/>
    </row>
    <row r="230" spans="1:49" x14ac:dyDescent="0.3">
      <c r="A230" s="50"/>
      <c r="B230" s="50"/>
      <c r="C230" s="50"/>
      <c r="D230" s="640"/>
      <c r="E230" s="640"/>
      <c r="F230" s="80"/>
      <c r="G230" s="86">
        <v>5</v>
      </c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  <c r="AV230" s="638"/>
      <c r="AW230" s="638"/>
    </row>
    <row r="231" spans="1:49" x14ac:dyDescent="0.3">
      <c r="A231" s="50"/>
      <c r="B231" s="50"/>
      <c r="C231" s="50"/>
      <c r="D231" s="640"/>
      <c r="E231" s="640"/>
      <c r="F231" s="80"/>
      <c r="G231" s="86">
        <v>6</v>
      </c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638"/>
      <c r="AW231" s="638"/>
    </row>
    <row r="232" spans="1:49" x14ac:dyDescent="0.3">
      <c r="A232" s="50"/>
      <c r="B232" s="50"/>
      <c r="C232" s="50"/>
      <c r="D232" s="640"/>
      <c r="E232" s="640"/>
      <c r="F232" s="80"/>
      <c r="G232" s="86">
        <v>7</v>
      </c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AS232" s="86"/>
      <c r="AT232" s="86"/>
      <c r="AU232" s="86"/>
      <c r="AV232" s="638"/>
      <c r="AW232" s="638"/>
    </row>
    <row r="233" spans="1:49" x14ac:dyDescent="0.3">
      <c r="A233" s="50"/>
      <c r="B233" s="50"/>
      <c r="C233" s="50"/>
      <c r="D233" s="640"/>
      <c r="E233" s="640"/>
      <c r="F233" s="80"/>
      <c r="G233" s="86">
        <v>8</v>
      </c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AS233" s="86"/>
      <c r="AT233" s="86"/>
      <c r="AU233" s="86"/>
      <c r="AV233" s="638"/>
      <c r="AW233" s="638"/>
    </row>
    <row r="234" spans="1:49" x14ac:dyDescent="0.3">
      <c r="A234" s="50"/>
      <c r="B234" s="50"/>
      <c r="C234" s="50"/>
      <c r="D234" s="639"/>
      <c r="E234" s="639"/>
      <c r="F234" s="78"/>
      <c r="G234" s="86">
        <v>1</v>
      </c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AS234" s="86"/>
      <c r="AT234" s="86"/>
      <c r="AU234" s="86"/>
      <c r="AV234" s="637"/>
      <c r="AW234" s="637"/>
    </row>
    <row r="235" spans="1:49" x14ac:dyDescent="0.3">
      <c r="A235" s="50"/>
      <c r="B235" s="50"/>
      <c r="C235" s="50"/>
      <c r="D235" s="640"/>
      <c r="E235" s="640"/>
      <c r="F235" s="80"/>
      <c r="G235" s="86">
        <v>2</v>
      </c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/>
      <c r="AV235" s="638"/>
      <c r="AW235" s="638"/>
    </row>
    <row r="236" spans="1:49" x14ac:dyDescent="0.3">
      <c r="A236" s="50"/>
      <c r="B236" s="50"/>
      <c r="C236" s="50"/>
      <c r="D236" s="640"/>
      <c r="E236" s="640"/>
      <c r="F236" s="80"/>
      <c r="G236" s="86">
        <v>3</v>
      </c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AS236" s="86"/>
      <c r="AT236" s="86"/>
      <c r="AU236" s="86"/>
      <c r="AV236" s="638"/>
      <c r="AW236" s="638"/>
    </row>
    <row r="237" spans="1:49" x14ac:dyDescent="0.3">
      <c r="A237" s="50"/>
      <c r="B237" s="50"/>
      <c r="C237" s="50"/>
      <c r="D237" s="640"/>
      <c r="E237" s="640"/>
      <c r="F237" s="80"/>
      <c r="G237" s="86">
        <v>4</v>
      </c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AS237" s="86"/>
      <c r="AT237" s="86"/>
      <c r="AU237" s="86"/>
      <c r="AV237" s="638"/>
      <c r="AW237" s="638"/>
    </row>
    <row r="238" spans="1:49" x14ac:dyDescent="0.3">
      <c r="A238" s="50"/>
      <c r="B238" s="50"/>
      <c r="C238" s="50"/>
      <c r="D238" s="640"/>
      <c r="E238" s="640"/>
      <c r="F238" s="80"/>
      <c r="G238" s="86">
        <v>5</v>
      </c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AS238" s="86"/>
      <c r="AT238" s="86"/>
      <c r="AU238" s="86"/>
      <c r="AV238" s="638"/>
      <c r="AW238" s="638"/>
    </row>
    <row r="239" spans="1:49" x14ac:dyDescent="0.3">
      <c r="A239" s="50"/>
      <c r="B239" s="50"/>
      <c r="C239" s="50"/>
      <c r="D239" s="640"/>
      <c r="E239" s="640"/>
      <c r="F239" s="80"/>
      <c r="G239" s="86">
        <v>6</v>
      </c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6"/>
      <c r="AU239" s="86"/>
      <c r="AV239" s="638"/>
      <c r="AW239" s="638"/>
    </row>
    <row r="240" spans="1:49" x14ac:dyDescent="0.3">
      <c r="A240" s="50"/>
      <c r="B240" s="50"/>
      <c r="C240" s="50"/>
      <c r="D240" s="640"/>
      <c r="E240" s="640"/>
      <c r="F240" s="80"/>
      <c r="G240" s="86">
        <v>7</v>
      </c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AS240" s="86"/>
      <c r="AT240" s="86"/>
      <c r="AU240" s="86"/>
      <c r="AV240" s="638"/>
      <c r="AW240" s="638"/>
    </row>
    <row r="241" spans="1:49" x14ac:dyDescent="0.3">
      <c r="A241" s="50"/>
      <c r="B241" s="50"/>
      <c r="C241" s="50"/>
      <c r="D241" s="640"/>
      <c r="E241" s="640"/>
      <c r="F241" s="80"/>
      <c r="G241" s="86">
        <v>8</v>
      </c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AS241" s="86"/>
      <c r="AT241" s="86"/>
      <c r="AU241" s="86"/>
      <c r="AV241" s="638"/>
      <c r="AW241" s="638"/>
    </row>
    <row r="242" spans="1:49" x14ac:dyDescent="0.3">
      <c r="A242" s="50"/>
      <c r="B242" s="50"/>
      <c r="C242" s="50"/>
      <c r="D242" s="639"/>
      <c r="E242" s="639"/>
      <c r="F242" s="78"/>
      <c r="G242" s="86">
        <v>1</v>
      </c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AS242" s="86"/>
      <c r="AT242" s="86"/>
      <c r="AU242" s="86"/>
      <c r="AV242" s="637"/>
      <c r="AW242" s="637"/>
    </row>
    <row r="243" spans="1:49" x14ac:dyDescent="0.3">
      <c r="A243" s="50"/>
      <c r="B243" s="50"/>
      <c r="C243" s="50"/>
      <c r="D243" s="640"/>
      <c r="E243" s="640"/>
      <c r="F243" s="80"/>
      <c r="G243" s="86">
        <v>2</v>
      </c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6"/>
      <c r="AU243" s="86"/>
      <c r="AV243" s="638"/>
      <c r="AW243" s="638"/>
    </row>
    <row r="244" spans="1:49" x14ac:dyDescent="0.3">
      <c r="A244" s="50"/>
      <c r="B244" s="50"/>
      <c r="C244" s="50"/>
      <c r="D244" s="640"/>
      <c r="E244" s="640"/>
      <c r="F244" s="80"/>
      <c r="G244" s="86">
        <v>3</v>
      </c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AS244" s="86"/>
      <c r="AT244" s="86"/>
      <c r="AU244" s="86"/>
      <c r="AV244" s="638"/>
      <c r="AW244" s="638"/>
    </row>
    <row r="245" spans="1:49" x14ac:dyDescent="0.3">
      <c r="A245" s="50"/>
      <c r="B245" s="50"/>
      <c r="C245" s="50"/>
      <c r="D245" s="640"/>
      <c r="E245" s="640"/>
      <c r="F245" s="80"/>
      <c r="G245" s="86">
        <v>4</v>
      </c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AS245" s="86"/>
      <c r="AT245" s="86"/>
      <c r="AU245" s="86"/>
      <c r="AV245" s="638"/>
      <c r="AW245" s="638"/>
    </row>
    <row r="246" spans="1:49" x14ac:dyDescent="0.3">
      <c r="A246" s="50"/>
      <c r="B246" s="50"/>
      <c r="C246" s="50"/>
      <c r="D246" s="640"/>
      <c r="E246" s="640"/>
      <c r="F246" s="80"/>
      <c r="G246" s="86">
        <v>5</v>
      </c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  <c r="AV246" s="638"/>
      <c r="AW246" s="638"/>
    </row>
    <row r="247" spans="1:49" x14ac:dyDescent="0.3">
      <c r="A247" s="50"/>
      <c r="B247" s="50"/>
      <c r="C247" s="50"/>
      <c r="D247" s="640"/>
      <c r="E247" s="640"/>
      <c r="F247" s="80"/>
      <c r="G247" s="86">
        <v>6</v>
      </c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6"/>
      <c r="AU247" s="86"/>
      <c r="AV247" s="638"/>
      <c r="AW247" s="638"/>
    </row>
    <row r="248" spans="1:49" x14ac:dyDescent="0.3">
      <c r="A248" s="50"/>
      <c r="B248" s="50"/>
      <c r="C248" s="50"/>
      <c r="D248" s="640"/>
      <c r="E248" s="640"/>
      <c r="F248" s="80"/>
      <c r="G248" s="86">
        <v>7</v>
      </c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AS248" s="86"/>
      <c r="AT248" s="86"/>
      <c r="AU248" s="86"/>
      <c r="AV248" s="638"/>
      <c r="AW248" s="638"/>
    </row>
    <row r="249" spans="1:49" x14ac:dyDescent="0.3">
      <c r="A249" s="50"/>
      <c r="B249" s="50"/>
      <c r="C249" s="50"/>
      <c r="D249" s="640"/>
      <c r="E249" s="640"/>
      <c r="F249" s="80"/>
      <c r="G249" s="86">
        <v>8</v>
      </c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AS249" s="86"/>
      <c r="AT249" s="86"/>
      <c r="AU249" s="86"/>
      <c r="AV249" s="638"/>
      <c r="AW249" s="638"/>
    </row>
    <row r="250" spans="1:49" x14ac:dyDescent="0.3">
      <c r="A250" s="50"/>
      <c r="B250" s="50"/>
      <c r="C250" s="50"/>
      <c r="D250" s="639"/>
      <c r="E250" s="639"/>
      <c r="F250" s="78"/>
      <c r="G250" s="86">
        <v>1</v>
      </c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AS250" s="86"/>
      <c r="AT250" s="86"/>
      <c r="AU250" s="86"/>
      <c r="AV250" s="637"/>
      <c r="AW250" s="637"/>
    </row>
    <row r="251" spans="1:49" x14ac:dyDescent="0.3">
      <c r="A251" s="50"/>
      <c r="B251" s="50"/>
      <c r="C251" s="50"/>
      <c r="D251" s="640"/>
      <c r="E251" s="640"/>
      <c r="F251" s="80"/>
      <c r="G251" s="86">
        <v>2</v>
      </c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6"/>
      <c r="AU251" s="86"/>
      <c r="AV251" s="638"/>
      <c r="AW251" s="638"/>
    </row>
    <row r="252" spans="1:49" x14ac:dyDescent="0.3">
      <c r="A252" s="50"/>
      <c r="B252" s="50"/>
      <c r="C252" s="50"/>
      <c r="D252" s="640"/>
      <c r="E252" s="640"/>
      <c r="F252" s="80"/>
      <c r="G252" s="86">
        <v>3</v>
      </c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AS252" s="86"/>
      <c r="AT252" s="86"/>
      <c r="AU252" s="86"/>
      <c r="AV252" s="638"/>
      <c r="AW252" s="638"/>
    </row>
    <row r="253" spans="1:49" x14ac:dyDescent="0.3">
      <c r="A253" s="50"/>
      <c r="B253" s="50"/>
      <c r="C253" s="50"/>
      <c r="D253" s="640"/>
      <c r="E253" s="640"/>
      <c r="F253" s="80"/>
      <c r="G253" s="86">
        <v>4</v>
      </c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AS253" s="86"/>
      <c r="AT253" s="86"/>
      <c r="AU253" s="86"/>
      <c r="AV253" s="638"/>
      <c r="AW253" s="638"/>
    </row>
    <row r="254" spans="1:49" x14ac:dyDescent="0.3">
      <c r="A254" s="50"/>
      <c r="B254" s="50"/>
      <c r="C254" s="50"/>
      <c r="D254" s="640"/>
      <c r="E254" s="640"/>
      <c r="F254" s="80"/>
      <c r="G254" s="86">
        <v>5</v>
      </c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AS254" s="86"/>
      <c r="AT254" s="86"/>
      <c r="AU254" s="86"/>
      <c r="AV254" s="638"/>
      <c r="AW254" s="638"/>
    </row>
    <row r="255" spans="1:49" x14ac:dyDescent="0.3">
      <c r="A255" s="50"/>
      <c r="B255" s="50"/>
      <c r="C255" s="50"/>
      <c r="D255" s="640"/>
      <c r="E255" s="640"/>
      <c r="F255" s="80"/>
      <c r="G255" s="86">
        <v>6</v>
      </c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6"/>
      <c r="AU255" s="86"/>
      <c r="AV255" s="638"/>
      <c r="AW255" s="638"/>
    </row>
    <row r="256" spans="1:49" x14ac:dyDescent="0.3">
      <c r="A256" s="50"/>
      <c r="B256" s="50"/>
      <c r="C256" s="50"/>
      <c r="D256" s="640"/>
      <c r="E256" s="640"/>
      <c r="F256" s="80"/>
      <c r="G256" s="86">
        <v>7</v>
      </c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AS256" s="86"/>
      <c r="AT256" s="86"/>
      <c r="AU256" s="86"/>
      <c r="AV256" s="638"/>
      <c r="AW256" s="638"/>
    </row>
    <row r="257" spans="1:49" x14ac:dyDescent="0.3">
      <c r="A257" s="50"/>
      <c r="B257" s="50"/>
      <c r="C257" s="50"/>
      <c r="D257" s="640"/>
      <c r="E257" s="640"/>
      <c r="F257" s="80"/>
      <c r="G257" s="86">
        <v>8</v>
      </c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AS257" s="86"/>
      <c r="AT257" s="86"/>
      <c r="AU257" s="86"/>
      <c r="AV257" s="638"/>
      <c r="AW257" s="638"/>
    </row>
    <row r="258" spans="1:49" x14ac:dyDescent="0.3">
      <c r="A258" s="50"/>
      <c r="B258" s="50"/>
      <c r="C258" s="50"/>
      <c r="D258" s="639"/>
      <c r="E258" s="639"/>
      <c r="F258" s="78"/>
      <c r="G258" s="86">
        <v>1</v>
      </c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  <c r="AV258" s="637"/>
      <c r="AW258" s="637"/>
    </row>
    <row r="259" spans="1:49" x14ac:dyDescent="0.3">
      <c r="A259" s="50"/>
      <c r="B259" s="50"/>
      <c r="C259" s="50"/>
      <c r="D259" s="640"/>
      <c r="E259" s="640"/>
      <c r="F259" s="80"/>
      <c r="G259" s="86">
        <v>2</v>
      </c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6"/>
      <c r="AU259" s="86"/>
      <c r="AV259" s="638"/>
      <c r="AW259" s="638"/>
    </row>
    <row r="260" spans="1:49" x14ac:dyDescent="0.3">
      <c r="A260" s="50"/>
      <c r="B260" s="50"/>
      <c r="C260" s="50"/>
      <c r="D260" s="640"/>
      <c r="E260" s="640"/>
      <c r="F260" s="80"/>
      <c r="G260" s="86">
        <v>3</v>
      </c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AS260" s="86"/>
      <c r="AT260" s="86"/>
      <c r="AU260" s="86"/>
      <c r="AV260" s="638"/>
      <c r="AW260" s="638"/>
    </row>
    <row r="261" spans="1:49" x14ac:dyDescent="0.3">
      <c r="A261" s="50"/>
      <c r="B261" s="50"/>
      <c r="C261" s="50"/>
      <c r="D261" s="640"/>
      <c r="E261" s="640"/>
      <c r="F261" s="80"/>
      <c r="G261" s="86">
        <v>4</v>
      </c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AS261" s="86"/>
      <c r="AT261" s="86"/>
      <c r="AU261" s="86"/>
      <c r="AV261" s="638"/>
      <c r="AW261" s="638"/>
    </row>
    <row r="262" spans="1:49" x14ac:dyDescent="0.3">
      <c r="A262" s="50"/>
      <c r="B262" s="50"/>
      <c r="C262" s="50"/>
      <c r="D262" s="640"/>
      <c r="E262" s="640"/>
      <c r="F262" s="80"/>
      <c r="G262" s="86">
        <v>5</v>
      </c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638"/>
      <c r="AW262" s="638"/>
    </row>
    <row r="263" spans="1:49" x14ac:dyDescent="0.3">
      <c r="A263" s="50"/>
      <c r="B263" s="50"/>
      <c r="C263" s="50"/>
      <c r="D263" s="640"/>
      <c r="E263" s="640"/>
      <c r="F263" s="80"/>
      <c r="G263" s="86">
        <v>6</v>
      </c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6"/>
      <c r="AU263" s="86"/>
      <c r="AV263" s="638"/>
      <c r="AW263" s="638"/>
    </row>
    <row r="264" spans="1:49" x14ac:dyDescent="0.3">
      <c r="A264" s="50"/>
      <c r="B264" s="50"/>
      <c r="C264" s="50"/>
      <c r="D264" s="640"/>
      <c r="E264" s="640"/>
      <c r="F264" s="80"/>
      <c r="G264" s="86">
        <v>7</v>
      </c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  <c r="AV264" s="638"/>
      <c r="AW264" s="638"/>
    </row>
    <row r="265" spans="1:49" x14ac:dyDescent="0.3">
      <c r="A265" s="50"/>
      <c r="B265" s="50"/>
      <c r="C265" s="50"/>
      <c r="D265" s="640"/>
      <c r="E265" s="640"/>
      <c r="F265" s="80"/>
      <c r="G265" s="86">
        <v>8</v>
      </c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AS265" s="86"/>
      <c r="AT265" s="86"/>
      <c r="AU265" s="86"/>
      <c r="AV265" s="638"/>
      <c r="AW265" s="638"/>
    </row>
    <row r="266" spans="1:49" x14ac:dyDescent="0.3">
      <c r="A266" s="50"/>
      <c r="B266" s="50"/>
      <c r="C266" s="50"/>
      <c r="D266" s="639"/>
      <c r="E266" s="639"/>
      <c r="F266" s="78"/>
      <c r="G266" s="86">
        <v>1</v>
      </c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AS266" s="86"/>
      <c r="AT266" s="86"/>
      <c r="AU266" s="86"/>
      <c r="AV266" s="637"/>
      <c r="AW266" s="637"/>
    </row>
    <row r="267" spans="1:49" x14ac:dyDescent="0.3">
      <c r="A267" s="50"/>
      <c r="B267" s="50"/>
      <c r="C267" s="50"/>
      <c r="D267" s="640"/>
      <c r="E267" s="640"/>
      <c r="F267" s="80"/>
      <c r="G267" s="86">
        <v>2</v>
      </c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6"/>
      <c r="AU267" s="86"/>
      <c r="AV267" s="638"/>
      <c r="AW267" s="638"/>
    </row>
    <row r="268" spans="1:49" x14ac:dyDescent="0.3">
      <c r="A268" s="50"/>
      <c r="B268" s="50"/>
      <c r="C268" s="50"/>
      <c r="D268" s="640"/>
      <c r="E268" s="640"/>
      <c r="F268" s="80"/>
      <c r="G268" s="86">
        <v>3</v>
      </c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AS268" s="86"/>
      <c r="AT268" s="86"/>
      <c r="AU268" s="86"/>
      <c r="AV268" s="638"/>
      <c r="AW268" s="638"/>
    </row>
    <row r="269" spans="1:49" x14ac:dyDescent="0.3">
      <c r="A269" s="50"/>
      <c r="B269" s="50"/>
      <c r="C269" s="50"/>
      <c r="D269" s="640"/>
      <c r="E269" s="640"/>
      <c r="F269" s="80"/>
      <c r="G269" s="86">
        <v>4</v>
      </c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638"/>
      <c r="AW269" s="638"/>
    </row>
    <row r="270" spans="1:49" x14ac:dyDescent="0.3">
      <c r="A270" s="50"/>
      <c r="B270" s="50"/>
      <c r="C270" s="50"/>
      <c r="D270" s="640"/>
      <c r="E270" s="640"/>
      <c r="F270" s="80"/>
      <c r="G270" s="86">
        <v>5</v>
      </c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AS270" s="86"/>
      <c r="AT270" s="86"/>
      <c r="AU270" s="86"/>
      <c r="AV270" s="638"/>
      <c r="AW270" s="638"/>
    </row>
    <row r="271" spans="1:49" x14ac:dyDescent="0.3">
      <c r="A271" s="50"/>
      <c r="B271" s="50"/>
      <c r="C271" s="50"/>
      <c r="D271" s="640"/>
      <c r="E271" s="640"/>
      <c r="F271" s="80"/>
      <c r="G271" s="86">
        <v>6</v>
      </c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6"/>
      <c r="AU271" s="86"/>
      <c r="AV271" s="638"/>
      <c r="AW271" s="638"/>
    </row>
    <row r="272" spans="1:49" x14ac:dyDescent="0.3">
      <c r="A272" s="50"/>
      <c r="B272" s="50"/>
      <c r="C272" s="50"/>
      <c r="D272" s="640"/>
      <c r="E272" s="640"/>
      <c r="F272" s="80"/>
      <c r="G272" s="86">
        <v>7</v>
      </c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AS272" s="86"/>
      <c r="AT272" s="86"/>
      <c r="AU272" s="86"/>
      <c r="AV272" s="638"/>
      <c r="AW272" s="638"/>
    </row>
    <row r="273" spans="1:49" x14ac:dyDescent="0.3">
      <c r="A273" s="50"/>
      <c r="B273" s="50"/>
      <c r="C273" s="50"/>
      <c r="D273" s="640"/>
      <c r="E273" s="640"/>
      <c r="F273" s="80"/>
      <c r="G273" s="86">
        <v>8</v>
      </c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AS273" s="86"/>
      <c r="AT273" s="86"/>
      <c r="AU273" s="86"/>
      <c r="AV273" s="638"/>
      <c r="AW273" s="638"/>
    </row>
    <row r="274" spans="1:49" x14ac:dyDescent="0.3">
      <c r="A274" s="50"/>
      <c r="B274" s="50"/>
      <c r="C274" s="50"/>
      <c r="D274" s="639"/>
      <c r="E274" s="639"/>
      <c r="F274" s="78"/>
      <c r="G274" s="86">
        <v>1</v>
      </c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AS274" s="86"/>
      <c r="AT274" s="86"/>
      <c r="AU274" s="86"/>
      <c r="AV274" s="637"/>
      <c r="AW274" s="637"/>
    </row>
    <row r="275" spans="1:49" x14ac:dyDescent="0.3">
      <c r="A275" s="50"/>
      <c r="B275" s="50"/>
      <c r="C275" s="50"/>
      <c r="D275" s="640"/>
      <c r="E275" s="640"/>
      <c r="F275" s="80"/>
      <c r="G275" s="86">
        <v>2</v>
      </c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6"/>
      <c r="AU275" s="86"/>
      <c r="AV275" s="638"/>
      <c r="AW275" s="638"/>
    </row>
    <row r="276" spans="1:49" x14ac:dyDescent="0.3">
      <c r="A276" s="50"/>
      <c r="B276" s="50"/>
      <c r="C276" s="50"/>
      <c r="D276" s="640"/>
      <c r="E276" s="640"/>
      <c r="F276" s="80"/>
      <c r="G276" s="86">
        <v>3</v>
      </c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AS276" s="86"/>
      <c r="AT276" s="86"/>
      <c r="AU276" s="86"/>
      <c r="AV276" s="638"/>
      <c r="AW276" s="638"/>
    </row>
    <row r="277" spans="1:49" x14ac:dyDescent="0.3">
      <c r="A277" s="50"/>
      <c r="B277" s="50"/>
      <c r="C277" s="50"/>
      <c r="D277" s="640"/>
      <c r="E277" s="640"/>
      <c r="F277" s="80"/>
      <c r="G277" s="86">
        <v>4</v>
      </c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AS277" s="86"/>
      <c r="AT277" s="86"/>
      <c r="AU277" s="86"/>
      <c r="AV277" s="638"/>
      <c r="AW277" s="638"/>
    </row>
    <row r="278" spans="1:49" x14ac:dyDescent="0.3">
      <c r="A278" s="50"/>
      <c r="B278" s="50"/>
      <c r="C278" s="50"/>
      <c r="D278" s="640"/>
      <c r="E278" s="640"/>
      <c r="F278" s="80"/>
      <c r="G278" s="86">
        <v>5</v>
      </c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638"/>
      <c r="AW278" s="638"/>
    </row>
    <row r="279" spans="1:49" x14ac:dyDescent="0.3">
      <c r="A279" s="50"/>
      <c r="B279" s="50"/>
      <c r="C279" s="50"/>
      <c r="D279" s="640"/>
      <c r="E279" s="640"/>
      <c r="F279" s="80"/>
      <c r="G279" s="86">
        <v>6</v>
      </c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  <c r="AV279" s="638"/>
      <c r="AW279" s="638"/>
    </row>
    <row r="280" spans="1:49" x14ac:dyDescent="0.3">
      <c r="A280" s="50"/>
      <c r="B280" s="50"/>
      <c r="C280" s="50"/>
      <c r="D280" s="640"/>
      <c r="E280" s="640"/>
      <c r="F280" s="80"/>
      <c r="G280" s="86">
        <v>7</v>
      </c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  <c r="AV280" s="638"/>
      <c r="AW280" s="638"/>
    </row>
    <row r="281" spans="1:49" x14ac:dyDescent="0.3">
      <c r="A281" s="50"/>
      <c r="B281" s="50"/>
      <c r="C281" s="50"/>
      <c r="D281" s="640"/>
      <c r="E281" s="640"/>
      <c r="F281" s="80"/>
      <c r="G281" s="86">
        <v>8</v>
      </c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  <c r="AV281" s="638"/>
      <c r="AW281" s="638"/>
    </row>
    <row r="282" spans="1:49" x14ac:dyDescent="0.3">
      <c r="A282" s="50"/>
      <c r="B282" s="50"/>
      <c r="C282" s="50"/>
      <c r="D282" s="639"/>
      <c r="E282" s="639"/>
      <c r="F282" s="78"/>
      <c r="G282" s="86">
        <v>1</v>
      </c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  <c r="AV282" s="637"/>
      <c r="AW282" s="637"/>
    </row>
    <row r="283" spans="1:49" x14ac:dyDescent="0.3">
      <c r="A283" s="50"/>
      <c r="B283" s="50"/>
      <c r="C283" s="50"/>
      <c r="D283" s="640"/>
      <c r="E283" s="640"/>
      <c r="F283" s="80"/>
      <c r="G283" s="86">
        <v>2</v>
      </c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6"/>
      <c r="AU283" s="86"/>
      <c r="AV283" s="638"/>
      <c r="AW283" s="638"/>
    </row>
    <row r="284" spans="1:49" x14ac:dyDescent="0.3">
      <c r="A284" s="50"/>
      <c r="B284" s="50"/>
      <c r="C284" s="50"/>
      <c r="D284" s="640"/>
      <c r="E284" s="640"/>
      <c r="F284" s="80"/>
      <c r="G284" s="86">
        <v>3</v>
      </c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  <c r="AV284" s="638"/>
      <c r="AW284" s="638"/>
    </row>
    <row r="285" spans="1:49" x14ac:dyDescent="0.3">
      <c r="A285" s="50"/>
      <c r="B285" s="50"/>
      <c r="C285" s="50"/>
      <c r="D285" s="640"/>
      <c r="E285" s="640"/>
      <c r="F285" s="80"/>
      <c r="G285" s="86">
        <v>4</v>
      </c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86"/>
      <c r="AT285" s="86"/>
      <c r="AU285" s="86"/>
      <c r="AV285" s="638"/>
      <c r="AW285" s="638"/>
    </row>
    <row r="286" spans="1:49" x14ac:dyDescent="0.3">
      <c r="A286" s="50"/>
      <c r="B286" s="50"/>
      <c r="C286" s="50"/>
      <c r="D286" s="640"/>
      <c r="E286" s="640"/>
      <c r="F286" s="80"/>
      <c r="G286" s="86">
        <v>5</v>
      </c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AS286" s="86"/>
      <c r="AT286" s="86"/>
      <c r="AU286" s="86"/>
      <c r="AV286" s="638"/>
      <c r="AW286" s="638"/>
    </row>
    <row r="287" spans="1:49" x14ac:dyDescent="0.3">
      <c r="A287" s="50"/>
      <c r="B287" s="50"/>
      <c r="C287" s="50"/>
      <c r="D287" s="640"/>
      <c r="E287" s="640"/>
      <c r="F287" s="80"/>
      <c r="G287" s="86">
        <v>6</v>
      </c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  <c r="AV287" s="638"/>
      <c r="AW287" s="638"/>
    </row>
    <row r="288" spans="1:49" x14ac:dyDescent="0.3">
      <c r="A288" s="50"/>
      <c r="B288" s="50"/>
      <c r="C288" s="50"/>
      <c r="D288" s="640"/>
      <c r="E288" s="640"/>
      <c r="F288" s="80"/>
      <c r="G288" s="86">
        <v>7</v>
      </c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AS288" s="86"/>
      <c r="AT288" s="86"/>
      <c r="AU288" s="86"/>
      <c r="AV288" s="638"/>
      <c r="AW288" s="638"/>
    </row>
    <row r="289" spans="1:49" x14ac:dyDescent="0.3">
      <c r="A289" s="50"/>
      <c r="B289" s="50"/>
      <c r="C289" s="50"/>
      <c r="D289" s="640"/>
      <c r="E289" s="640"/>
      <c r="F289" s="80"/>
      <c r="G289" s="86">
        <v>8</v>
      </c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AS289" s="86"/>
      <c r="AT289" s="86"/>
      <c r="AU289" s="86"/>
      <c r="AV289" s="638"/>
      <c r="AW289" s="638"/>
    </row>
  </sheetData>
  <mergeCells count="183">
    <mergeCell ref="B10:B13"/>
    <mergeCell ref="AM4:AO4"/>
    <mergeCell ref="AP4:AR4"/>
    <mergeCell ref="AS4:AU4"/>
    <mergeCell ref="AG4:AI4"/>
    <mergeCell ref="X4:Z4"/>
    <mergeCell ref="AA4:AC4"/>
    <mergeCell ref="AD4:AF4"/>
    <mergeCell ref="O4:Q4"/>
    <mergeCell ref="R4:T4"/>
    <mergeCell ref="U4:W4"/>
    <mergeCell ref="L4:N4"/>
    <mergeCell ref="AJ4:AL4"/>
    <mergeCell ref="A30:A33"/>
    <mergeCell ref="E54:E57"/>
    <mergeCell ref="D50:D53"/>
    <mergeCell ref="D46:D49"/>
    <mergeCell ref="D34:D37"/>
    <mergeCell ref="D38:D41"/>
    <mergeCell ref="D42:D45"/>
    <mergeCell ref="E50:E53"/>
    <mergeCell ref="A106:A109"/>
    <mergeCell ref="A58:A61"/>
    <mergeCell ref="A62:A65"/>
    <mergeCell ref="A66:A69"/>
    <mergeCell ref="A70:A73"/>
    <mergeCell ref="A74:A77"/>
    <mergeCell ref="A78:A81"/>
    <mergeCell ref="A102:A105"/>
    <mergeCell ref="A4:A5"/>
    <mergeCell ref="B6:B9"/>
    <mergeCell ref="B4:E4"/>
    <mergeCell ref="A10:A13"/>
    <mergeCell ref="A14:A17"/>
    <mergeCell ref="A6:A9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82:A85"/>
    <mergeCell ref="A86:A89"/>
    <mergeCell ref="A90:A93"/>
    <mergeCell ref="A94:A97"/>
    <mergeCell ref="A98:A101"/>
    <mergeCell ref="A110:A113"/>
    <mergeCell ref="A114:A117"/>
    <mergeCell ref="A118:A121"/>
    <mergeCell ref="A122:A125"/>
    <mergeCell ref="A126:A12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AV50:AV57"/>
    <mergeCell ref="AW50:AW57"/>
    <mergeCell ref="AV58:AV65"/>
    <mergeCell ref="AW58:AW65"/>
    <mergeCell ref="AV114:AV121"/>
    <mergeCell ref="AW114:AW121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D22:D25"/>
    <mergeCell ref="D26:D29"/>
    <mergeCell ref="D30:D33"/>
    <mergeCell ref="AV10:AV13"/>
    <mergeCell ref="AV14:AV17"/>
    <mergeCell ref="AV26:AV33"/>
    <mergeCell ref="AV6:AV9"/>
    <mergeCell ref="AW6:AW9"/>
    <mergeCell ref="E22:E25"/>
    <mergeCell ref="E26:E29"/>
    <mergeCell ref="E30:E33"/>
    <mergeCell ref="AW10:AW13"/>
    <mergeCell ref="AW14:AW17"/>
    <mergeCell ref="AW18:AW25"/>
    <mergeCell ref="AW26:AW3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8AE4B"/>
  </sheetPr>
  <dimension ref="A1:H34"/>
  <sheetViews>
    <sheetView showGridLines="0" workbookViewId="0"/>
  </sheetViews>
  <sheetFormatPr defaultColWidth="8.77734375" defaultRowHeight="14.4" x14ac:dyDescent="0.3"/>
  <cols>
    <col min="1" max="1" width="8.77734375" style="1"/>
    <col min="2" max="2" width="7" style="5" customWidth="1"/>
    <col min="3" max="3" width="13" style="1" customWidth="1"/>
    <col min="4" max="4" width="18" style="1" customWidth="1"/>
    <col min="5" max="5" width="10" style="1" customWidth="1"/>
    <col min="6" max="6" width="22" style="1" customWidth="1"/>
    <col min="7" max="16384" width="8.77734375" style="1"/>
  </cols>
  <sheetData>
    <row r="1" spans="1:8" ht="24" customHeight="1" x14ac:dyDescent="0.3">
      <c r="A1" s="34"/>
      <c r="B1" s="368"/>
      <c r="C1" s="368"/>
      <c r="D1" s="368"/>
      <c r="E1" s="368"/>
      <c r="F1" s="533" t="s">
        <v>536</v>
      </c>
      <c r="G1" s="649"/>
      <c r="H1" s="649"/>
    </row>
    <row r="2" spans="1:8" x14ac:dyDescent="0.3">
      <c r="A2" s="34"/>
      <c r="B2" s="34"/>
      <c r="C2" s="34"/>
      <c r="D2" s="34"/>
      <c r="E2" s="34"/>
      <c r="F2" s="34"/>
    </row>
    <row r="3" spans="1:8" ht="22.05" customHeight="1" x14ac:dyDescent="0.3">
      <c r="A3" s="34"/>
      <c r="B3" s="370" t="s">
        <v>72</v>
      </c>
      <c r="C3" s="370" t="s">
        <v>74</v>
      </c>
      <c r="D3" s="370" t="s">
        <v>143</v>
      </c>
      <c r="E3" s="370" t="s">
        <v>142</v>
      </c>
      <c r="F3" s="370" t="s">
        <v>537</v>
      </c>
    </row>
    <row r="4" spans="1:8" x14ac:dyDescent="0.3">
      <c r="A4" s="34"/>
      <c r="B4" s="86">
        <v>1</v>
      </c>
      <c r="C4" s="78">
        <v>45870</v>
      </c>
      <c r="D4" s="80"/>
      <c r="E4" s="80"/>
      <c r="F4" s="80"/>
    </row>
    <row r="5" spans="1:8" x14ac:dyDescent="0.3">
      <c r="A5" s="34"/>
      <c r="B5" s="86">
        <v>2</v>
      </c>
      <c r="C5" s="78">
        <v>45871</v>
      </c>
      <c r="D5" s="80"/>
      <c r="E5" s="80"/>
      <c r="F5" s="80"/>
    </row>
    <row r="6" spans="1:8" x14ac:dyDescent="0.3">
      <c r="A6" s="34"/>
      <c r="B6" s="86">
        <v>3</v>
      </c>
      <c r="C6" s="78">
        <v>45872</v>
      </c>
      <c r="D6" s="80"/>
      <c r="E6" s="80"/>
      <c r="F6" s="80"/>
    </row>
    <row r="7" spans="1:8" x14ac:dyDescent="0.3">
      <c r="A7" s="34"/>
      <c r="B7" s="86">
        <v>4</v>
      </c>
      <c r="C7" s="78">
        <v>45873</v>
      </c>
      <c r="D7" s="80"/>
      <c r="E7" s="80"/>
      <c r="F7" s="80"/>
    </row>
    <row r="8" spans="1:8" x14ac:dyDescent="0.3">
      <c r="A8" s="34"/>
      <c r="B8" s="86">
        <v>5</v>
      </c>
      <c r="C8" s="78">
        <v>45874</v>
      </c>
      <c r="D8" s="80"/>
      <c r="E8" s="80"/>
      <c r="F8" s="80"/>
    </row>
    <row r="9" spans="1:8" x14ac:dyDescent="0.3">
      <c r="A9" s="34"/>
      <c r="B9" s="86">
        <v>6</v>
      </c>
      <c r="C9" s="78">
        <v>45875</v>
      </c>
      <c r="D9" s="80"/>
      <c r="E9" s="80"/>
      <c r="F9" s="80"/>
    </row>
    <row r="10" spans="1:8" x14ac:dyDescent="0.3">
      <c r="A10" s="34"/>
      <c r="B10" s="86">
        <v>7</v>
      </c>
      <c r="C10" s="78">
        <v>45876</v>
      </c>
      <c r="D10" s="80"/>
      <c r="E10" s="80"/>
      <c r="F10" s="80"/>
    </row>
    <row r="11" spans="1:8" x14ac:dyDescent="0.3">
      <c r="A11" s="34"/>
      <c r="B11" s="86">
        <v>8</v>
      </c>
      <c r="C11" s="78">
        <v>45877</v>
      </c>
      <c r="D11" s="80"/>
      <c r="E11" s="80"/>
      <c r="F11" s="80"/>
    </row>
    <row r="12" spans="1:8" x14ac:dyDescent="0.3">
      <c r="A12" s="34"/>
      <c r="B12" s="86">
        <v>9</v>
      </c>
      <c r="C12" s="78">
        <v>45878</v>
      </c>
      <c r="D12" s="80"/>
      <c r="E12" s="80"/>
      <c r="F12" s="80"/>
    </row>
    <row r="13" spans="1:8" x14ac:dyDescent="0.3">
      <c r="A13" s="34"/>
      <c r="B13" s="86">
        <v>10</v>
      </c>
      <c r="C13" s="78">
        <v>45879</v>
      </c>
      <c r="D13" s="80"/>
      <c r="E13" s="80"/>
      <c r="F13" s="80"/>
    </row>
    <row r="14" spans="1:8" x14ac:dyDescent="0.3">
      <c r="A14" s="34"/>
      <c r="B14" s="86">
        <v>11</v>
      </c>
      <c r="C14" s="78">
        <v>45880</v>
      </c>
      <c r="D14" s="80"/>
      <c r="E14" s="80"/>
      <c r="F14" s="80"/>
    </row>
    <row r="15" spans="1:8" x14ac:dyDescent="0.3">
      <c r="A15" s="34"/>
      <c r="B15" s="86">
        <v>12</v>
      </c>
      <c r="C15" s="78">
        <v>45881</v>
      </c>
      <c r="D15" s="80"/>
      <c r="E15" s="80"/>
      <c r="F15" s="80"/>
    </row>
    <row r="16" spans="1:8" x14ac:dyDescent="0.3">
      <c r="A16" s="34"/>
      <c r="B16" s="86">
        <v>13</v>
      </c>
      <c r="C16" s="78">
        <v>45882</v>
      </c>
      <c r="D16" s="80"/>
      <c r="E16" s="80"/>
      <c r="F16" s="80"/>
    </row>
    <row r="17" spans="1:6" x14ac:dyDescent="0.3">
      <c r="A17" s="34"/>
      <c r="B17" s="86">
        <v>14</v>
      </c>
      <c r="C17" s="78">
        <v>45883</v>
      </c>
      <c r="D17" s="80"/>
      <c r="E17" s="80"/>
      <c r="F17" s="80"/>
    </row>
    <row r="18" spans="1:6" x14ac:dyDescent="0.3">
      <c r="A18" s="34"/>
      <c r="B18" s="86">
        <v>15</v>
      </c>
      <c r="C18" s="78">
        <v>45884</v>
      </c>
      <c r="D18" s="80"/>
      <c r="E18" s="80"/>
      <c r="F18" s="80"/>
    </row>
    <row r="19" spans="1:6" x14ac:dyDescent="0.3">
      <c r="A19" s="34"/>
      <c r="B19" s="86">
        <v>16</v>
      </c>
      <c r="C19" s="78">
        <v>45885</v>
      </c>
      <c r="D19" s="80"/>
      <c r="E19" s="80"/>
      <c r="F19" s="80"/>
    </row>
    <row r="20" spans="1:6" x14ac:dyDescent="0.3">
      <c r="A20" s="34"/>
      <c r="B20" s="86">
        <v>17</v>
      </c>
      <c r="C20" s="78">
        <v>45886</v>
      </c>
      <c r="D20" s="80"/>
      <c r="E20" s="80"/>
      <c r="F20" s="80"/>
    </row>
    <row r="21" spans="1:6" x14ac:dyDescent="0.3">
      <c r="A21" s="34"/>
      <c r="B21" s="86">
        <v>18</v>
      </c>
      <c r="C21" s="78">
        <v>45887</v>
      </c>
      <c r="D21" s="80"/>
      <c r="E21" s="80"/>
      <c r="F21" s="80"/>
    </row>
    <row r="22" spans="1:6" x14ac:dyDescent="0.3">
      <c r="A22" s="34"/>
      <c r="B22" s="86">
        <v>19</v>
      </c>
      <c r="C22" s="78">
        <v>45888</v>
      </c>
      <c r="D22" s="80"/>
      <c r="E22" s="80"/>
      <c r="F22" s="80"/>
    </row>
    <row r="23" spans="1:6" x14ac:dyDescent="0.3">
      <c r="A23" s="34"/>
      <c r="B23" s="86">
        <v>20</v>
      </c>
      <c r="C23" s="78">
        <v>45889</v>
      </c>
      <c r="D23" s="80"/>
      <c r="E23" s="80"/>
      <c r="F23" s="80"/>
    </row>
    <row r="24" spans="1:6" x14ac:dyDescent="0.3">
      <c r="A24" s="34"/>
      <c r="B24" s="86">
        <v>21</v>
      </c>
      <c r="C24" s="78">
        <v>45890</v>
      </c>
      <c r="D24" s="80"/>
      <c r="E24" s="80"/>
      <c r="F24" s="80"/>
    </row>
    <row r="25" spans="1:6" x14ac:dyDescent="0.3">
      <c r="A25" s="34"/>
      <c r="B25" s="86">
        <v>22</v>
      </c>
      <c r="C25" s="78">
        <v>45891</v>
      </c>
      <c r="D25" s="80"/>
      <c r="E25" s="80"/>
      <c r="F25" s="80"/>
    </row>
    <row r="26" spans="1:6" x14ac:dyDescent="0.3">
      <c r="A26" s="34"/>
      <c r="B26" s="86">
        <v>23</v>
      </c>
      <c r="C26" s="78">
        <v>45892</v>
      </c>
      <c r="D26" s="80"/>
      <c r="E26" s="80"/>
      <c r="F26" s="80"/>
    </row>
    <row r="27" spans="1:6" x14ac:dyDescent="0.3">
      <c r="A27" s="34"/>
      <c r="B27" s="86">
        <v>24</v>
      </c>
      <c r="C27" s="78">
        <v>45893</v>
      </c>
      <c r="D27" s="80"/>
      <c r="E27" s="80"/>
      <c r="F27" s="80"/>
    </row>
    <row r="28" spans="1:6" x14ac:dyDescent="0.3">
      <c r="A28" s="34"/>
      <c r="B28" s="86">
        <v>25</v>
      </c>
      <c r="C28" s="78">
        <v>45894</v>
      </c>
      <c r="D28" s="80"/>
      <c r="E28" s="80"/>
      <c r="F28" s="80"/>
    </row>
    <row r="29" spans="1:6" x14ac:dyDescent="0.3">
      <c r="A29" s="34"/>
      <c r="B29" s="86">
        <v>26</v>
      </c>
      <c r="C29" s="78">
        <v>45895</v>
      </c>
      <c r="D29" s="80"/>
      <c r="E29" s="80"/>
      <c r="F29" s="80"/>
    </row>
    <row r="30" spans="1:6" x14ac:dyDescent="0.3">
      <c r="A30" s="34"/>
      <c r="B30" s="86">
        <v>27</v>
      </c>
      <c r="C30" s="78">
        <v>45896</v>
      </c>
      <c r="D30" s="80"/>
      <c r="E30" s="80"/>
      <c r="F30" s="80"/>
    </row>
    <row r="31" spans="1:6" x14ac:dyDescent="0.3">
      <c r="A31" s="34"/>
      <c r="B31" s="86">
        <v>28</v>
      </c>
      <c r="C31" s="78">
        <v>45897</v>
      </c>
      <c r="D31" s="80"/>
      <c r="E31" s="80"/>
      <c r="F31" s="80"/>
    </row>
    <row r="32" spans="1:6" x14ac:dyDescent="0.3">
      <c r="A32" s="34"/>
      <c r="B32" s="86">
        <v>29</v>
      </c>
      <c r="C32" s="78">
        <v>45898</v>
      </c>
      <c r="D32" s="80"/>
      <c r="E32" s="80"/>
      <c r="F32" s="80"/>
    </row>
    <row r="33" spans="1:6" x14ac:dyDescent="0.3">
      <c r="A33" s="34"/>
      <c r="B33" s="86">
        <v>30</v>
      </c>
      <c r="C33" s="78">
        <v>45899</v>
      </c>
      <c r="D33" s="80"/>
      <c r="E33" s="80"/>
      <c r="F33" s="80"/>
    </row>
    <row r="34" spans="1:6" x14ac:dyDescent="0.3">
      <c r="A34" s="34"/>
      <c r="B34" s="86">
        <v>31</v>
      </c>
      <c r="C34" s="78">
        <v>45900</v>
      </c>
      <c r="D34" s="80"/>
      <c r="E34" s="80"/>
      <c r="F34" s="80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Daily Production</vt:lpstr>
      <vt:lpstr>Daily Summary </vt:lpstr>
      <vt:lpstr>AAS lab Crushing Daily </vt:lpstr>
      <vt:lpstr>Reagent Consumption</vt:lpstr>
      <vt:lpstr>Crushing</vt:lpstr>
      <vt:lpstr>Rom File Inventory</vt:lpstr>
      <vt:lpstr>Au Cal Leaching Tank</vt:lpstr>
      <vt:lpstr>LT Ball Mill</vt:lpstr>
      <vt:lpstr>Milling and Leach Feed</vt:lpstr>
      <vt:lpstr>Crushing Down Time Hours</vt:lpstr>
      <vt:lpstr>Milling Down Time Hours</vt:lpstr>
      <vt:lpstr>LT Floculation</vt:lpstr>
      <vt:lpstr>Filter Press Down Time Hours </vt:lpstr>
      <vt:lpstr>Leach Time Process&amp;Down Time</vt:lpstr>
      <vt:lpstr>Leaching</vt:lpstr>
      <vt:lpstr>Fuel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GanyuChan</cp:lastModifiedBy>
  <dcterms:modified xsi:type="dcterms:W3CDTF">2026-09-10T15:42:42Z</dcterms:modified>
</cp:coreProperties>
</file>