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BB22C714-7F3E-45FE-B6C6-B33FEA8DD73A}" xr6:coauthVersionLast="47" xr6:coauthVersionMax="47" xr10:uidLastSave="{00000000-0000-0000-0000-000000000000}"/>
  <bookViews>
    <workbookView xWindow="-108" yWindow="-108" windowWidth="23256" windowHeight="12456" firstSheet="13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5" i="21" l="1"/>
  <c r="S61" i="21" s="1"/>
  <c r="U63" i="21"/>
  <c r="V63" i="21"/>
  <c r="T63" i="21"/>
  <c r="U61" i="21"/>
  <c r="V61" i="21"/>
  <c r="T61" i="21"/>
  <c r="BE20" i="13"/>
  <c r="AY20" i="13"/>
  <c r="H16" i="15"/>
  <c r="AF20" i="13" s="1"/>
  <c r="I16" i="15"/>
  <c r="AG20" i="13" s="1"/>
  <c r="G16" i="15"/>
  <c r="AE20" i="13"/>
  <c r="N44" i="20"/>
  <c r="P44" i="20"/>
  <c r="N43" i="20"/>
  <c r="P43" i="20" s="1"/>
  <c r="U62" i="21"/>
  <c r="V62" i="21"/>
  <c r="T62" i="21"/>
  <c r="BO11" i="13"/>
  <c r="BO12" i="13"/>
  <c r="BO13" i="13"/>
  <c r="BO14" i="13"/>
  <c r="BO15" i="13"/>
  <c r="BO10" i="13"/>
  <c r="BM14" i="13"/>
  <c r="BM13" i="13"/>
  <c r="BM12" i="13"/>
  <c r="BM11" i="13"/>
  <c r="BM10" i="13"/>
  <c r="BL15" i="13"/>
  <c r="BL14" i="13"/>
  <c r="BL13" i="13"/>
  <c r="BL12" i="13"/>
  <c r="BL11" i="13"/>
  <c r="BL10" i="13"/>
  <c r="BN11" i="13"/>
  <c r="BN12" i="13"/>
  <c r="BN13" i="13"/>
  <c r="BN14" i="13"/>
  <c r="BN15" i="13"/>
  <c r="BN10" i="13"/>
  <c r="BM15" i="13"/>
  <c r="BJ15" i="13"/>
  <c r="BK15" i="13"/>
  <c r="BI15" i="13"/>
  <c r="BJ14" i="13"/>
  <c r="BK14" i="13"/>
  <c r="BI14" i="13"/>
  <c r="BJ13" i="13"/>
  <c r="BK13" i="13"/>
  <c r="BI13" i="13"/>
  <c r="BJ12" i="13"/>
  <c r="BK12" i="13"/>
  <c r="BI12" i="13"/>
  <c r="BJ11" i="13"/>
  <c r="BK11" i="13"/>
  <c r="BI11" i="13"/>
  <c r="BJ10" i="13"/>
  <c r="BK10" i="13"/>
  <c r="BI10" i="13"/>
  <c r="A10" i="13"/>
  <c r="A11" i="13"/>
  <c r="A21" i="13"/>
  <c r="N21" i="13"/>
  <c r="M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M37" i="12" s="1"/>
  <c r="J63" i="21"/>
  <c r="H15" i="15"/>
  <c r="I15" i="15"/>
  <c r="G15" i="15"/>
  <c r="Q32" i="5"/>
  <c r="R32" i="5"/>
  <c r="S32" i="5"/>
  <c r="P32" i="5"/>
  <c r="Q31" i="5"/>
  <c r="P31" i="5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J62" i="21"/>
  <c r="J60" i="21"/>
  <c r="J61" i="21"/>
  <c r="M61" i="21" s="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Y61" i="21" l="1"/>
  <c r="X61" i="21"/>
  <c r="W61" i="21"/>
  <c r="O61" i="2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T19" i="13"/>
  <c r="J59" i="21"/>
  <c r="F37" i="20"/>
  <c r="F38" i="20"/>
  <c r="AF19" i="13"/>
  <c r="AG19" i="13"/>
  <c r="AE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61" i="21" l="1"/>
  <c r="H64" i="21"/>
  <c r="H65" i="21" s="1"/>
  <c r="I65" i="21" s="1"/>
  <c r="X62" i="21"/>
  <c r="Y62" i="21"/>
  <c r="O62" i="21"/>
  <c r="N61" i="21"/>
  <c r="M63" i="21"/>
  <c r="W62" i="21"/>
  <c r="L35" i="12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W20" i="13" l="1"/>
  <c r="Y20" i="13"/>
  <c r="X20" i="13"/>
  <c r="W63" i="21"/>
  <c r="X63" i="21"/>
  <c r="Y63" i="21"/>
  <c r="M64" i="21"/>
  <c r="N63" i="21" s="1"/>
  <c r="L99" i="1"/>
  <c r="K95" i="1"/>
  <c r="M95" i="1" s="1"/>
  <c r="L94" i="1"/>
  <c r="N94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O65" i="21" l="1"/>
  <c r="N98" i="1"/>
  <c r="N105" i="1" s="1"/>
  <c r="F155" i="12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Y66" i="21" l="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O63" i="21" l="1"/>
  <c r="C21" i="13"/>
  <c r="D21" i="13" s="1"/>
  <c r="Z57" i="7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C20" i="13" s="1"/>
  <c r="Q57" i="21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M36" i="21"/>
  <c r="M37" i="21" s="1"/>
  <c r="Y3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O35" i="21" l="1"/>
  <c r="W38" i="21"/>
  <c r="AB38" i="21" s="1"/>
  <c r="W35" i="21"/>
  <c r="AB35" i="21" s="1"/>
  <c r="N35" i="21"/>
  <c r="Z27" i="2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AL60" i="13" s="1"/>
  <c r="D20" i="13"/>
  <c r="AP20" i="13"/>
  <c r="AP60" i="13" s="1"/>
  <c r="AK20" i="13"/>
  <c r="AN20" i="13"/>
  <c r="AN60" i="13" s="1"/>
  <c r="AO20" i="13"/>
  <c r="O27" i="4"/>
  <c r="W37" i="21"/>
  <c r="AB37" i="21" s="1"/>
  <c r="X37" i="21"/>
  <c r="BE16" i="13"/>
  <c r="N38" i="21"/>
  <c r="M101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BD20" i="13" l="1"/>
  <c r="BD61" i="13" s="1"/>
  <c r="W58" i="21"/>
  <c r="X58" i="21"/>
  <c r="AA20" i="13" s="1"/>
  <c r="AZ14" i="13"/>
  <c r="AA16" i="13"/>
  <c r="BA16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BC20" i="13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AZ20" i="13" l="1"/>
  <c r="I51" i="21"/>
  <c r="R60" i="5"/>
  <c r="AD20" i="13"/>
  <c r="AC20" i="13"/>
  <c r="Y31" i="21"/>
  <c r="O31" i="21"/>
  <c r="W31" i="21"/>
  <c r="AB31" i="21" s="1"/>
  <c r="H53" i="21"/>
  <c r="I53" i="21" s="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H54" i="21" l="1"/>
  <c r="I54" i="21" s="1"/>
  <c r="N52" i="2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AM19" i="13" s="1"/>
  <c r="Z19" i="13"/>
  <c r="O100" i="21"/>
  <c r="Z60" i="13"/>
  <c r="Z62" i="13"/>
  <c r="AD19" i="13"/>
  <c r="AC19" i="13"/>
  <c r="AA62" i="13"/>
  <c r="AA60" i="13"/>
  <c r="AB62" i="13" l="1"/>
  <c r="AB60" i="13"/>
  <c r="AM60" i="13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<sst xmlns="http://schemas.openxmlformats.org/spreadsheetml/2006/main" count="2480" uniqueCount="767">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</sst>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15" xfId="0" applyFont="1" applyFill="1" applyBorder="1" applyAlignment="1">
      <alignment vertical="center"/>
    </xf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1" fontId="88" fillId="3" borderId="40" xfId="0" applyNumberFormat="1" applyFont="1" applyFill="1" applyBorder="1" applyAlignment="1">
      <alignment horizontal="center" vertical="center" wrapText="1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0" fontId="81" fillId="20" borderId="12" xfId="0" applyFont="1" applyFill="1" applyBorder="1" applyAlignment="1">
      <alignment horizont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7" xfId="0" applyFon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14" fontId="86" fillId="7" borderId="5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6" fillId="2" borderId="12" xfId="0" applyFont="1" applyFill="1" applyBorder="1" applyAlignment="1">
      <alignment horizontal="left" vertical="top" wrapText="1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20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00" t="s">
        <v>337</v>
      </c>
      <c r="D3" s="1200"/>
      <c r="E3" s="1200"/>
      <c r="F3" s="1200"/>
      <c r="G3" s="1200"/>
      <c r="H3" s="1200"/>
      <c r="L3" s="1200" t="s">
        <v>337</v>
      </c>
      <c r="M3" s="1200"/>
      <c r="N3" s="1200"/>
      <c r="O3" s="1200"/>
      <c r="P3" s="1200"/>
      <c r="Q3" s="1200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11" t="s">
        <v>124</v>
      </c>
      <c r="I1" s="1211"/>
      <c r="J1" s="1211"/>
      <c r="K1" s="1211"/>
      <c r="L1" s="1211"/>
      <c r="M1" s="1211"/>
      <c r="N1" s="1211"/>
      <c r="O1" s="1211"/>
      <c r="P1" s="1211"/>
      <c r="Q1" s="1211"/>
      <c r="R1" s="1211"/>
      <c r="S1" s="1211"/>
      <c r="T1" s="1211"/>
      <c r="U1" s="1211"/>
      <c r="V1" s="1211"/>
      <c r="W1" s="1211"/>
      <c r="X1" s="1211"/>
      <c r="Y1" s="1211"/>
      <c r="Z1" s="1211"/>
      <c r="AA1" s="1211"/>
      <c r="AB1" s="1211"/>
      <c r="AC1" s="1211"/>
      <c r="AD1" s="1211"/>
      <c r="AE1" s="1211"/>
      <c r="AF1" s="1211"/>
      <c r="AG1" s="1211"/>
      <c r="AH1" s="1211"/>
      <c r="AI1" s="1211"/>
      <c r="AJ1" s="121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12" t="s">
        <v>125</v>
      </c>
      <c r="I2" s="1212"/>
      <c r="J2" s="1212"/>
      <c r="K2" s="1212"/>
      <c r="L2" s="1212"/>
      <c r="M2" s="1212"/>
      <c r="N2" s="1212"/>
      <c r="O2" s="1212"/>
      <c r="P2" s="1212"/>
      <c r="Q2" s="1212"/>
      <c r="R2" s="1212"/>
      <c r="S2" s="1212"/>
      <c r="T2" s="1212"/>
      <c r="U2" s="1212"/>
      <c r="V2" s="1212"/>
      <c r="W2" s="1212"/>
      <c r="X2" s="1212"/>
      <c r="Y2" s="1212"/>
      <c r="Z2" s="1212"/>
      <c r="AA2" s="1212"/>
      <c r="AB2" s="1212"/>
      <c r="AC2" s="1212"/>
      <c r="AD2" s="1212"/>
      <c r="AE2" s="1212"/>
      <c r="AF2" s="1212"/>
      <c r="AG2" s="1212"/>
      <c r="AH2" s="1212"/>
      <c r="AI2" s="1212"/>
      <c r="AJ2" s="121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01" t="s">
        <v>72</v>
      </c>
      <c r="C5" s="1203" t="s">
        <v>73</v>
      </c>
      <c r="D5" s="1204"/>
      <c r="E5" s="1204"/>
      <c r="F5" s="1204"/>
      <c r="G5" s="1204"/>
      <c r="H5" s="1205"/>
      <c r="I5" s="1206" t="s">
        <v>431</v>
      </c>
      <c r="J5" s="1206" t="s">
        <v>320</v>
      </c>
      <c r="K5" s="1207" t="s">
        <v>74</v>
      </c>
      <c r="L5" s="1204"/>
      <c r="M5" s="1204"/>
      <c r="N5" s="1201" t="s">
        <v>75</v>
      </c>
      <c r="O5" s="1213" t="s">
        <v>177</v>
      </c>
      <c r="P5" s="1213"/>
      <c r="Q5" s="1213"/>
      <c r="R5" s="1213"/>
      <c r="S5" s="1213"/>
      <c r="T5" s="1213"/>
      <c r="U5" s="1213"/>
      <c r="V5" s="1213"/>
      <c r="W5" s="1213"/>
      <c r="X5" s="1213"/>
      <c r="Y5" s="1214"/>
      <c r="Z5" s="1207" t="s">
        <v>76</v>
      </c>
      <c r="AA5" s="1215"/>
      <c r="AB5" s="1215"/>
      <c r="AC5" s="1215"/>
      <c r="AD5" s="1215"/>
      <c r="AE5" s="1215"/>
      <c r="AF5" s="1215"/>
      <c r="AG5" s="1216"/>
      <c r="AH5" s="1207" t="s">
        <v>77</v>
      </c>
      <c r="AI5" s="1205"/>
      <c r="AJ5" s="1207" t="s">
        <v>78</v>
      </c>
      <c r="AK5" s="1204"/>
      <c r="AL5" s="1204"/>
      <c r="AM5" s="1204"/>
      <c r="AN5" s="1204"/>
      <c r="AO5" s="1205"/>
      <c r="AP5" s="1207" t="s">
        <v>79</v>
      </c>
      <c r="AQ5" s="1205"/>
      <c r="AR5" s="75"/>
      <c r="AS5" s="85" t="s">
        <v>80</v>
      </c>
    </row>
    <row r="6" spans="1:45" ht="29.4" thickBot="1" x14ac:dyDescent="0.35">
      <c r="A6" s="84"/>
      <c r="B6" s="1202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02"/>
      <c r="J6" s="1209"/>
      <c r="K6" s="86" t="s">
        <v>86</v>
      </c>
      <c r="L6" s="86" t="s">
        <v>87</v>
      </c>
      <c r="M6" s="86" t="s">
        <v>126</v>
      </c>
      <c r="N6" s="1208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3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3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3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3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3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3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3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3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3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3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3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3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3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3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3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3" t="str">
        <f t="shared" si="4"/>
        <v/>
      </c>
      <c r="V35" s="91"/>
      <c r="W35" s="91"/>
      <c r="X35" s="91"/>
      <c r="Y35" s="105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7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3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6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3" t="str">
        <f t="shared" si="4"/>
        <v/>
      </c>
      <c r="V37" s="652"/>
      <c r="W37" s="652"/>
      <c r="X37" s="652"/>
      <c r="Y37" s="1055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58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3" t="str">
        <f t="shared" si="4"/>
        <v/>
      </c>
      <c r="V38" s="95"/>
      <c r="W38" s="95"/>
      <c r="X38" s="95"/>
      <c r="Y38" s="1056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5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3" t="str">
        <f t="shared" si="4"/>
        <v/>
      </c>
      <c r="V39" s="95"/>
      <c r="W39" s="95"/>
      <c r="X39" s="95"/>
      <c r="Y39" s="1056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5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3" t="str">
        <f t="shared" si="4"/>
        <v/>
      </c>
      <c r="V40" s="95"/>
      <c r="W40" s="95"/>
      <c r="X40" s="95"/>
      <c r="Y40" s="1056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5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3" t="str">
        <f t="shared" si="4"/>
        <v/>
      </c>
      <c r="V41" s="95"/>
      <c r="W41" s="95"/>
      <c r="X41" s="95"/>
      <c r="Y41" s="1056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5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3" t="str">
        <f t="shared" si="4"/>
        <v/>
      </c>
      <c r="V42" s="95"/>
      <c r="W42" s="95"/>
      <c r="X42" s="95"/>
      <c r="Y42" s="1056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5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3" t="str">
        <f t="shared" si="4"/>
        <v/>
      </c>
      <c r="V43" s="95"/>
      <c r="W43" s="95"/>
      <c r="X43" s="95"/>
      <c r="Y43" s="1056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5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3" t="str">
        <f t="shared" si="4"/>
        <v/>
      </c>
      <c r="V44" s="95"/>
      <c r="W44" s="95"/>
      <c r="X44" s="95"/>
      <c r="Y44" s="1056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5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3" t="str">
        <f t="shared" si="4"/>
        <v/>
      </c>
      <c r="V45" s="95"/>
      <c r="W45" s="95"/>
      <c r="X45" s="95"/>
      <c r="Y45" s="1056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5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3" t="str">
        <f t="shared" si="4"/>
        <v/>
      </c>
      <c r="V46" s="95"/>
      <c r="W46" s="95"/>
      <c r="X46" s="95"/>
      <c r="Y46" s="1056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5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2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3" t="str">
        <f t="shared" si="4"/>
        <v/>
      </c>
      <c r="V47" s="95"/>
      <c r="W47" s="95"/>
      <c r="X47" s="95"/>
      <c r="Y47" s="1056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5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2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3" t="str">
        <f t="shared" si="4"/>
        <v/>
      </c>
      <c r="V48" s="95"/>
      <c r="W48" s="95"/>
      <c r="X48" s="95"/>
      <c r="Y48" s="1056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5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5">
        <f t="shared" si="12"/>
        <v>0</v>
      </c>
      <c r="F49" s="404"/>
      <c r="G49" s="212">
        <f t="shared" si="10"/>
        <v>0</v>
      </c>
      <c r="H49" s="104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3" t="str">
        <f t="shared" si="4"/>
        <v/>
      </c>
      <c r="V49" s="404"/>
      <c r="W49" s="404"/>
      <c r="X49" s="404"/>
      <c r="Y49" s="1057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0"/>
      <c r="AQ49" s="404"/>
      <c r="AR49" s="75"/>
      <c r="AS49" s="75"/>
    </row>
    <row r="50" spans="1:45" ht="14.4" x14ac:dyDescent="0.3">
      <c r="A50" s="75"/>
      <c r="B50" s="1044">
        <v>46291</v>
      </c>
      <c r="C50" s="213"/>
      <c r="D50" s="403">
        <f>D49+C50</f>
        <v>4501.8596000000007</v>
      </c>
      <c r="E50" s="214"/>
      <c r="F50" s="95"/>
      <c r="G50" s="213"/>
      <c r="H50" s="105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4">
        <v>46292</v>
      </c>
      <c r="C51" s="213"/>
      <c r="D51" s="403">
        <f t="shared" si="14"/>
        <v>4501.8596000000007</v>
      </c>
      <c r="E51" s="214"/>
      <c r="F51" s="95"/>
      <c r="G51" s="213"/>
      <c r="H51" s="1052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3">
        <v>46293</v>
      </c>
      <c r="C52" s="213"/>
      <c r="D52" s="403">
        <f t="shared" si="14"/>
        <v>4501.8596000000007</v>
      </c>
      <c r="E52" s="214"/>
      <c r="F52" s="95"/>
      <c r="G52" s="213"/>
      <c r="H52" s="105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4">
        <v>46294</v>
      </c>
      <c r="C53" s="213"/>
      <c r="D53" s="403">
        <f t="shared" si="14"/>
        <v>4501.8596000000007</v>
      </c>
      <c r="E53" s="214"/>
      <c r="F53" s="95"/>
      <c r="G53" s="213"/>
      <c r="H53" s="105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4">
        <v>46295</v>
      </c>
      <c r="C54" s="213"/>
      <c r="D54" s="403">
        <f t="shared" si="14"/>
        <v>4501.8596000000007</v>
      </c>
      <c r="E54" s="214"/>
      <c r="F54" s="95"/>
      <c r="G54" s="213"/>
      <c r="H54" s="105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4">
        <v>46296</v>
      </c>
      <c r="C55" s="213"/>
      <c r="D55" s="403">
        <f t="shared" si="14"/>
        <v>4501.8596000000007</v>
      </c>
      <c r="E55" s="214"/>
      <c r="F55" s="95"/>
      <c r="G55" s="213"/>
      <c r="H55" s="105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47">
        <f>SUM(C7:C49)</f>
        <v>4501.8596000000007</v>
      </c>
      <c r="D56" s="1048"/>
      <c r="E56" s="1048"/>
      <c r="F56" s="1048"/>
      <c r="G56" s="1047">
        <f>SUM(G7:G49)</f>
        <v>3314.2664226920892</v>
      </c>
      <c r="H56" s="1049">
        <f>SUM(H7:H37)</f>
        <v>2.0790216177881677</v>
      </c>
      <c r="I56" s="418">
        <f>'Crushing Down Time Hours'!L45</f>
        <v>0</v>
      </c>
      <c r="J56" s="1047"/>
      <c r="K56" s="1050"/>
      <c r="L56" s="1051"/>
      <c r="M56" s="1051"/>
      <c r="N56" s="1050"/>
      <c r="O56" s="1051">
        <f t="shared" ref="O56:Y56" si="15">SUM(O7:O36)</f>
        <v>0</v>
      </c>
      <c r="P56" s="105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10" t="s">
        <v>204</v>
      </c>
      <c r="X60" s="1210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39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39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10" t="s">
        <v>206</v>
      </c>
      <c r="X66" s="1210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22" t="s">
        <v>279</v>
      </c>
      <c r="C1" s="1222"/>
      <c r="D1" s="1222"/>
      <c r="E1" s="1222"/>
      <c r="F1" s="1222"/>
      <c r="G1" s="1222"/>
      <c r="H1" s="1222"/>
      <c r="I1" s="1222"/>
      <c r="J1" s="1222"/>
      <c r="K1" s="1222"/>
      <c r="L1" s="1222"/>
      <c r="M1" s="1222"/>
      <c r="N1" s="1222"/>
      <c r="O1" s="1222"/>
      <c r="P1" s="1222"/>
      <c r="Q1" s="1222"/>
      <c r="R1" s="1222"/>
      <c r="S1" s="1222"/>
    </row>
    <row r="2" spans="1:42" ht="18" x14ac:dyDescent="0.35">
      <c r="B2" s="1222" t="s">
        <v>280</v>
      </c>
      <c r="C2" s="1222"/>
      <c r="D2" s="1222"/>
      <c r="E2" s="1222"/>
      <c r="F2" s="1222"/>
      <c r="G2" s="1222"/>
      <c r="H2" s="1222"/>
      <c r="I2" s="1222"/>
      <c r="J2" s="1222"/>
      <c r="K2" s="1222"/>
      <c r="L2" s="1222"/>
      <c r="M2" s="1222"/>
      <c r="N2" s="1222"/>
      <c r="O2" s="1222"/>
      <c r="P2" s="1222"/>
      <c r="Q2" s="1222"/>
      <c r="R2" s="1222"/>
      <c r="S2" s="1222"/>
    </row>
    <row r="3" spans="1:42" ht="18" x14ac:dyDescent="0.35">
      <c r="B3" s="1222" t="s">
        <v>281</v>
      </c>
      <c r="C3" s="1222"/>
      <c r="D3" s="1222"/>
      <c r="E3" s="1222"/>
      <c r="F3" s="1222"/>
      <c r="G3" s="1222"/>
      <c r="H3" s="1222"/>
      <c r="I3" s="1222"/>
      <c r="J3" s="1222"/>
      <c r="K3" s="1222"/>
      <c r="L3" s="1222"/>
      <c r="M3" s="1222"/>
      <c r="N3" s="1222"/>
      <c r="O3" s="1222"/>
      <c r="P3" s="1222"/>
      <c r="Q3" s="1222"/>
      <c r="R3" s="1222"/>
      <c r="S3" s="122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24"/>
      <c r="C5" s="1225"/>
      <c r="D5" s="1224" t="s">
        <v>24</v>
      </c>
      <c r="E5" s="1226"/>
      <c r="F5" s="1225"/>
      <c r="G5" s="1224" t="s">
        <v>25</v>
      </c>
      <c r="H5" s="1226"/>
      <c r="I5" s="1225"/>
      <c r="J5" s="1224" t="s">
        <v>319</v>
      </c>
      <c r="K5" s="1225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27" t="s">
        <v>162</v>
      </c>
      <c r="Y6" s="1227"/>
      <c r="Z6" s="1227"/>
      <c r="AA6" s="1227"/>
      <c r="AB6" s="1227"/>
      <c r="AC6" s="1227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223" t="s">
        <v>333</v>
      </c>
      <c r="Y10" s="1223"/>
      <c r="Z10" s="1223"/>
      <c r="AA10" s="1223"/>
      <c r="AB10" s="1223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Tank'!$M$61</f>
        <v>1.408255530058409</v>
      </c>
      <c r="Y11" s="124">
        <f>Y8/'Au Cal Leaching Tank'!$M$61</f>
        <v>1.0389796355097596</v>
      </c>
      <c r="Z11" s="124">
        <f>Z8/'Au Cal Leaching Tank'!$M$61</f>
        <v>0.75106961603115152</v>
      </c>
      <c r="AA11" s="124">
        <f>AA8/'Au Cal Leaching Tank'!$M$61</f>
        <v>6.2589134669262622E-2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00" t="s">
        <v>578</v>
      </c>
      <c r="Y20" s="1200"/>
      <c r="Z20" s="1200"/>
      <c r="AA20" s="1200"/>
      <c r="AB20" s="1200"/>
      <c r="AC20" s="1200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17" t="s">
        <v>577</v>
      </c>
      <c r="Y24" s="1217"/>
      <c r="Z24" s="1217"/>
      <c r="AA24" s="1217"/>
      <c r="AB24" s="1217"/>
      <c r="AC24" s="1217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18" t="s">
        <v>577</v>
      </c>
      <c r="Y27" s="1219"/>
      <c r="Z27" s="1220">
        <f>SUM(X26:AC26)</f>
        <v>531545000</v>
      </c>
      <c r="AA27" s="1219"/>
      <c r="AB27" s="1219"/>
      <c r="AC27" s="122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4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4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4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0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4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4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7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4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1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1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2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2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38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3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181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181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181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N102" sqref="N102:N10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50" t="s">
        <v>665</v>
      </c>
      <c r="C4" s="1251"/>
      <c r="D4" s="1251"/>
      <c r="E4" s="1251"/>
      <c r="F4" s="1251"/>
      <c r="G4" s="1251"/>
      <c r="H4" s="1251"/>
      <c r="I4" s="1251"/>
      <c r="J4" s="1251"/>
      <c r="K4" s="1251"/>
      <c r="L4" s="1251"/>
      <c r="M4" s="1251"/>
      <c r="N4" s="1251"/>
      <c r="O4" s="1252"/>
    </row>
    <row r="5" spans="2:27" ht="75.599999999999994" customHeight="1" thickBot="1" x14ac:dyDescent="0.35">
      <c r="B5" s="1256" t="s">
        <v>0</v>
      </c>
      <c r="C5" s="1257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24" t="s">
        <v>11</v>
      </c>
      <c r="T5" s="1225"/>
      <c r="W5" s="1200" t="s">
        <v>18</v>
      </c>
      <c r="X5" s="1200"/>
      <c r="Y5" s="1200"/>
      <c r="Z5" s="1200"/>
      <c r="AA5" s="1200"/>
    </row>
    <row r="6" spans="2:27" ht="13.95" customHeight="1" thickBot="1" x14ac:dyDescent="0.4">
      <c r="B6" s="1230">
        <v>46174</v>
      </c>
      <c r="C6" s="1231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58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32"/>
      <c r="C7" s="1233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59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46">
        <v>46175</v>
      </c>
      <c r="C8" s="1247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44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48"/>
      <c r="C9" s="1249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45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30">
        <v>46176</v>
      </c>
      <c r="C10" s="1231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36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32"/>
      <c r="C11" s="1233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37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46">
        <v>46177</v>
      </c>
      <c r="C12" s="1247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44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48"/>
      <c r="C13" s="1249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45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30">
        <v>46252</v>
      </c>
      <c r="C14" s="1231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36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32"/>
      <c r="C15" s="1233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37"/>
      <c r="O15" s="285"/>
    </row>
    <row r="16" spans="2:27" ht="18.600000000000001" thickBot="1" x14ac:dyDescent="0.4">
      <c r="B16" s="1246">
        <v>46253</v>
      </c>
      <c r="C16" s="1247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44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48"/>
      <c r="C17" s="1249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45"/>
      <c r="O17" s="348" t="s">
        <v>386</v>
      </c>
    </row>
    <row r="18" spans="2:23" ht="18.600000000000001" thickBot="1" x14ac:dyDescent="0.4">
      <c r="B18" s="1230">
        <v>46254</v>
      </c>
      <c r="C18" s="1231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36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32"/>
      <c r="C19" s="1233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53"/>
      <c r="O19" s="285" t="s">
        <v>408</v>
      </c>
      <c r="T19" s="110"/>
    </row>
    <row r="20" spans="2:23" ht="18.600000000000001" thickBot="1" x14ac:dyDescent="0.4">
      <c r="B20" s="1230">
        <v>46255</v>
      </c>
      <c r="C20" s="1231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36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32"/>
      <c r="C21" s="1233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53"/>
      <c r="O21" s="285"/>
      <c r="S21" s="2"/>
      <c r="T21" s="111"/>
    </row>
    <row r="22" spans="2:23" ht="18.600000000000001" thickBot="1" x14ac:dyDescent="0.4">
      <c r="B22" s="1230">
        <v>46256</v>
      </c>
      <c r="C22" s="1231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36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32"/>
      <c r="C23" s="1233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37"/>
      <c r="O23" s="285"/>
      <c r="P23" s="9"/>
      <c r="T23" s="110"/>
    </row>
    <row r="24" spans="2:23" ht="18.600000000000001" thickBot="1" x14ac:dyDescent="0.4">
      <c r="B24" s="1230">
        <v>46257</v>
      </c>
      <c r="C24" s="1231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36">
        <f>SUM(L24:L25)</f>
        <v>0</v>
      </c>
      <c r="O24" s="285"/>
    </row>
    <row r="25" spans="2:23" ht="18.600000000000001" thickBot="1" x14ac:dyDescent="0.4">
      <c r="B25" s="1232"/>
      <c r="C25" s="1233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37"/>
      <c r="O25" s="285"/>
      <c r="T25" s="3"/>
    </row>
    <row r="26" spans="2:23" ht="18.600000000000001" thickBot="1" x14ac:dyDescent="0.4">
      <c r="B26" s="1230">
        <v>46258</v>
      </c>
      <c r="C26" s="1231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36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32"/>
      <c r="C27" s="1233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37"/>
      <c r="O27" s="285"/>
    </row>
    <row r="28" spans="2:23" ht="18.600000000000001" thickBot="1" x14ac:dyDescent="0.4">
      <c r="B28" s="1230">
        <v>46259</v>
      </c>
      <c r="C28" s="1231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36">
        <f>SUM(L28:L29)</f>
        <v>0</v>
      </c>
      <c r="O28" s="285"/>
    </row>
    <row r="29" spans="2:23" ht="18.600000000000001" thickBot="1" x14ac:dyDescent="0.4">
      <c r="B29" s="1232"/>
      <c r="C29" s="1233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37"/>
      <c r="O29" s="285"/>
      <c r="P29" s="9"/>
    </row>
    <row r="30" spans="2:23" ht="18.600000000000001" thickBot="1" x14ac:dyDescent="0.4">
      <c r="B30" s="1230">
        <v>46260</v>
      </c>
      <c r="C30" s="1231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36">
        <f t="shared" ref="N30" si="13">SUM(L30:L31)</f>
        <v>0</v>
      </c>
      <c r="O30" s="285"/>
    </row>
    <row r="31" spans="2:23" ht="18.600000000000001" thickBot="1" x14ac:dyDescent="0.4">
      <c r="B31" s="1232"/>
      <c r="C31" s="1233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37"/>
      <c r="O31" s="285"/>
    </row>
    <row r="32" spans="2:23" ht="54.6" thickBot="1" x14ac:dyDescent="0.4">
      <c r="B32" s="1230">
        <v>46261</v>
      </c>
      <c r="C32" s="1231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58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32"/>
      <c r="C33" s="1233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59"/>
      <c r="O33" s="285"/>
    </row>
    <row r="34" spans="2:24" ht="18.600000000000001" thickBot="1" x14ac:dyDescent="0.4">
      <c r="B34" s="1230">
        <v>46262</v>
      </c>
      <c r="C34" s="1231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58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32"/>
      <c r="C35" s="1233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59"/>
      <c r="O35" s="285"/>
    </row>
    <row r="36" spans="2:24" ht="18.600000000000001" thickBot="1" x14ac:dyDescent="0.35">
      <c r="B36" s="1230">
        <v>46263</v>
      </c>
      <c r="C36" s="1231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58">
        <f>SUM(L36:L37)</f>
        <v>240.43500000000003</v>
      </c>
      <c r="O36" s="1228" t="str">
        <f>'Crushing Down Time Hours'!G17</f>
        <v>istirahat jam 12-13, 14:00-15:00 ada loading material dari mining</v>
      </c>
    </row>
    <row r="37" spans="2:24" ht="18.600000000000001" thickBot="1" x14ac:dyDescent="0.35">
      <c r="B37" s="1232"/>
      <c r="C37" s="1233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59"/>
      <c r="O37" s="1229"/>
    </row>
    <row r="38" spans="2:24" ht="18.600000000000001" thickBot="1" x14ac:dyDescent="0.4">
      <c r="B38" s="1230">
        <v>46264</v>
      </c>
      <c r="C38" s="1231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58">
        <f t="shared" ref="N38" si="15">SUM(L38:L39)</f>
        <v>53.820000000000007</v>
      </c>
      <c r="O38" s="285"/>
      <c r="Q38" s="4"/>
    </row>
    <row r="39" spans="2:24" ht="18.600000000000001" thickBot="1" x14ac:dyDescent="0.4">
      <c r="B39" s="1232"/>
      <c r="C39" s="1233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59"/>
      <c r="O39" s="285"/>
    </row>
    <row r="40" spans="2:24" ht="18.600000000000001" thickBot="1" x14ac:dyDescent="0.4">
      <c r="B40" s="1230">
        <v>46265</v>
      </c>
      <c r="C40" s="1231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36">
        <f>SUM(L40:L41)</f>
        <v>0</v>
      </c>
      <c r="O40" s="285"/>
    </row>
    <row r="41" spans="2:24" ht="18.600000000000001" thickBot="1" x14ac:dyDescent="0.4">
      <c r="B41" s="1232"/>
      <c r="C41" s="1233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37"/>
      <c r="O41" s="285"/>
    </row>
    <row r="42" spans="2:24" ht="18.600000000000001" thickBot="1" x14ac:dyDescent="0.4">
      <c r="B42" s="1230">
        <v>46266</v>
      </c>
      <c r="C42" s="1231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36">
        <f t="shared" ref="N42" si="16">SUM(L42:L43)</f>
        <v>0</v>
      </c>
      <c r="O42" s="285"/>
    </row>
    <row r="43" spans="2:24" ht="18.600000000000001" thickBot="1" x14ac:dyDescent="0.4">
      <c r="B43" s="1232"/>
      <c r="C43" s="1233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37"/>
      <c r="O43" s="285"/>
    </row>
    <row r="44" spans="2:24" ht="18.600000000000001" thickBot="1" x14ac:dyDescent="0.4">
      <c r="B44" s="1230">
        <v>46267</v>
      </c>
      <c r="C44" s="1231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36">
        <f t="shared" ref="N44" si="17">SUM(L44:L45)</f>
        <v>0</v>
      </c>
      <c r="O44" s="285"/>
    </row>
    <row r="45" spans="2:24" ht="18.600000000000001" thickBot="1" x14ac:dyDescent="0.4">
      <c r="B45" s="1232"/>
      <c r="C45" s="1233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37"/>
      <c r="O45" s="285"/>
    </row>
    <row r="46" spans="2:24" ht="18.600000000000001" thickBot="1" x14ac:dyDescent="0.4">
      <c r="B46" s="1230">
        <v>46268</v>
      </c>
      <c r="C46" s="1231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36">
        <f t="shared" ref="N46:N58" si="18">SUM(L46:L47)</f>
        <v>0</v>
      </c>
      <c r="O46" s="285"/>
    </row>
    <row r="47" spans="2:24" ht="18.600000000000001" thickBot="1" x14ac:dyDescent="0.4">
      <c r="B47" s="1232"/>
      <c r="C47" s="1233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37"/>
      <c r="O47" s="285"/>
    </row>
    <row r="48" spans="2:24" ht="18.600000000000001" thickBot="1" x14ac:dyDescent="0.4">
      <c r="B48" s="1230">
        <v>46269</v>
      </c>
      <c r="C48" s="1231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36">
        <f t="shared" si="18"/>
        <v>0</v>
      </c>
      <c r="O48" s="285"/>
    </row>
    <row r="49" spans="2:22" ht="18.600000000000001" thickBot="1" x14ac:dyDescent="0.4">
      <c r="B49" s="1232"/>
      <c r="C49" s="1233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37"/>
      <c r="O49" s="285"/>
    </row>
    <row r="50" spans="2:22" ht="18.600000000000001" thickBot="1" x14ac:dyDescent="0.4">
      <c r="B50" s="1230">
        <v>46270</v>
      </c>
      <c r="C50" s="1231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36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32"/>
      <c r="C51" s="1233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37"/>
      <c r="O51" s="285"/>
      <c r="P51" s="4"/>
    </row>
    <row r="52" spans="2:22" ht="18.600000000000001" thickBot="1" x14ac:dyDescent="0.4">
      <c r="B52" s="1230">
        <v>46271</v>
      </c>
      <c r="C52" s="1231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36">
        <f t="shared" si="18"/>
        <v>0</v>
      </c>
      <c r="O52" s="285"/>
    </row>
    <row r="53" spans="2:22" ht="18.600000000000001" thickBot="1" x14ac:dyDescent="0.4">
      <c r="B53" s="1232"/>
      <c r="C53" s="1233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37"/>
      <c r="O53" s="285"/>
      <c r="R53" s="1">
        <f>R50*4</f>
        <v>60</v>
      </c>
    </row>
    <row r="54" spans="2:22" ht="18.600000000000001" thickBot="1" x14ac:dyDescent="0.4">
      <c r="B54" s="1230">
        <v>46272</v>
      </c>
      <c r="C54" s="1231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36">
        <f t="shared" si="18"/>
        <v>0</v>
      </c>
      <c r="O54" s="285"/>
    </row>
    <row r="55" spans="2:22" ht="18.600000000000001" thickBot="1" x14ac:dyDescent="0.4">
      <c r="B55" s="1232"/>
      <c r="C55" s="1233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37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30">
        <v>46273</v>
      </c>
      <c r="C56" s="1231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36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32"/>
      <c r="C57" s="1233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37"/>
      <c r="O57" s="285"/>
      <c r="Q57" s="4"/>
      <c r="R57" s="4"/>
      <c r="S57" s="1">
        <v>1190</v>
      </c>
    </row>
    <row r="58" spans="2:22" ht="18.600000000000001" thickBot="1" x14ac:dyDescent="0.4">
      <c r="B58" s="1230">
        <v>46274</v>
      </c>
      <c r="C58" s="1231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36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32"/>
      <c r="C59" s="1233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37"/>
      <c r="O59" s="285"/>
      <c r="P59" s="4"/>
      <c r="S59" s="2">
        <f>(S55-S58)/S55</f>
        <v>0.10083594566353186</v>
      </c>
    </row>
    <row r="60" spans="2:22" ht="18.600000000000001" thickBot="1" x14ac:dyDescent="0.4">
      <c r="B60" s="1230">
        <v>46275</v>
      </c>
      <c r="C60" s="1231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34">
        <f>SUM(L60:L61)</f>
        <v>72.657000000000011</v>
      </c>
      <c r="O60" s="285"/>
      <c r="P60" s="9"/>
    </row>
    <row r="61" spans="2:22" ht="18.600000000000001" thickBot="1" x14ac:dyDescent="0.4">
      <c r="B61" s="1232"/>
      <c r="C61" s="1233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35"/>
      <c r="O61" s="285"/>
      <c r="P61" s="9"/>
    </row>
    <row r="62" spans="2:22" ht="18.600000000000001" thickBot="1" x14ac:dyDescent="0.4">
      <c r="B62" s="1230">
        <v>46276</v>
      </c>
      <c r="C62" s="1231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34">
        <f>SUM(L62:L63)</f>
        <v>0</v>
      </c>
      <c r="O62" s="285"/>
      <c r="P62" s="9"/>
    </row>
    <row r="63" spans="2:22" ht="18.600000000000001" thickBot="1" x14ac:dyDescent="0.4">
      <c r="B63" s="1232"/>
      <c r="C63" s="1233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35"/>
      <c r="O63" s="285"/>
      <c r="P63" s="9"/>
    </row>
    <row r="64" spans="2:22" ht="18.600000000000001" thickBot="1" x14ac:dyDescent="0.4">
      <c r="B64" s="1230">
        <v>46277</v>
      </c>
      <c r="C64" s="1231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34">
        <f>SUM(L64:L65)</f>
        <v>328.77</v>
      </c>
      <c r="O64" s="285"/>
      <c r="P64" s="9"/>
    </row>
    <row r="65" spans="2:16" ht="18.600000000000001" thickBot="1" x14ac:dyDescent="0.4">
      <c r="B65" s="1232"/>
      <c r="C65" s="1233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35"/>
      <c r="O65" s="285"/>
      <c r="P65" s="9"/>
    </row>
    <row r="66" spans="2:16" ht="18.600000000000001" thickBot="1" x14ac:dyDescent="0.4">
      <c r="B66" s="1230">
        <v>46278</v>
      </c>
      <c r="C66" s="1231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34">
        <f>SUM(L66:L67)</f>
        <v>262.66500000000002</v>
      </c>
      <c r="O66" s="285"/>
      <c r="P66" s="9"/>
    </row>
    <row r="67" spans="2:16" ht="18.600000000000001" thickBot="1" x14ac:dyDescent="0.4">
      <c r="B67" s="1232"/>
      <c r="C67" s="1233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35"/>
      <c r="O67" s="285"/>
      <c r="P67" s="9"/>
    </row>
    <row r="68" spans="2:16" ht="18.600000000000001" thickBot="1" x14ac:dyDescent="0.4">
      <c r="B68" s="1230">
        <v>46279</v>
      </c>
      <c r="C68" s="1231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42">
        <f t="shared" ref="N68" si="31">SUM(L68:L69)</f>
        <v>0</v>
      </c>
      <c r="O68" s="285"/>
      <c r="P68" s="9"/>
    </row>
    <row r="69" spans="2:16" ht="18.600000000000001" thickBot="1" x14ac:dyDescent="0.4">
      <c r="B69" s="1232"/>
      <c r="C69" s="1233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43"/>
      <c r="O69" s="285"/>
      <c r="P69" s="9"/>
    </row>
    <row r="70" spans="2:16" ht="18.600000000000001" thickBot="1" x14ac:dyDescent="0.4">
      <c r="B70" s="1230">
        <v>46280</v>
      </c>
      <c r="C70" s="1231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42">
        <f t="shared" ref="N70" si="32">SUM(L70:L71)</f>
        <v>0</v>
      </c>
      <c r="O70" s="285"/>
      <c r="P70" s="9"/>
    </row>
    <row r="71" spans="2:16" ht="18.600000000000001" thickBot="1" x14ac:dyDescent="0.4">
      <c r="B71" s="1232"/>
      <c r="C71" s="1233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43"/>
      <c r="O71" s="285"/>
      <c r="P71" s="9"/>
    </row>
    <row r="72" spans="2:16" ht="18.600000000000001" thickBot="1" x14ac:dyDescent="0.4">
      <c r="B72" s="1230">
        <v>46281</v>
      </c>
      <c r="C72" s="1231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42">
        <f t="shared" ref="N72" si="33">SUM(L72:L73)</f>
        <v>0</v>
      </c>
      <c r="O72" s="285"/>
      <c r="P72" s="9"/>
    </row>
    <row r="73" spans="2:16" ht="18.600000000000001" thickBot="1" x14ac:dyDescent="0.4">
      <c r="B73" s="1232"/>
      <c r="C73" s="1233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43"/>
      <c r="O73" s="285"/>
      <c r="P73" s="9"/>
    </row>
    <row r="74" spans="2:16" ht="18.600000000000001" thickBot="1" x14ac:dyDescent="0.4">
      <c r="B74" s="1230">
        <v>46282</v>
      </c>
      <c r="C74" s="1231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42">
        <f t="shared" ref="N74" si="34">SUM(L74:L75)</f>
        <v>0</v>
      </c>
      <c r="O74" s="285"/>
      <c r="P74" s="9"/>
    </row>
    <row r="75" spans="2:16" ht="18.600000000000001" thickBot="1" x14ac:dyDescent="0.4">
      <c r="B75" s="1232"/>
      <c r="C75" s="1233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43"/>
      <c r="O75" s="285"/>
      <c r="P75" s="9"/>
    </row>
    <row r="76" spans="2:16" ht="18.600000000000001" thickBot="1" x14ac:dyDescent="0.4">
      <c r="B76" s="1230">
        <v>46283</v>
      </c>
      <c r="C76" s="1231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42">
        <f>SUM(L76:L77)</f>
        <v>201.24</v>
      </c>
      <c r="O76" s="285" t="s">
        <v>639</v>
      </c>
      <c r="P76" s="9"/>
    </row>
    <row r="77" spans="2:16" ht="18.600000000000001" thickBot="1" x14ac:dyDescent="0.4">
      <c r="B77" s="1232"/>
      <c r="C77" s="1233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7">
        <f t="shared" si="29"/>
        <v>201.24</v>
      </c>
      <c r="M77" s="1008">
        <f t="shared" ref="M77:M80" si="36">IFERROR((K77/12),"")</f>
        <v>19.5</v>
      </c>
      <c r="N77" s="1243"/>
      <c r="O77" s="285" t="s">
        <v>640</v>
      </c>
      <c r="P77" s="9"/>
    </row>
    <row r="78" spans="2:16" ht="18" x14ac:dyDescent="0.35">
      <c r="B78" s="1230">
        <v>46284</v>
      </c>
      <c r="C78" s="1231"/>
      <c r="D78" s="987" t="s">
        <v>12</v>
      </c>
      <c r="E78" s="1009" t="s">
        <v>169</v>
      </c>
      <c r="F78" s="1010">
        <v>178</v>
      </c>
      <c r="G78" s="1011" t="s">
        <v>14</v>
      </c>
      <c r="H78" s="1012">
        <v>0.13</v>
      </c>
      <c r="I78" s="1013">
        <f t="shared" si="4"/>
        <v>0.7</v>
      </c>
      <c r="J78" s="1014">
        <v>1.3</v>
      </c>
      <c r="K78" s="1015">
        <f t="shared" si="35"/>
        <v>161.97999999999999</v>
      </c>
      <c r="L78" s="1016">
        <f t="shared" ref="L78:L80" si="37">IFERROR(((F78*I78)*J78)*(1-H78),"")</f>
        <v>140.92259999999999</v>
      </c>
      <c r="M78" s="1017">
        <f t="shared" si="36"/>
        <v>13.498333333333333</v>
      </c>
      <c r="N78" s="1234">
        <f>SUM(L78:L80)</f>
        <v>321.84879999999998</v>
      </c>
      <c r="O78" s="285" t="s">
        <v>639</v>
      </c>
      <c r="P78" s="9"/>
    </row>
    <row r="79" spans="2:16" ht="18" x14ac:dyDescent="0.35">
      <c r="B79" s="1254"/>
      <c r="C79" s="1255"/>
      <c r="D79" s="1020" t="s">
        <v>12</v>
      </c>
      <c r="E79" s="1021" t="s">
        <v>169</v>
      </c>
      <c r="F79" s="1022">
        <v>10</v>
      </c>
      <c r="G79" s="1023" t="s">
        <v>15</v>
      </c>
      <c r="H79" s="1024">
        <v>9.1999999999999998E-2</v>
      </c>
      <c r="I79" s="1025">
        <f t="shared" ref="I79" si="38">IFERROR((VLOOKUP(G79,S$6:T$8,2,FALSE)),"")</f>
        <v>2.8</v>
      </c>
      <c r="J79" s="1026">
        <v>1.3</v>
      </c>
      <c r="K79" s="1027">
        <f t="shared" ref="K79" si="39">IFERROR((F79*I79*J79),"")</f>
        <v>36.4</v>
      </c>
      <c r="L79" s="1027">
        <f t="shared" ref="L79" si="40">IFERROR(((F79*I79)*J79)*(1-H79),"")</f>
        <v>33.051200000000001</v>
      </c>
      <c r="M79" s="1027">
        <f t="shared" ref="M79" si="41">IFERROR((K79/12),"")</f>
        <v>3.0333333333333332</v>
      </c>
      <c r="N79" s="1234"/>
      <c r="O79" s="285"/>
      <c r="P79" s="9"/>
    </row>
    <row r="80" spans="2:16" ht="18.600000000000001" thickBot="1" x14ac:dyDescent="0.4">
      <c r="B80" s="1232"/>
      <c r="C80" s="1233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67">
        <v>1.3</v>
      </c>
      <c r="K80" s="306">
        <f t="shared" si="35"/>
        <v>162.5</v>
      </c>
      <c r="L80" s="1068">
        <f t="shared" si="37"/>
        <v>147.875</v>
      </c>
      <c r="M80" s="1069">
        <f t="shared" si="36"/>
        <v>13.541666666666666</v>
      </c>
      <c r="N80" s="1235"/>
      <c r="O80" s="285"/>
      <c r="P80" s="9"/>
    </row>
    <row r="81" spans="2:16" ht="18.600000000000001" thickBot="1" x14ac:dyDescent="0.4">
      <c r="B81" s="1230">
        <v>46285</v>
      </c>
      <c r="C81" s="1231"/>
      <c r="D81" s="1020" t="s">
        <v>12</v>
      </c>
      <c r="E81" s="312" t="s">
        <v>169</v>
      </c>
      <c r="F81" s="313">
        <v>50</v>
      </c>
      <c r="G81" s="1023" t="s">
        <v>14</v>
      </c>
      <c r="H81" s="1024">
        <v>0.1</v>
      </c>
      <c r="I81" s="1025">
        <f t="shared" si="4"/>
        <v>0.7</v>
      </c>
      <c r="J81" s="1026">
        <v>1.3</v>
      </c>
      <c r="K81" s="1027">
        <f t="shared" ref="K81:K85" si="42">IFERROR((F81*I81*J81),"")</f>
        <v>45.5</v>
      </c>
      <c r="L81" s="1073">
        <f t="shared" ref="L81:L85" si="43">IFERROR(((F81*I81)*J81)*(1-H81),"")</f>
        <v>40.950000000000003</v>
      </c>
      <c r="M81" s="1073">
        <f t="shared" ref="M81:M85" si="44">IFERROR((K81/12),"")</f>
        <v>3.7916666666666665</v>
      </c>
      <c r="N81" s="1234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54"/>
      <c r="C82" s="1255"/>
      <c r="D82" s="1020" t="s">
        <v>12</v>
      </c>
      <c r="E82" s="287" t="s">
        <v>169</v>
      </c>
      <c r="F82" s="288">
        <v>20</v>
      </c>
      <c r="G82" s="1023" t="s">
        <v>428</v>
      </c>
      <c r="H82" s="1024">
        <v>0.1</v>
      </c>
      <c r="I82" s="1025">
        <f t="shared" si="4"/>
        <v>0.5</v>
      </c>
      <c r="J82" s="1026">
        <v>1.3</v>
      </c>
      <c r="K82" s="1027">
        <f t="shared" si="42"/>
        <v>13</v>
      </c>
      <c r="L82" s="1073">
        <f t="shared" si="43"/>
        <v>11.700000000000001</v>
      </c>
      <c r="M82" s="1073">
        <f t="shared" si="44"/>
        <v>1.0833333333333333</v>
      </c>
      <c r="N82" s="1234"/>
      <c r="O82" s="285"/>
      <c r="P82" s="9"/>
    </row>
    <row r="83" spans="2:16" ht="18.600000000000001" thickBot="1" x14ac:dyDescent="0.4">
      <c r="B83" s="1232"/>
      <c r="C83" s="1233"/>
      <c r="D83" s="1020" t="s">
        <v>13</v>
      </c>
      <c r="E83" s="298" t="s">
        <v>553</v>
      </c>
      <c r="F83" s="291">
        <v>190</v>
      </c>
      <c r="G83" s="1023" t="s">
        <v>14</v>
      </c>
      <c r="H83" s="1024">
        <v>0.09</v>
      </c>
      <c r="I83" s="1025">
        <f t="shared" si="4"/>
        <v>0.7</v>
      </c>
      <c r="J83" s="1026">
        <v>1.3</v>
      </c>
      <c r="K83" s="1027">
        <f t="shared" si="42"/>
        <v>172.9</v>
      </c>
      <c r="L83" s="1073">
        <f t="shared" si="43"/>
        <v>157.339</v>
      </c>
      <c r="M83" s="1073">
        <f t="shared" si="44"/>
        <v>14.408333333333333</v>
      </c>
      <c r="N83" s="1235"/>
      <c r="O83" s="285"/>
      <c r="P83" s="9"/>
    </row>
    <row r="84" spans="2:16" ht="18.600000000000001" thickBot="1" x14ac:dyDescent="0.4">
      <c r="B84" s="1230">
        <v>46286</v>
      </c>
      <c r="C84" s="1231"/>
      <c r="D84" s="107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8">
        <f t="shared" si="4"/>
        <v>0.7</v>
      </c>
      <c r="J84" s="1019">
        <v>1.3</v>
      </c>
      <c r="K84" s="1070">
        <f t="shared" si="42"/>
        <v>273</v>
      </c>
      <c r="L84" s="1071">
        <f t="shared" si="43"/>
        <v>248.43</v>
      </c>
      <c r="M84" s="1072">
        <f t="shared" si="44"/>
        <v>22.75</v>
      </c>
      <c r="N84" s="1242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32"/>
      <c r="C85" s="1233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43"/>
      <c r="O85" s="285"/>
      <c r="P85" s="9"/>
    </row>
    <row r="86" spans="2:16" ht="18.600000000000001" thickBot="1" x14ac:dyDescent="0.4">
      <c r="B86" s="1230">
        <v>46287</v>
      </c>
      <c r="C86" s="1231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42">
        <f t="shared" ref="N86" si="50">SUM(L86:L87)</f>
        <v>124.488</v>
      </c>
      <c r="O86" s="285"/>
      <c r="P86" s="9"/>
    </row>
    <row r="87" spans="2:16" ht="18.600000000000001" thickBot="1" x14ac:dyDescent="0.4">
      <c r="B87" s="1232"/>
      <c r="C87" s="1233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43"/>
      <c r="O87" s="285"/>
      <c r="P87" s="9"/>
    </row>
    <row r="88" spans="2:16" ht="18.600000000000001" thickBot="1" x14ac:dyDescent="0.4">
      <c r="B88" s="1230">
        <v>46288</v>
      </c>
      <c r="C88" s="1231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42">
        <f>SUM(L88:L89)</f>
        <v>375.79359999999997</v>
      </c>
      <c r="O88" s="285"/>
      <c r="P88" s="9"/>
    </row>
    <row r="89" spans="2:16" ht="18.600000000000001" thickBot="1" x14ac:dyDescent="0.4">
      <c r="B89" s="1232"/>
      <c r="C89" s="1233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43"/>
      <c r="O89" s="285"/>
      <c r="P89" s="9"/>
    </row>
    <row r="90" spans="2:16" ht="18.600000000000001" thickBot="1" x14ac:dyDescent="0.4">
      <c r="B90" s="1230">
        <v>46289</v>
      </c>
      <c r="C90" s="1231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42">
        <f t="shared" ref="N90" si="59">SUM(L90:L91)</f>
        <v>205.25959999999998</v>
      </c>
      <c r="O90" s="285"/>
      <c r="P90" s="9"/>
    </row>
    <row r="91" spans="2:16" ht="18.600000000000001" thickBot="1" x14ac:dyDescent="0.4">
      <c r="B91" s="1232"/>
      <c r="C91" s="1233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43"/>
      <c r="O91" s="285"/>
      <c r="P91" s="9"/>
    </row>
    <row r="92" spans="2:16" ht="18.600000000000001" thickBot="1" x14ac:dyDescent="0.4">
      <c r="B92" s="1230">
        <v>46290</v>
      </c>
      <c r="C92" s="1231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42">
        <f t="shared" ref="N92" si="64">SUM(L92:L93)</f>
        <v>203.11199999999997</v>
      </c>
      <c r="O92" s="285"/>
      <c r="P92" s="9"/>
    </row>
    <row r="93" spans="2:16" ht="18.600000000000001" thickBot="1" x14ac:dyDescent="0.4">
      <c r="B93" s="1232"/>
      <c r="C93" s="1233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43"/>
      <c r="O93" s="285"/>
      <c r="P93" s="9"/>
    </row>
    <row r="94" spans="2:16" ht="18.600000000000001" thickBot="1" x14ac:dyDescent="0.4">
      <c r="B94" s="1230">
        <v>46291</v>
      </c>
      <c r="C94" s="1231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42">
        <f t="shared" ref="N94" si="69">SUM(L94:L95)</f>
        <v>236.85480000000001</v>
      </c>
      <c r="O94" s="285"/>
      <c r="P94" s="9"/>
    </row>
    <row r="95" spans="2:16" ht="18.600000000000001" thickBot="1" x14ac:dyDescent="0.4">
      <c r="B95" s="1232"/>
      <c r="C95" s="1233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43"/>
      <c r="O95" s="285"/>
      <c r="P95" s="9"/>
    </row>
    <row r="96" spans="2:16" ht="18.600000000000001" thickBot="1" x14ac:dyDescent="0.4">
      <c r="B96" s="1230">
        <v>46292</v>
      </c>
      <c r="C96" s="1231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42">
        <f t="shared" ref="N96" si="70">SUM(L96:L97)</f>
        <v>0</v>
      </c>
      <c r="O96" s="285"/>
      <c r="P96" s="9"/>
    </row>
    <row r="97" spans="2:19" ht="18.600000000000001" thickBot="1" x14ac:dyDescent="0.4">
      <c r="B97" s="1232"/>
      <c r="C97" s="1233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43"/>
      <c r="O97" s="285"/>
      <c r="P97" s="9"/>
    </row>
    <row r="98" spans="2:19" ht="18.600000000000001" thickBot="1" x14ac:dyDescent="0.4">
      <c r="B98" s="1230">
        <v>46293</v>
      </c>
      <c r="C98" s="1231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42">
        <f t="shared" ref="N98" si="75">SUM(L98:L99)</f>
        <v>170.78880000000001</v>
      </c>
      <c r="O98" s="285"/>
      <c r="P98" s="9"/>
    </row>
    <row r="99" spans="2:19" ht="18.600000000000001" thickBot="1" x14ac:dyDescent="0.4">
      <c r="B99" s="1232"/>
      <c r="C99" s="1233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43"/>
      <c r="O99" s="285"/>
      <c r="P99" s="9"/>
    </row>
    <row r="100" spans="2:19" ht="18.600000000000001" thickBot="1" x14ac:dyDescent="0.4">
      <c r="B100" s="1230">
        <v>46294</v>
      </c>
      <c r="C100" s="1231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42">
        <f t="shared" ref="N100" si="76">SUM(L100:L101)</f>
        <v>0</v>
      </c>
      <c r="O100" s="285"/>
      <c r="P100" s="9"/>
    </row>
    <row r="101" spans="2:19" ht="18.600000000000001" thickBot="1" x14ac:dyDescent="0.4">
      <c r="B101" s="1232"/>
      <c r="C101" s="1233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43"/>
      <c r="O101" s="285"/>
      <c r="P101" s="9"/>
    </row>
    <row r="102" spans="2:19" ht="18.600000000000001" thickBot="1" x14ac:dyDescent="0.4">
      <c r="B102" s="1230">
        <v>46295</v>
      </c>
      <c r="C102" s="1231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42">
        <f>SUM(L102:L103)</f>
        <v>0</v>
      </c>
      <c r="O102" s="285"/>
      <c r="P102" s="9"/>
    </row>
    <row r="103" spans="2:19" ht="18.600000000000001" thickBot="1" x14ac:dyDescent="0.4">
      <c r="B103" s="1232"/>
      <c r="C103" s="1233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60"/>
      <c r="O103" s="285"/>
      <c r="P103" s="9"/>
    </row>
    <row r="104" spans="2:19" ht="18" x14ac:dyDescent="0.35">
      <c r="B104" s="1238" t="s">
        <v>16</v>
      </c>
      <c r="C104" s="1239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6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40" t="s">
        <v>17</v>
      </c>
      <c r="C105" s="1241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0"/>
    </row>
    <row r="108" spans="2:19" x14ac:dyDescent="0.3">
      <c r="F108" s="266"/>
      <c r="I108" s="266"/>
      <c r="N108" s="950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65" t="s">
        <v>122</v>
      </c>
      <c r="C1" s="1265"/>
      <c r="D1" s="1265"/>
      <c r="E1" s="1265"/>
      <c r="F1" s="1265"/>
      <c r="G1" s="1265"/>
      <c r="H1" s="1265"/>
      <c r="I1" s="1265"/>
      <c r="J1" s="1265"/>
      <c r="K1" s="1265"/>
      <c r="L1" s="1265"/>
    </row>
    <row r="2" spans="1:27" ht="18" x14ac:dyDescent="0.35">
      <c r="F2" s="1271" t="s">
        <v>418</v>
      </c>
      <c r="G2" s="1271"/>
      <c r="H2" s="1271"/>
      <c r="I2" s="1271"/>
      <c r="J2" s="1271"/>
    </row>
    <row r="3" spans="1:27" ht="15" thickBot="1" x14ac:dyDescent="0.35">
      <c r="A3" s="1266" t="s">
        <v>198</v>
      </c>
      <c r="B3" s="1267"/>
      <c r="C3" s="1267"/>
      <c r="D3" s="1267"/>
      <c r="E3" s="1267"/>
      <c r="F3" s="1267"/>
      <c r="G3" s="1268"/>
    </row>
    <row r="4" spans="1:27" ht="15" thickBot="1" x14ac:dyDescent="0.35">
      <c r="A4" s="1269" t="s">
        <v>0</v>
      </c>
      <c r="B4" s="1270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61">
        <v>46252</v>
      </c>
      <c r="B6" s="1262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61">
        <v>46253</v>
      </c>
      <c r="B7" s="1262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61">
        <v>46254</v>
      </c>
      <c r="B8" s="1262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63" t="s">
        <v>209</v>
      </c>
      <c r="AA8" s="1264"/>
    </row>
    <row r="9" spans="1:27" x14ac:dyDescent="0.3">
      <c r="A9" s="1261">
        <v>46255</v>
      </c>
      <c r="B9" s="1262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61">
        <v>46256</v>
      </c>
      <c r="B10" s="1262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61">
        <v>46257</v>
      </c>
      <c r="B11" s="1262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61">
        <v>46258</v>
      </c>
      <c r="B12" s="1262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61">
        <v>46259</v>
      </c>
      <c r="B13" s="1262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61">
        <v>46260</v>
      </c>
      <c r="B14" s="1262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61">
        <v>46261</v>
      </c>
      <c r="B15" s="1262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61">
        <v>46262</v>
      </c>
      <c r="B16" s="1262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61">
        <v>46263</v>
      </c>
      <c r="B17" s="1262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61">
        <v>46264</v>
      </c>
      <c r="B18" s="1262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61">
        <v>46265</v>
      </c>
      <c r="B19" s="1262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61">
        <v>46266</v>
      </c>
      <c r="B20" s="126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61">
        <v>46267</v>
      </c>
      <c r="B21" s="126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61">
        <v>46268</v>
      </c>
      <c r="B22" s="126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61">
        <v>46269</v>
      </c>
      <c r="B23" s="126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61">
        <v>46270</v>
      </c>
      <c r="B24" s="126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61">
        <v>46271</v>
      </c>
      <c r="B25" s="126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61">
        <v>46272</v>
      </c>
      <c r="B26" s="126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61">
        <v>46273</v>
      </c>
      <c r="B27" s="126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61">
        <v>46274</v>
      </c>
      <c r="B28" s="126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61">
        <v>46275</v>
      </c>
      <c r="B29" s="1262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61">
        <v>46276</v>
      </c>
      <c r="B30" s="1262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61">
        <v>46277</v>
      </c>
      <c r="B31" s="1262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61">
        <v>46278</v>
      </c>
      <c r="B32" s="1262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61">
        <v>46279</v>
      </c>
      <c r="B33" s="1262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61">
        <v>46280</v>
      </c>
      <c r="B34" s="1262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61">
        <v>46281</v>
      </c>
      <c r="B35" s="1262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61">
        <v>46282</v>
      </c>
      <c r="B36" s="126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61">
        <v>46283</v>
      </c>
      <c r="B37" s="1262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61">
        <v>46284</v>
      </c>
      <c r="B38" s="126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61">
        <v>46285</v>
      </c>
      <c r="B39" s="126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61">
        <v>46286</v>
      </c>
      <c r="B40" s="126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61">
        <v>46287</v>
      </c>
      <c r="B41" s="126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61">
        <v>46288</v>
      </c>
      <c r="B42" s="126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6"/>
    <col min="2" max="2" width="29.88671875" style="846" bestFit="1" customWidth="1"/>
    <col min="3" max="3" width="96.6640625" style="846" bestFit="1" customWidth="1"/>
    <col min="4" max="4" width="110.44140625" style="846" customWidth="1"/>
    <col min="5" max="5" width="171.33203125" style="846" customWidth="1"/>
    <col min="6" max="7" width="151" style="846" customWidth="1"/>
    <col min="8" max="8" width="35.88671875" style="846" bestFit="1" customWidth="1"/>
    <col min="9" max="9" width="133.88671875" style="846" customWidth="1"/>
    <col min="10" max="10" width="112.109375" style="846" customWidth="1"/>
    <col min="11" max="11" width="72.6640625" style="846" customWidth="1"/>
    <col min="12" max="12" width="82.109375" style="846" bestFit="1" customWidth="1"/>
    <col min="13" max="13" width="42.33203125" style="846" customWidth="1"/>
    <col min="14" max="19" width="9.109375" style="846"/>
    <col min="20" max="20" width="33.5546875" style="846" customWidth="1"/>
    <col min="21" max="21" width="17.44140625" style="846" customWidth="1"/>
    <col min="22" max="25" width="9.109375" style="846"/>
    <col min="26" max="26" width="23" style="846" customWidth="1"/>
    <col min="27" max="27" width="24.44140625" style="846" customWidth="1"/>
    <col min="28" max="28" width="39" style="846" customWidth="1"/>
    <col min="29" max="16384" width="9.109375" style="846"/>
  </cols>
  <sheetData>
    <row r="1" spans="2:28" x14ac:dyDescent="1.65">
      <c r="B1" s="843"/>
      <c r="C1" s="844"/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5"/>
    </row>
    <row r="2" spans="2:28" x14ac:dyDescent="1.65">
      <c r="B2" s="1272" t="s">
        <v>601</v>
      </c>
      <c r="C2" s="1273"/>
      <c r="D2" s="1273"/>
      <c r="E2" s="1273"/>
      <c r="F2" s="1273"/>
      <c r="G2" s="1273"/>
      <c r="H2" s="1273"/>
      <c r="I2" s="1273"/>
      <c r="J2" s="1273"/>
      <c r="K2" s="1273"/>
      <c r="L2" s="1273"/>
      <c r="M2" s="1273"/>
      <c r="N2" s="1273"/>
      <c r="O2" s="1273"/>
      <c r="P2" s="1273"/>
      <c r="Q2" s="1273"/>
      <c r="R2" s="1273"/>
      <c r="S2" s="1273"/>
      <c r="T2" s="1274"/>
    </row>
    <row r="3" spans="2:28" x14ac:dyDescent="1.65">
      <c r="B3" s="848"/>
      <c r="C3" s="1273" t="s">
        <v>602</v>
      </c>
      <c r="D3" s="1273"/>
      <c r="E3" s="1273"/>
      <c r="F3" s="1273"/>
      <c r="G3" s="1273"/>
      <c r="H3" s="1273"/>
      <c r="I3" s="1273"/>
      <c r="J3" s="1273"/>
      <c r="K3" s="1273"/>
      <c r="L3" s="1273"/>
      <c r="M3" s="1273"/>
      <c r="N3" s="1273"/>
      <c r="O3" s="1273"/>
      <c r="P3" s="1273"/>
      <c r="Q3" s="1273"/>
      <c r="R3" s="1273"/>
      <c r="S3" s="1273"/>
      <c r="T3" s="1274"/>
    </row>
    <row r="4" spans="2:28" ht="92.4" thickBot="1" x14ac:dyDescent="1.7">
      <c r="B4" s="1275" t="s">
        <v>603</v>
      </c>
      <c r="C4" s="1276"/>
      <c r="D4" s="1276"/>
      <c r="E4" s="1276"/>
      <c r="F4" s="1276"/>
      <c r="G4" s="1276"/>
      <c r="H4" s="1276"/>
      <c r="I4" s="1276"/>
      <c r="J4" s="1276"/>
      <c r="K4" s="1276"/>
      <c r="L4" s="1276"/>
      <c r="M4" s="1276"/>
      <c r="N4" s="1276"/>
      <c r="O4" s="1276"/>
      <c r="P4" s="1276"/>
      <c r="Q4" s="1276"/>
      <c r="R4" s="1276"/>
      <c r="S4" s="1276"/>
      <c r="T4" s="1277"/>
    </row>
    <row r="5" spans="2:28" x14ac:dyDescent="1.65">
      <c r="B5" s="849"/>
      <c r="C5" s="850"/>
      <c r="D5" s="850"/>
      <c r="E5" s="850"/>
      <c r="F5" s="850"/>
      <c r="G5" s="850"/>
      <c r="H5" s="844"/>
      <c r="I5" s="850"/>
      <c r="J5" s="850"/>
      <c r="K5" s="850"/>
      <c r="L5" s="850"/>
      <c r="M5" s="850"/>
      <c r="N5" s="850"/>
      <c r="O5" s="850"/>
      <c r="P5" s="850"/>
      <c r="Q5" s="850"/>
      <c r="R5" s="850"/>
      <c r="S5" s="850"/>
      <c r="T5" s="851"/>
      <c r="U5" s="852"/>
    </row>
    <row r="6" spans="2:28" x14ac:dyDescent="1.65">
      <c r="B6" s="1278" t="s">
        <v>622</v>
      </c>
      <c r="C6" s="1279"/>
      <c r="D6" s="1279"/>
      <c r="E6" s="1279"/>
      <c r="F6" s="1279"/>
      <c r="G6" s="1279"/>
      <c r="H6" s="1279"/>
      <c r="I6" s="1279"/>
      <c r="J6" s="1279"/>
      <c r="K6" s="1279"/>
      <c r="L6" s="1279"/>
      <c r="M6" s="1279"/>
      <c r="N6" s="1279"/>
      <c r="O6" s="1279"/>
      <c r="P6" s="1279"/>
      <c r="Q6" s="1279"/>
      <c r="R6" s="1279"/>
      <c r="S6" s="1279"/>
      <c r="T6" s="1280"/>
    </row>
    <row r="7" spans="2:28" ht="92.4" thickBot="1" x14ac:dyDescent="1.7">
      <c r="B7" s="1281"/>
      <c r="C7" s="1282"/>
      <c r="D7" s="1282"/>
      <c r="E7" s="1282"/>
      <c r="F7" s="1282"/>
      <c r="G7" s="1282"/>
      <c r="H7" s="1282"/>
      <c r="I7" s="1282"/>
      <c r="J7" s="1282"/>
      <c r="K7" s="1282"/>
      <c r="L7" s="1282"/>
      <c r="M7" s="1282"/>
      <c r="N7" s="1282"/>
      <c r="O7" s="1282"/>
      <c r="P7" s="1282"/>
      <c r="Q7" s="1282"/>
      <c r="R7" s="1282"/>
      <c r="S7" s="1282"/>
      <c r="T7" s="1283"/>
    </row>
    <row r="8" spans="2:28" x14ac:dyDescent="1.65">
      <c r="B8" s="853"/>
      <c r="T8" s="854"/>
    </row>
    <row r="9" spans="2:28" x14ac:dyDescent="1.65">
      <c r="B9" s="853"/>
      <c r="T9" s="854"/>
    </row>
    <row r="10" spans="2:28" x14ac:dyDescent="1.65">
      <c r="B10" s="853"/>
      <c r="T10" s="854"/>
    </row>
    <row r="11" spans="2:28" x14ac:dyDescent="1.65">
      <c r="B11" s="853"/>
      <c r="T11" s="854"/>
    </row>
    <row r="12" spans="2:28" x14ac:dyDescent="1.65">
      <c r="B12" s="853"/>
      <c r="T12" s="854"/>
    </row>
    <row r="13" spans="2:28" x14ac:dyDescent="1.65">
      <c r="B13" s="847"/>
      <c r="C13" s="855" t="s">
        <v>70</v>
      </c>
      <c r="D13" s="855" t="s">
        <v>0</v>
      </c>
      <c r="E13" s="855" t="s">
        <v>604</v>
      </c>
      <c r="F13" s="855" t="s">
        <v>667</v>
      </c>
      <c r="G13" s="855" t="s">
        <v>611</v>
      </c>
      <c r="H13" s="855" t="s">
        <v>605</v>
      </c>
      <c r="I13" s="855" t="s">
        <v>606</v>
      </c>
      <c r="J13" s="855" t="s">
        <v>607</v>
      </c>
      <c r="K13" s="855" t="s">
        <v>608</v>
      </c>
      <c r="L13" s="855" t="s">
        <v>225</v>
      </c>
      <c r="M13" s="855" t="s">
        <v>609</v>
      </c>
      <c r="T13" s="854"/>
      <c r="Z13" s="1284" t="s">
        <v>620</v>
      </c>
      <c r="AA13" s="1284"/>
      <c r="AB13" s="1284"/>
    </row>
    <row r="14" spans="2:28" x14ac:dyDescent="1.65">
      <c r="B14" s="856"/>
      <c r="C14" s="857">
        <v>1</v>
      </c>
      <c r="D14" s="863">
        <v>46268</v>
      </c>
      <c r="E14" s="857" t="s">
        <v>612</v>
      </c>
      <c r="F14" s="857" t="s">
        <v>613</v>
      </c>
      <c r="G14" s="857">
        <v>1000</v>
      </c>
      <c r="H14" s="857">
        <v>1</v>
      </c>
      <c r="I14" s="857">
        <v>10</v>
      </c>
      <c r="J14" s="857">
        <v>0</v>
      </c>
      <c r="K14" s="857">
        <v>0.01</v>
      </c>
      <c r="L14" s="857" t="s">
        <v>619</v>
      </c>
      <c r="M14" s="1093">
        <v>7</v>
      </c>
      <c r="T14" s="854"/>
      <c r="Z14" s="846">
        <v>1</v>
      </c>
      <c r="AA14" s="846" t="s">
        <v>621</v>
      </c>
    </row>
    <row r="15" spans="2:28" x14ac:dyDescent="1.65">
      <c r="B15" s="856"/>
      <c r="C15" s="857">
        <v>2</v>
      </c>
      <c r="D15" s="863">
        <v>46269</v>
      </c>
      <c r="E15" s="857" t="s">
        <v>612</v>
      </c>
      <c r="F15" s="857" t="s">
        <v>613</v>
      </c>
      <c r="G15" s="857">
        <v>1000</v>
      </c>
      <c r="H15" s="857">
        <v>1</v>
      </c>
      <c r="I15" s="857">
        <v>10</v>
      </c>
      <c r="J15" s="857">
        <v>0</v>
      </c>
      <c r="K15" s="857">
        <v>0.01</v>
      </c>
      <c r="L15" s="857" t="s">
        <v>619</v>
      </c>
      <c r="M15" s="1093">
        <v>7</v>
      </c>
      <c r="T15" s="854"/>
      <c r="Z15" s="846">
        <v>2</v>
      </c>
      <c r="AA15" s="846" t="s">
        <v>618</v>
      </c>
    </row>
    <row r="16" spans="2:28" x14ac:dyDescent="1.65">
      <c r="B16" s="856"/>
      <c r="C16" s="857">
        <v>3</v>
      </c>
      <c r="D16" s="863">
        <v>46269</v>
      </c>
      <c r="E16" s="857" t="s">
        <v>615</v>
      </c>
      <c r="F16" s="857" t="s">
        <v>613</v>
      </c>
      <c r="G16" s="857">
        <v>1000</v>
      </c>
      <c r="H16" s="857">
        <v>1</v>
      </c>
      <c r="I16" s="857">
        <v>10</v>
      </c>
      <c r="J16" s="857">
        <v>0</v>
      </c>
      <c r="K16" s="857">
        <v>0.01</v>
      </c>
      <c r="L16" s="857" t="s">
        <v>619</v>
      </c>
      <c r="M16" s="1093">
        <v>7</v>
      </c>
      <c r="T16" s="854"/>
      <c r="Z16" s="846">
        <v>3</v>
      </c>
      <c r="AA16" s="846" t="s">
        <v>610</v>
      </c>
    </row>
    <row r="17" spans="2:20" x14ac:dyDescent="1.65">
      <c r="B17" s="853"/>
      <c r="C17" s="857">
        <v>4</v>
      </c>
      <c r="D17" s="864">
        <v>46270</v>
      </c>
      <c r="E17" s="858" t="s">
        <v>616</v>
      </c>
      <c r="F17" s="857" t="s">
        <v>613</v>
      </c>
      <c r="G17" s="857">
        <v>1000</v>
      </c>
      <c r="H17" s="857">
        <v>1</v>
      </c>
      <c r="I17" s="857">
        <v>10</v>
      </c>
      <c r="J17" s="857">
        <v>0</v>
      </c>
      <c r="K17" s="857">
        <v>0.01</v>
      </c>
      <c r="L17" s="857" t="s">
        <v>619</v>
      </c>
      <c r="M17" s="1093">
        <v>7</v>
      </c>
      <c r="T17" s="854"/>
    </row>
    <row r="18" spans="2:20" x14ac:dyDescent="1.65">
      <c r="B18" s="853"/>
      <c r="C18" s="857">
        <v>5</v>
      </c>
      <c r="D18" s="864">
        <v>46274</v>
      </c>
      <c r="E18" s="858" t="s">
        <v>617</v>
      </c>
      <c r="F18" s="857" t="s">
        <v>618</v>
      </c>
      <c r="G18" s="857">
        <v>1000</v>
      </c>
      <c r="H18" s="857">
        <v>1</v>
      </c>
      <c r="I18" s="857">
        <v>10</v>
      </c>
      <c r="J18" s="857">
        <v>0</v>
      </c>
      <c r="K18" s="857">
        <v>0.01</v>
      </c>
      <c r="L18" s="857" t="s">
        <v>619</v>
      </c>
      <c r="M18" s="1093">
        <v>7</v>
      </c>
      <c r="T18" s="854"/>
    </row>
    <row r="19" spans="2:20" x14ac:dyDescent="1.65">
      <c r="B19" s="853"/>
      <c r="C19" s="857">
        <v>6</v>
      </c>
      <c r="D19" s="864">
        <v>46274</v>
      </c>
      <c r="E19" s="858" t="s">
        <v>614</v>
      </c>
      <c r="F19" s="857" t="s">
        <v>613</v>
      </c>
      <c r="G19" s="857">
        <v>1000</v>
      </c>
      <c r="H19" s="857">
        <v>1</v>
      </c>
      <c r="I19" s="857">
        <v>10</v>
      </c>
      <c r="J19" s="857">
        <v>0</v>
      </c>
      <c r="K19" s="857">
        <v>0.01</v>
      </c>
      <c r="L19" s="857" t="s">
        <v>619</v>
      </c>
      <c r="M19" s="1093">
        <v>7</v>
      </c>
      <c r="T19" s="854"/>
    </row>
    <row r="20" spans="2:20" x14ac:dyDescent="1.65">
      <c r="B20" s="853"/>
      <c r="C20" s="857">
        <v>7</v>
      </c>
      <c r="D20" s="864">
        <v>46275</v>
      </c>
      <c r="E20" s="858" t="s">
        <v>616</v>
      </c>
      <c r="F20" s="857" t="s">
        <v>613</v>
      </c>
      <c r="G20" s="857">
        <v>1000</v>
      </c>
      <c r="H20" s="857">
        <v>1</v>
      </c>
      <c r="I20" s="857">
        <v>10</v>
      </c>
      <c r="J20" s="857">
        <v>0</v>
      </c>
      <c r="K20" s="857">
        <v>0.01</v>
      </c>
      <c r="L20" s="857" t="s">
        <v>619</v>
      </c>
      <c r="M20" s="1093">
        <v>7</v>
      </c>
      <c r="T20" s="854"/>
    </row>
    <row r="21" spans="2:20" x14ac:dyDescent="1.65">
      <c r="B21" s="853"/>
      <c r="C21" s="857">
        <v>8</v>
      </c>
      <c r="D21" s="864">
        <v>46275</v>
      </c>
      <c r="E21" s="858" t="s">
        <v>614</v>
      </c>
      <c r="F21" s="857" t="s">
        <v>613</v>
      </c>
      <c r="G21" s="857">
        <v>1000</v>
      </c>
      <c r="H21" s="857">
        <v>1</v>
      </c>
      <c r="I21" s="857">
        <v>10</v>
      </c>
      <c r="J21" s="857">
        <v>0</v>
      </c>
      <c r="K21" s="857">
        <v>0.01</v>
      </c>
      <c r="L21" s="857" t="s">
        <v>619</v>
      </c>
      <c r="M21" s="1093">
        <v>7</v>
      </c>
      <c r="T21" s="854"/>
    </row>
    <row r="22" spans="2:20" x14ac:dyDescent="1.65">
      <c r="B22" s="853"/>
      <c r="C22" s="857">
        <v>9</v>
      </c>
      <c r="D22" s="864">
        <v>46276</v>
      </c>
      <c r="E22" s="858" t="s">
        <v>616</v>
      </c>
      <c r="F22" s="857" t="s">
        <v>613</v>
      </c>
      <c r="G22" s="857">
        <v>1000</v>
      </c>
      <c r="H22" s="857">
        <v>1</v>
      </c>
      <c r="I22" s="857">
        <v>10</v>
      </c>
      <c r="J22" s="857">
        <v>0</v>
      </c>
      <c r="K22" s="857">
        <v>0.01</v>
      </c>
      <c r="L22" s="857" t="s">
        <v>619</v>
      </c>
      <c r="M22" s="1093">
        <v>7</v>
      </c>
      <c r="T22" s="854"/>
    </row>
    <row r="23" spans="2:20" x14ac:dyDescent="1.65">
      <c r="B23" s="853"/>
      <c r="C23" s="857">
        <v>10</v>
      </c>
      <c r="D23" s="864">
        <v>46276</v>
      </c>
      <c r="E23" s="858" t="s">
        <v>614</v>
      </c>
      <c r="F23" s="857" t="s">
        <v>613</v>
      </c>
      <c r="G23" s="857">
        <v>1000</v>
      </c>
      <c r="H23" s="857">
        <v>1</v>
      </c>
      <c r="I23" s="857">
        <v>10</v>
      </c>
      <c r="J23" s="857">
        <v>0</v>
      </c>
      <c r="K23" s="857">
        <v>0.01</v>
      </c>
      <c r="L23" s="857" t="s">
        <v>619</v>
      </c>
      <c r="M23" s="1093">
        <v>7</v>
      </c>
      <c r="T23" s="854"/>
    </row>
    <row r="24" spans="2:20" x14ac:dyDescent="1.65">
      <c r="B24" s="853"/>
      <c r="C24" s="857">
        <v>11</v>
      </c>
      <c r="D24" s="864">
        <v>46277</v>
      </c>
      <c r="E24" s="858" t="s">
        <v>616</v>
      </c>
      <c r="F24" s="857" t="s">
        <v>610</v>
      </c>
      <c r="G24" s="857">
        <v>1000</v>
      </c>
      <c r="H24" s="857">
        <v>1</v>
      </c>
      <c r="I24" s="857">
        <v>10</v>
      </c>
      <c r="J24" s="857">
        <v>0</v>
      </c>
      <c r="K24" s="857">
        <v>0.01</v>
      </c>
      <c r="L24" s="857" t="s">
        <v>619</v>
      </c>
      <c r="M24" s="1093">
        <v>7</v>
      </c>
      <c r="T24" s="854"/>
    </row>
    <row r="25" spans="2:20" x14ac:dyDescent="1.65">
      <c r="B25" s="853"/>
      <c r="C25" s="857">
        <v>12</v>
      </c>
      <c r="D25" s="864">
        <v>46277</v>
      </c>
      <c r="E25" s="858" t="s">
        <v>614</v>
      </c>
      <c r="F25" s="857" t="s">
        <v>610</v>
      </c>
      <c r="G25" s="857">
        <v>1000</v>
      </c>
      <c r="H25" s="857">
        <v>1</v>
      </c>
      <c r="I25" s="857">
        <v>10</v>
      </c>
      <c r="J25" s="857">
        <v>0</v>
      </c>
      <c r="K25" s="857">
        <v>0.01</v>
      </c>
      <c r="L25" s="857" t="s">
        <v>619</v>
      </c>
      <c r="M25" s="1093">
        <v>7</v>
      </c>
      <c r="T25" s="854"/>
    </row>
    <row r="26" spans="2:20" x14ac:dyDescent="1.65">
      <c r="B26" s="853"/>
      <c r="C26" s="857">
        <v>13</v>
      </c>
      <c r="D26" s="864">
        <v>46278</v>
      </c>
      <c r="E26" s="858" t="s">
        <v>614</v>
      </c>
      <c r="F26" s="857" t="s">
        <v>610</v>
      </c>
      <c r="G26" s="857">
        <v>1000</v>
      </c>
      <c r="H26" s="857">
        <v>1</v>
      </c>
      <c r="I26" s="857">
        <v>10</v>
      </c>
      <c r="J26" s="857">
        <v>0</v>
      </c>
      <c r="K26" s="857">
        <v>0.01</v>
      </c>
      <c r="L26" s="857" t="s">
        <v>619</v>
      </c>
      <c r="M26" s="858">
        <v>7.1</v>
      </c>
      <c r="T26" s="854"/>
    </row>
    <row r="27" spans="2:20" x14ac:dyDescent="1.65">
      <c r="B27" s="853"/>
      <c r="C27" s="857">
        <v>14</v>
      </c>
      <c r="D27" s="864">
        <v>46279</v>
      </c>
      <c r="E27" s="858" t="s">
        <v>616</v>
      </c>
      <c r="F27" s="857" t="s">
        <v>610</v>
      </c>
      <c r="G27" s="857">
        <v>1000</v>
      </c>
      <c r="H27" s="857">
        <v>1</v>
      </c>
      <c r="I27" s="857">
        <v>10</v>
      </c>
      <c r="J27" s="857">
        <v>0</v>
      </c>
      <c r="K27" s="857">
        <v>0.01</v>
      </c>
      <c r="L27" s="857" t="s">
        <v>619</v>
      </c>
      <c r="M27" s="858">
        <v>6.6</v>
      </c>
      <c r="T27" s="854"/>
    </row>
    <row r="28" spans="2:20" x14ac:dyDescent="1.65">
      <c r="B28" s="853"/>
      <c r="C28" s="857">
        <v>15</v>
      </c>
      <c r="D28" s="864">
        <v>46280</v>
      </c>
      <c r="E28" s="858" t="s">
        <v>616</v>
      </c>
      <c r="F28" s="857" t="s">
        <v>610</v>
      </c>
      <c r="G28" s="857">
        <v>1000</v>
      </c>
      <c r="H28" s="857">
        <v>1</v>
      </c>
      <c r="I28" s="857">
        <v>10</v>
      </c>
      <c r="J28" s="857">
        <v>0</v>
      </c>
      <c r="K28" s="857">
        <v>0.01</v>
      </c>
      <c r="L28" s="857" t="s">
        <v>619</v>
      </c>
      <c r="M28" s="858">
        <v>6.8</v>
      </c>
      <c r="T28" s="854"/>
    </row>
    <row r="29" spans="2:20" x14ac:dyDescent="1.65">
      <c r="B29" s="853"/>
      <c r="C29" s="857">
        <v>16</v>
      </c>
      <c r="D29" s="863">
        <v>46282</v>
      </c>
      <c r="E29" s="858" t="s">
        <v>614</v>
      </c>
      <c r="F29" s="857" t="s">
        <v>610</v>
      </c>
      <c r="G29" s="857">
        <v>1000</v>
      </c>
      <c r="H29" s="857">
        <v>1</v>
      </c>
      <c r="I29" s="857">
        <v>10</v>
      </c>
      <c r="J29" s="857">
        <v>0</v>
      </c>
      <c r="K29" s="857">
        <v>0.01</v>
      </c>
      <c r="L29" s="857" t="s">
        <v>619</v>
      </c>
      <c r="M29" s="858">
        <v>7.3</v>
      </c>
      <c r="T29" s="854"/>
    </row>
    <row r="30" spans="2:20" x14ac:dyDescent="1.65">
      <c r="B30" s="853"/>
      <c r="C30" s="857">
        <v>17</v>
      </c>
      <c r="D30" s="863">
        <v>46283</v>
      </c>
      <c r="E30" s="858" t="s">
        <v>616</v>
      </c>
      <c r="F30" s="857" t="s">
        <v>610</v>
      </c>
      <c r="G30" s="857">
        <v>1000</v>
      </c>
      <c r="H30" s="857">
        <v>1</v>
      </c>
      <c r="I30" s="857">
        <v>10</v>
      </c>
      <c r="J30" s="857">
        <v>0</v>
      </c>
      <c r="K30" s="857">
        <v>0.01</v>
      </c>
      <c r="L30" s="857" t="s">
        <v>619</v>
      </c>
      <c r="M30" s="858">
        <v>6.8</v>
      </c>
      <c r="T30" s="854"/>
    </row>
    <row r="31" spans="2:20" x14ac:dyDescent="1.65">
      <c r="B31" s="853"/>
      <c r="C31" s="857">
        <v>18</v>
      </c>
      <c r="D31" s="863">
        <v>46283</v>
      </c>
      <c r="E31" s="858" t="s">
        <v>614</v>
      </c>
      <c r="F31" s="857" t="s">
        <v>610</v>
      </c>
      <c r="G31" s="857">
        <v>1000</v>
      </c>
      <c r="H31" s="857">
        <v>1</v>
      </c>
      <c r="I31" s="857">
        <v>10</v>
      </c>
      <c r="J31" s="857">
        <v>0</v>
      </c>
      <c r="K31" s="857">
        <v>0.01</v>
      </c>
      <c r="L31" s="857" t="s">
        <v>619</v>
      </c>
      <c r="M31" s="858">
        <v>6.7</v>
      </c>
      <c r="T31" s="854"/>
    </row>
    <row r="32" spans="2:20" x14ac:dyDescent="1.65">
      <c r="B32" s="853"/>
      <c r="C32" s="857">
        <v>19</v>
      </c>
      <c r="D32" s="863">
        <v>46285</v>
      </c>
      <c r="E32" s="858" t="s">
        <v>614</v>
      </c>
      <c r="F32" s="857" t="s">
        <v>618</v>
      </c>
      <c r="G32" s="857">
        <v>1000</v>
      </c>
      <c r="H32" s="857">
        <v>1</v>
      </c>
      <c r="I32" s="857">
        <v>10</v>
      </c>
      <c r="J32" s="857">
        <v>0</v>
      </c>
      <c r="K32" s="857">
        <v>0.01</v>
      </c>
      <c r="L32" s="857" t="s">
        <v>619</v>
      </c>
      <c r="M32" s="858">
        <v>7.8</v>
      </c>
      <c r="T32" s="854"/>
    </row>
    <row r="33" spans="2:20" x14ac:dyDescent="1.65">
      <c r="B33" s="853"/>
      <c r="C33" s="857">
        <v>20</v>
      </c>
      <c r="D33" s="863">
        <v>46286</v>
      </c>
      <c r="E33" s="858" t="s">
        <v>616</v>
      </c>
      <c r="F33" s="857" t="s">
        <v>618</v>
      </c>
      <c r="G33" s="857">
        <v>1000</v>
      </c>
      <c r="H33" s="857">
        <v>1</v>
      </c>
      <c r="I33" s="857">
        <v>10</v>
      </c>
      <c r="J33" s="857">
        <v>0</v>
      </c>
      <c r="K33" s="857">
        <v>0.01</v>
      </c>
      <c r="L33" s="857" t="s">
        <v>619</v>
      </c>
      <c r="M33" s="1093">
        <v>8</v>
      </c>
      <c r="T33" s="854"/>
    </row>
    <row r="34" spans="2:20" x14ac:dyDescent="1.65">
      <c r="B34" s="853"/>
      <c r="C34" s="857">
        <v>21</v>
      </c>
      <c r="D34" s="863">
        <v>46286</v>
      </c>
      <c r="E34" s="858" t="s">
        <v>614</v>
      </c>
      <c r="F34" s="857" t="s">
        <v>618</v>
      </c>
      <c r="G34" s="857">
        <v>1000</v>
      </c>
      <c r="H34" s="857">
        <v>1</v>
      </c>
      <c r="I34" s="857">
        <v>10</v>
      </c>
      <c r="J34" s="857">
        <v>0</v>
      </c>
      <c r="K34" s="857">
        <v>0.01</v>
      </c>
      <c r="L34" s="857" t="s">
        <v>619</v>
      </c>
      <c r="M34" s="858">
        <v>7.9</v>
      </c>
      <c r="T34" s="854"/>
    </row>
    <row r="35" spans="2:20" x14ac:dyDescent="1.65">
      <c r="B35" s="853"/>
      <c r="C35" s="857">
        <v>22</v>
      </c>
      <c r="D35" s="857"/>
      <c r="E35" s="857"/>
      <c r="F35" s="857"/>
      <c r="G35" s="857">
        <v>1000</v>
      </c>
      <c r="H35" s="857">
        <v>1</v>
      </c>
      <c r="I35" s="857">
        <v>10</v>
      </c>
      <c r="J35" s="857">
        <v>0</v>
      </c>
      <c r="K35" s="857">
        <v>0.01</v>
      </c>
      <c r="L35" s="857">
        <f t="shared" ref="L35:L49" si="0">J35*100</f>
        <v>0</v>
      </c>
      <c r="M35" s="859"/>
      <c r="T35" s="854"/>
    </row>
    <row r="36" spans="2:20" x14ac:dyDescent="1.65">
      <c r="B36" s="853"/>
      <c r="C36" s="857">
        <v>23</v>
      </c>
      <c r="D36" s="857"/>
      <c r="E36" s="857"/>
      <c r="F36" s="857"/>
      <c r="G36" s="857">
        <v>1000</v>
      </c>
      <c r="H36" s="857">
        <v>1</v>
      </c>
      <c r="I36" s="857">
        <v>10</v>
      </c>
      <c r="J36" s="857">
        <v>0</v>
      </c>
      <c r="K36" s="857">
        <v>0.01</v>
      </c>
      <c r="L36" s="857">
        <f t="shared" si="0"/>
        <v>0</v>
      </c>
      <c r="M36" s="859"/>
      <c r="T36" s="854"/>
    </row>
    <row r="37" spans="2:20" x14ac:dyDescent="1.65">
      <c r="B37" s="853"/>
      <c r="C37" s="857">
        <v>24</v>
      </c>
      <c r="D37" s="857"/>
      <c r="E37" s="857"/>
      <c r="F37" s="857"/>
      <c r="G37" s="857">
        <v>1000</v>
      </c>
      <c r="H37" s="857">
        <v>1</v>
      </c>
      <c r="I37" s="857">
        <v>10</v>
      </c>
      <c r="J37" s="857">
        <v>0</v>
      </c>
      <c r="K37" s="857">
        <v>0.01</v>
      </c>
      <c r="L37" s="857">
        <f t="shared" si="0"/>
        <v>0</v>
      </c>
      <c r="M37" s="859"/>
      <c r="T37" s="854"/>
    </row>
    <row r="38" spans="2:20" x14ac:dyDescent="1.65">
      <c r="B38" s="853"/>
      <c r="C38" s="857">
        <v>25</v>
      </c>
      <c r="D38" s="857"/>
      <c r="E38" s="857"/>
      <c r="F38" s="857"/>
      <c r="G38" s="857">
        <v>1000</v>
      </c>
      <c r="H38" s="857">
        <v>1</v>
      </c>
      <c r="I38" s="857">
        <v>10</v>
      </c>
      <c r="J38" s="857">
        <v>0</v>
      </c>
      <c r="K38" s="857">
        <v>0.01</v>
      </c>
      <c r="L38" s="857">
        <f t="shared" si="0"/>
        <v>0</v>
      </c>
      <c r="M38" s="859"/>
      <c r="T38" s="854"/>
    </row>
    <row r="39" spans="2:20" x14ac:dyDescent="1.65">
      <c r="B39" s="853"/>
      <c r="C39" s="857">
        <v>26</v>
      </c>
      <c r="D39" s="857"/>
      <c r="E39" s="857"/>
      <c r="F39" s="857"/>
      <c r="G39" s="857">
        <v>1000</v>
      </c>
      <c r="H39" s="857">
        <v>1</v>
      </c>
      <c r="I39" s="857">
        <v>10</v>
      </c>
      <c r="J39" s="857">
        <v>0</v>
      </c>
      <c r="K39" s="857">
        <v>0.01</v>
      </c>
      <c r="L39" s="857">
        <f t="shared" si="0"/>
        <v>0</v>
      </c>
      <c r="M39" s="859"/>
      <c r="T39" s="854"/>
    </row>
    <row r="40" spans="2:20" x14ac:dyDescent="1.65">
      <c r="B40" s="853"/>
      <c r="C40" s="857">
        <v>27</v>
      </c>
      <c r="D40" s="857"/>
      <c r="E40" s="857"/>
      <c r="F40" s="857"/>
      <c r="G40" s="857">
        <v>1000</v>
      </c>
      <c r="H40" s="857">
        <v>1</v>
      </c>
      <c r="I40" s="857">
        <v>10</v>
      </c>
      <c r="J40" s="857">
        <v>0</v>
      </c>
      <c r="K40" s="857">
        <v>0.01</v>
      </c>
      <c r="L40" s="857">
        <f t="shared" si="0"/>
        <v>0</v>
      </c>
      <c r="M40" s="859"/>
      <c r="T40" s="854"/>
    </row>
    <row r="41" spans="2:20" x14ac:dyDescent="1.65">
      <c r="B41" s="853"/>
      <c r="C41" s="857">
        <v>28</v>
      </c>
      <c r="D41" s="857"/>
      <c r="E41" s="857"/>
      <c r="F41" s="857"/>
      <c r="G41" s="857">
        <v>1000</v>
      </c>
      <c r="H41" s="857">
        <v>1</v>
      </c>
      <c r="I41" s="857">
        <v>10</v>
      </c>
      <c r="J41" s="857">
        <v>0</v>
      </c>
      <c r="K41" s="857">
        <v>0.01</v>
      </c>
      <c r="L41" s="857">
        <f t="shared" si="0"/>
        <v>0</v>
      </c>
      <c r="M41" s="859"/>
      <c r="T41" s="854"/>
    </row>
    <row r="42" spans="2:20" x14ac:dyDescent="1.65">
      <c r="B42" s="853"/>
      <c r="C42" s="857">
        <v>29</v>
      </c>
      <c r="D42" s="857"/>
      <c r="E42" s="857"/>
      <c r="F42" s="857"/>
      <c r="G42" s="857">
        <v>1000</v>
      </c>
      <c r="H42" s="857">
        <v>1</v>
      </c>
      <c r="I42" s="857">
        <v>10</v>
      </c>
      <c r="J42" s="857">
        <v>0</v>
      </c>
      <c r="K42" s="857">
        <v>0.01</v>
      </c>
      <c r="L42" s="857">
        <f t="shared" si="0"/>
        <v>0</v>
      </c>
      <c r="M42" s="859"/>
      <c r="T42" s="854"/>
    </row>
    <row r="43" spans="2:20" x14ac:dyDescent="1.65">
      <c r="B43" s="853"/>
      <c r="C43" s="857">
        <v>30</v>
      </c>
      <c r="D43" s="857"/>
      <c r="E43" s="857"/>
      <c r="F43" s="857"/>
      <c r="G43" s="857">
        <v>1000</v>
      </c>
      <c r="H43" s="857">
        <v>1</v>
      </c>
      <c r="I43" s="857">
        <v>10</v>
      </c>
      <c r="J43" s="857">
        <v>0</v>
      </c>
      <c r="K43" s="857">
        <v>0.01</v>
      </c>
      <c r="L43" s="857">
        <f t="shared" si="0"/>
        <v>0</v>
      </c>
      <c r="M43" s="859"/>
      <c r="T43" s="854"/>
    </row>
    <row r="44" spans="2:20" x14ac:dyDescent="1.65">
      <c r="B44" s="853"/>
      <c r="C44" s="857">
        <v>31</v>
      </c>
      <c r="D44" s="857"/>
      <c r="E44" s="857"/>
      <c r="F44" s="857"/>
      <c r="G44" s="857">
        <v>1000</v>
      </c>
      <c r="H44" s="857">
        <v>1</v>
      </c>
      <c r="I44" s="857">
        <v>10</v>
      </c>
      <c r="J44" s="857">
        <v>0</v>
      </c>
      <c r="K44" s="857">
        <v>0.01</v>
      </c>
      <c r="L44" s="857">
        <f t="shared" si="0"/>
        <v>0</v>
      </c>
      <c r="M44" s="859"/>
      <c r="T44" s="854"/>
    </row>
    <row r="45" spans="2:20" x14ac:dyDescent="1.65">
      <c r="B45" s="853"/>
      <c r="C45" s="857">
        <v>32</v>
      </c>
      <c r="D45" s="857"/>
      <c r="E45" s="857"/>
      <c r="F45" s="857"/>
      <c r="G45" s="857">
        <v>1000</v>
      </c>
      <c r="H45" s="857">
        <v>1</v>
      </c>
      <c r="I45" s="857">
        <v>10</v>
      </c>
      <c r="J45" s="857">
        <v>0</v>
      </c>
      <c r="K45" s="857">
        <v>0.01</v>
      </c>
      <c r="L45" s="857">
        <f t="shared" si="0"/>
        <v>0</v>
      </c>
      <c r="M45" s="859"/>
      <c r="T45" s="854"/>
    </row>
    <row r="46" spans="2:20" x14ac:dyDescent="1.65">
      <c r="B46" s="853"/>
      <c r="C46" s="857">
        <v>33</v>
      </c>
      <c r="D46" s="857"/>
      <c r="E46" s="857"/>
      <c r="F46" s="857"/>
      <c r="G46" s="857">
        <v>1000</v>
      </c>
      <c r="H46" s="857">
        <v>1</v>
      </c>
      <c r="I46" s="857">
        <v>10</v>
      </c>
      <c r="J46" s="857">
        <v>0</v>
      </c>
      <c r="K46" s="857">
        <v>0.01</v>
      </c>
      <c r="L46" s="857">
        <f t="shared" si="0"/>
        <v>0</v>
      </c>
      <c r="M46" s="859"/>
      <c r="T46" s="854"/>
    </row>
    <row r="47" spans="2:20" x14ac:dyDescent="1.65">
      <c r="B47" s="853"/>
      <c r="C47" s="857">
        <v>34</v>
      </c>
      <c r="D47" s="857"/>
      <c r="E47" s="857"/>
      <c r="F47" s="857"/>
      <c r="G47" s="857">
        <v>1000</v>
      </c>
      <c r="H47" s="857">
        <v>1</v>
      </c>
      <c r="I47" s="857">
        <v>10</v>
      </c>
      <c r="J47" s="857">
        <v>0</v>
      </c>
      <c r="K47" s="857">
        <v>0.01</v>
      </c>
      <c r="L47" s="857">
        <f t="shared" si="0"/>
        <v>0</v>
      </c>
      <c r="M47" s="859"/>
      <c r="T47" s="854"/>
    </row>
    <row r="48" spans="2:20" x14ac:dyDescent="1.65">
      <c r="B48" s="853"/>
      <c r="C48" s="857">
        <v>35</v>
      </c>
      <c r="D48" s="857"/>
      <c r="E48" s="857"/>
      <c r="F48" s="857"/>
      <c r="G48" s="857">
        <v>1000</v>
      </c>
      <c r="H48" s="857">
        <v>1</v>
      </c>
      <c r="I48" s="857">
        <v>10</v>
      </c>
      <c r="J48" s="857">
        <v>0</v>
      </c>
      <c r="K48" s="857">
        <v>0.01</v>
      </c>
      <c r="L48" s="857">
        <f t="shared" si="0"/>
        <v>0</v>
      </c>
      <c r="M48" s="859"/>
      <c r="T48" s="854"/>
    </row>
    <row r="49" spans="2:20" x14ac:dyDescent="1.65">
      <c r="B49" s="853"/>
      <c r="C49" s="857">
        <v>36</v>
      </c>
      <c r="D49" s="857"/>
      <c r="E49" s="857"/>
      <c r="F49" s="857"/>
      <c r="G49" s="857">
        <v>1000</v>
      </c>
      <c r="H49" s="857">
        <v>1</v>
      </c>
      <c r="I49" s="857">
        <v>10</v>
      </c>
      <c r="J49" s="857">
        <v>0</v>
      </c>
      <c r="K49" s="857">
        <v>0.01</v>
      </c>
      <c r="L49" s="857">
        <f t="shared" si="0"/>
        <v>0</v>
      </c>
      <c r="M49" s="859"/>
      <c r="T49" s="854"/>
    </row>
    <row r="50" spans="2:20" x14ac:dyDescent="1.65">
      <c r="B50" s="853"/>
      <c r="T50" s="854"/>
    </row>
    <row r="51" spans="2:20" x14ac:dyDescent="1.65">
      <c r="B51" s="853"/>
      <c r="T51" s="854"/>
    </row>
    <row r="52" spans="2:20" x14ac:dyDescent="1.65">
      <c r="B52" s="853"/>
      <c r="T52" s="854"/>
    </row>
    <row r="53" spans="2:20" x14ac:dyDescent="1.65">
      <c r="B53" s="853"/>
      <c r="T53" s="854"/>
    </row>
    <row r="54" spans="2:20" ht="92.4" thickBot="1" x14ac:dyDescent="1.7">
      <c r="B54" s="860"/>
      <c r="C54" s="861"/>
      <c r="D54" s="861"/>
      <c r="E54" s="861"/>
      <c r="F54" s="861"/>
      <c r="G54" s="861"/>
      <c r="H54" s="861"/>
      <c r="I54" s="861"/>
      <c r="J54" s="861"/>
      <c r="K54" s="861"/>
      <c r="L54" s="861"/>
      <c r="M54" s="861"/>
      <c r="N54" s="861"/>
      <c r="O54" s="861"/>
      <c r="P54" s="861"/>
      <c r="Q54" s="861"/>
      <c r="R54" s="861"/>
      <c r="S54" s="861"/>
      <c r="T54" s="86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23" zoomScaleNormal="100" workbookViewId="0">
      <selection activeCell="F144" sqref="F14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00" t="s">
        <v>458</v>
      </c>
      <c r="C2" s="1200"/>
      <c r="D2" s="1200"/>
      <c r="E2" s="1200"/>
      <c r="F2" s="1200"/>
      <c r="G2" s="1200"/>
      <c r="H2" s="1200"/>
      <c r="T2" s="1297" t="s">
        <v>499</v>
      </c>
      <c r="U2" s="1297"/>
      <c r="V2" s="1297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291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292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292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292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292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292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292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292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292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292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292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293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298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299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299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299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299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299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299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299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00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291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292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292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292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292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292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292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292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292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292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292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293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298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299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299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299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299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299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299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299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299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299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299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00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298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299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299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299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299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299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299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299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00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291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292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292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292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292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293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298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299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299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299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299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299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299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299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00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291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292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292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292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292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292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292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292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292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292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292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293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288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289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289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289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289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289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289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289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289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289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289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290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294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295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295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295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295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295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295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295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295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295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295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295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295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295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295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295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295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295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295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295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296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285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286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286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286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286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286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286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286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287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17"/>
      <c r="C130" s="617"/>
      <c r="D130" s="617" t="s">
        <v>460</v>
      </c>
      <c r="E130" s="618">
        <v>46292</v>
      </c>
      <c r="F130" s="617">
        <v>0.52700000000000002</v>
      </c>
      <c r="G130" s="617">
        <v>1.1599999999999999</v>
      </c>
      <c r="H130" s="617">
        <v>13.75</v>
      </c>
    </row>
    <row r="131" spans="2:8" x14ac:dyDescent="0.3">
      <c r="B131" s="617"/>
      <c r="C131" s="617"/>
      <c r="D131" s="617" t="s">
        <v>461</v>
      </c>
      <c r="E131" s="618">
        <v>46292</v>
      </c>
      <c r="F131" s="617">
        <v>0.51100000000000001</v>
      </c>
      <c r="G131" s="617">
        <v>1.07</v>
      </c>
      <c r="H131" s="617">
        <v>13.27</v>
      </c>
    </row>
    <row r="132" spans="2:8" x14ac:dyDescent="0.3">
      <c r="B132" s="617"/>
      <c r="C132" s="617"/>
      <c r="D132" s="617" t="s">
        <v>462</v>
      </c>
      <c r="E132" s="618">
        <v>46292</v>
      </c>
      <c r="F132" s="617">
        <v>0.52300000000000002</v>
      </c>
      <c r="G132" s="617">
        <v>1.08</v>
      </c>
      <c r="H132" s="617">
        <v>13.91</v>
      </c>
    </row>
    <row r="133" spans="2:8" x14ac:dyDescent="0.3">
      <c r="B133" s="617"/>
      <c r="C133" s="617"/>
      <c r="D133" s="617" t="s">
        <v>463</v>
      </c>
      <c r="E133" s="618">
        <v>46292</v>
      </c>
      <c r="F133" s="617">
        <v>0.76</v>
      </c>
      <c r="G133" s="617">
        <v>1.44</v>
      </c>
      <c r="H133" s="617">
        <v>15.45</v>
      </c>
    </row>
    <row r="134" spans="2:8" x14ac:dyDescent="0.3">
      <c r="B134" s="617"/>
      <c r="C134" s="617"/>
      <c r="D134" s="617" t="s">
        <v>464</v>
      </c>
      <c r="E134" s="618">
        <v>46292</v>
      </c>
      <c r="F134" s="617">
        <v>0.73199999999999998</v>
      </c>
      <c r="G134" s="617">
        <v>1.43</v>
      </c>
      <c r="H134" s="617">
        <v>15.47</v>
      </c>
    </row>
    <row r="135" spans="2:8" x14ac:dyDescent="0.3">
      <c r="B135" s="617"/>
      <c r="C135" s="617"/>
      <c r="D135" s="617" t="s">
        <v>465</v>
      </c>
      <c r="E135" s="618">
        <v>46292</v>
      </c>
      <c r="F135" s="617">
        <v>0.751</v>
      </c>
      <c r="G135" s="617">
        <v>1.45</v>
      </c>
      <c r="H135" s="617">
        <v>15.17</v>
      </c>
    </row>
    <row r="136" spans="2:8" x14ac:dyDescent="0.3">
      <c r="B136" s="617"/>
      <c r="C136" s="617"/>
      <c r="D136" s="617" t="s">
        <v>460</v>
      </c>
      <c r="E136" s="618">
        <v>46293</v>
      </c>
      <c r="F136" s="617">
        <v>0.58799999999999997</v>
      </c>
      <c r="G136" s="617">
        <v>1.07</v>
      </c>
      <c r="H136" s="617">
        <v>14.31</v>
      </c>
    </row>
    <row r="137" spans="2:8" x14ac:dyDescent="0.3">
      <c r="B137" s="617"/>
      <c r="C137" s="617"/>
      <c r="D137" s="617" t="s">
        <v>461</v>
      </c>
      <c r="E137" s="618">
        <v>46293</v>
      </c>
      <c r="F137" s="617">
        <v>0.57199999999999995</v>
      </c>
      <c r="G137" s="617">
        <v>1.18</v>
      </c>
      <c r="H137" s="617">
        <v>14.17</v>
      </c>
    </row>
    <row r="138" spans="2:8" x14ac:dyDescent="0.3">
      <c r="B138" s="617"/>
      <c r="C138" s="617"/>
      <c r="D138" s="617" t="s">
        <v>462</v>
      </c>
      <c r="E138" s="618">
        <v>46293</v>
      </c>
      <c r="F138" s="617">
        <v>0.59499999999999997</v>
      </c>
      <c r="G138" s="617">
        <v>1.05</v>
      </c>
      <c r="H138" s="617">
        <v>14.35</v>
      </c>
    </row>
    <row r="139" spans="2:8" x14ac:dyDescent="0.3">
      <c r="B139" s="617"/>
      <c r="C139" s="617"/>
      <c r="D139" s="617" t="s">
        <v>463</v>
      </c>
      <c r="E139" s="618">
        <v>46293</v>
      </c>
      <c r="F139" s="617"/>
      <c r="G139" s="617"/>
      <c r="H139" s="617"/>
    </row>
    <row r="140" spans="2:8" x14ac:dyDescent="0.3">
      <c r="B140" s="617"/>
      <c r="C140" s="617"/>
      <c r="D140" s="617" t="s">
        <v>464</v>
      </c>
      <c r="E140" s="618">
        <v>46293</v>
      </c>
      <c r="F140" s="617"/>
      <c r="G140" s="617"/>
      <c r="H140" s="617"/>
    </row>
    <row r="141" spans="2:8" x14ac:dyDescent="0.3">
      <c r="B141" s="617"/>
      <c r="C141" s="617"/>
      <c r="D141" s="617" t="s">
        <v>465</v>
      </c>
      <c r="E141" s="618">
        <v>46293</v>
      </c>
      <c r="F141" s="617"/>
      <c r="G141" s="617"/>
      <c r="H141" s="617"/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19" t="s">
        <v>63</v>
      </c>
      <c r="B3" s="1227"/>
      <c r="C3" s="1227"/>
      <c r="D3" s="1227"/>
      <c r="E3" s="1227"/>
      <c r="F3" s="1227"/>
      <c r="G3" s="1227"/>
      <c r="H3" s="1227"/>
      <c r="I3" s="1227"/>
      <c r="J3" s="1227"/>
      <c r="K3" s="1227"/>
      <c r="L3" s="1227"/>
    </row>
    <row r="4" spans="1:36" ht="28.8" x14ac:dyDescent="0.3">
      <c r="A4" s="1326" t="s">
        <v>0</v>
      </c>
      <c r="B4" s="1326"/>
      <c r="C4" s="901" t="s">
        <v>26</v>
      </c>
      <c r="D4" s="901" t="s">
        <v>1</v>
      </c>
      <c r="E4" s="901" t="s">
        <v>60</v>
      </c>
      <c r="F4" s="901" t="s">
        <v>61</v>
      </c>
      <c r="G4" s="901" t="s">
        <v>62</v>
      </c>
      <c r="H4" s="901" t="s">
        <v>64</v>
      </c>
      <c r="I4" s="901" t="s">
        <v>544</v>
      </c>
      <c r="J4" s="907" t="s">
        <v>596</v>
      </c>
      <c r="K4" s="901" t="s">
        <v>597</v>
      </c>
      <c r="L4" s="901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20">
        <v>46265</v>
      </c>
      <c r="B5" s="1321"/>
      <c r="C5" s="908" t="s">
        <v>12</v>
      </c>
      <c r="D5" s="902" t="s">
        <v>169</v>
      </c>
      <c r="E5" s="903">
        <v>6.9444444444444447E-4</v>
      </c>
      <c r="F5" s="740">
        <v>6.5972222222222224E-2</v>
      </c>
      <c r="G5" s="741">
        <f>(F5-E5)*1440</f>
        <v>94</v>
      </c>
      <c r="H5" s="904" t="s">
        <v>446</v>
      </c>
      <c r="I5" s="1292">
        <v>1</v>
      </c>
      <c r="J5" s="905">
        <f>(720-G5)/60</f>
        <v>10.433333333333334</v>
      </c>
      <c r="K5" s="906">
        <f>J5/12</f>
        <v>0.86944444444444446</v>
      </c>
      <c r="L5" s="1316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22">
        <v>46265</v>
      </c>
      <c r="B6" s="1323"/>
      <c r="C6" s="771" t="s">
        <v>13</v>
      </c>
      <c r="D6" s="594"/>
      <c r="E6" s="588"/>
      <c r="F6" s="503"/>
      <c r="G6" s="504">
        <f>(F6-E6)*1440</f>
        <v>0</v>
      </c>
      <c r="H6" s="589"/>
      <c r="I6" s="1292"/>
      <c r="J6" s="811">
        <f>(720-G6)/60</f>
        <v>12</v>
      </c>
      <c r="K6" s="814">
        <f t="shared" ref="K6:K8" si="1">J6/12</f>
        <v>1</v>
      </c>
      <c r="L6" s="1316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3">
        <f>Q59</f>
        <v>438.86666666666662</v>
      </c>
      <c r="AI6" s="954">
        <f>S59</f>
        <v>233.13333333333333</v>
      </c>
      <c r="AJ6" s="955">
        <f>R59</f>
        <v>0.65307539682539673</v>
      </c>
    </row>
    <row r="7" spans="1:36" ht="44.4" customHeight="1" thickBot="1" x14ac:dyDescent="0.45">
      <c r="A7" s="1322">
        <v>46266</v>
      </c>
      <c r="B7" s="1323"/>
      <c r="C7" s="771" t="s">
        <v>12</v>
      </c>
      <c r="D7" s="594"/>
      <c r="E7" s="588"/>
      <c r="F7" s="503"/>
      <c r="G7" s="504">
        <f>(F7-E7)*1440</f>
        <v>0</v>
      </c>
      <c r="H7" s="589"/>
      <c r="I7" s="1292"/>
      <c r="J7" s="811">
        <f>(720-G7)/60</f>
        <v>12</v>
      </c>
      <c r="K7" s="814">
        <f t="shared" si="1"/>
        <v>1</v>
      </c>
      <c r="L7" s="1316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2" t="s">
        <v>636</v>
      </c>
      <c r="AI7" s="952" t="s">
        <v>637</v>
      </c>
      <c r="AJ7" s="952" t="s">
        <v>638</v>
      </c>
    </row>
    <row r="8" spans="1:36" ht="54" customHeight="1" x14ac:dyDescent="0.3">
      <c r="A8" s="1322">
        <v>46266</v>
      </c>
      <c r="B8" s="1323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293"/>
      <c r="J8" s="811">
        <f t="shared" ref="J8:J14" si="5">(720-G8)/60</f>
        <v>10.9</v>
      </c>
      <c r="K8" s="814">
        <f t="shared" si="1"/>
        <v>0.90833333333333333</v>
      </c>
      <c r="L8" s="1316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24">
        <v>46267</v>
      </c>
      <c r="B9" s="1325"/>
      <c r="C9" s="828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1" t="s">
        <v>478</v>
      </c>
      <c r="I9" s="1298">
        <v>2</v>
      </c>
      <c r="J9" s="812">
        <f t="shared" si="5"/>
        <v>10</v>
      </c>
      <c r="K9" s="815">
        <f>J9/12</f>
        <v>0.83333333333333337</v>
      </c>
      <c r="L9" s="1314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24">
        <v>46267</v>
      </c>
      <c r="B10" s="1325"/>
      <c r="C10" s="828" t="s">
        <v>13</v>
      </c>
      <c r="D10" s="596"/>
      <c r="E10" s="500"/>
      <c r="F10" s="500"/>
      <c r="G10" s="501">
        <f t="shared" si="4"/>
        <v>0</v>
      </c>
      <c r="H10" s="591"/>
      <c r="I10" s="1299"/>
      <c r="J10" s="812">
        <f t="shared" si="5"/>
        <v>12</v>
      </c>
      <c r="K10" s="815">
        <f t="shared" ref="K10:K14" si="6">J10/12</f>
        <v>1</v>
      </c>
      <c r="L10" s="1314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24">
        <v>46268</v>
      </c>
      <c r="B11" s="1325"/>
      <c r="C11" s="828" t="s">
        <v>12</v>
      </c>
      <c r="D11" s="596"/>
      <c r="E11" s="500"/>
      <c r="F11" s="500"/>
      <c r="G11" s="501">
        <f t="shared" si="4"/>
        <v>0</v>
      </c>
      <c r="H11" s="591"/>
      <c r="I11" s="1299"/>
      <c r="J11" s="812">
        <f t="shared" si="5"/>
        <v>12</v>
      </c>
      <c r="K11" s="815">
        <f t="shared" si="6"/>
        <v>1</v>
      </c>
      <c r="L11" s="1314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24">
        <v>46268</v>
      </c>
      <c r="B12" s="1325"/>
      <c r="C12" s="828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299"/>
      <c r="J12" s="812">
        <f t="shared" si="5"/>
        <v>11</v>
      </c>
      <c r="K12" s="815">
        <f t="shared" si="6"/>
        <v>0.91666666666666663</v>
      </c>
      <c r="L12" s="1314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24">
        <v>46269</v>
      </c>
      <c r="B13" s="1325"/>
      <c r="C13" s="828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299"/>
      <c r="J13" s="812">
        <f t="shared" si="5"/>
        <v>0</v>
      </c>
      <c r="K13" s="815">
        <f t="shared" si="6"/>
        <v>0</v>
      </c>
      <c r="L13" s="1314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24">
        <v>46269</v>
      </c>
      <c r="B14" s="1325"/>
      <c r="C14" s="828" t="s">
        <v>13</v>
      </c>
      <c r="D14" s="836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7" t="s">
        <v>476</v>
      </c>
      <c r="I14" s="1300"/>
      <c r="J14" s="812">
        <f t="shared" si="5"/>
        <v>0</v>
      </c>
      <c r="K14" s="815">
        <f t="shared" si="6"/>
        <v>0</v>
      </c>
      <c r="L14" s="1314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22">
        <v>46270</v>
      </c>
      <c r="B15" s="1323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291">
        <v>3</v>
      </c>
      <c r="J15" s="811">
        <f>(720-G15)/60</f>
        <v>0</v>
      </c>
      <c r="K15" s="814">
        <f>J15/12</f>
        <v>0</v>
      </c>
      <c r="L15" s="1316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22">
        <v>46270</v>
      </c>
      <c r="B16" s="1323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292"/>
      <c r="J16" s="811">
        <f t="shared" ref="J16:J19" si="8">(720-G16)/60</f>
        <v>11</v>
      </c>
      <c r="K16" s="814">
        <f t="shared" ref="K16:K19" si="9">J16/12</f>
        <v>0.91666666666666663</v>
      </c>
      <c r="L16" s="1316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22">
        <v>46271</v>
      </c>
      <c r="B17" s="1323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292"/>
      <c r="J17" s="811">
        <f t="shared" si="8"/>
        <v>9.8333333333333339</v>
      </c>
      <c r="K17" s="814">
        <f t="shared" si="9"/>
        <v>0.81944444444444453</v>
      </c>
      <c r="L17" s="1316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22">
        <v>46271</v>
      </c>
      <c r="B18" s="1323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292"/>
      <c r="J18" s="811">
        <f t="shared" si="8"/>
        <v>12</v>
      </c>
      <c r="K18" s="814">
        <f t="shared" si="9"/>
        <v>1</v>
      </c>
      <c r="L18" s="1316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22">
        <v>46272</v>
      </c>
      <c r="B19" s="1323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293"/>
      <c r="J19" s="811">
        <f t="shared" si="8"/>
        <v>11.683333333333334</v>
      </c>
      <c r="K19" s="814">
        <f t="shared" si="9"/>
        <v>0.97361111111111109</v>
      </c>
      <c r="L19" s="1317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24">
        <v>46272</v>
      </c>
      <c r="B20" s="1325"/>
      <c r="C20" s="828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40">
        <v>4</v>
      </c>
      <c r="J20" s="812">
        <f>(720-G20)/60</f>
        <v>10.766666666666667</v>
      </c>
      <c r="K20" s="815">
        <f>J20/12</f>
        <v>0.89722222222222225</v>
      </c>
      <c r="L20" s="1317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24">
        <v>46273</v>
      </c>
      <c r="B21" s="1325"/>
      <c r="C21" s="828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41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14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24">
        <v>46273</v>
      </c>
      <c r="B22" s="1325"/>
      <c r="C22" s="828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41"/>
      <c r="J22" s="812">
        <f t="shared" si="10"/>
        <v>9.4499999999999993</v>
      </c>
      <c r="K22" s="815">
        <f t="shared" si="11"/>
        <v>0.78749999999999998</v>
      </c>
      <c r="L22" s="1314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24">
        <v>46274</v>
      </c>
      <c r="B23" s="1325"/>
      <c r="C23" s="828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42"/>
      <c r="J23" s="812">
        <f t="shared" si="10"/>
        <v>3</v>
      </c>
      <c r="K23" s="815">
        <f t="shared" si="11"/>
        <v>0.25</v>
      </c>
      <c r="L23" s="1314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31">
        <v>46274</v>
      </c>
      <c r="B24" s="1332"/>
      <c r="C24" s="909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14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22">
        <v>46275</v>
      </c>
      <c r="B25" s="1323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01">
        <v>5</v>
      </c>
      <c r="J25" s="811">
        <f>(720-G25)/60</f>
        <v>10.566666666666666</v>
      </c>
      <c r="K25" s="814">
        <f>J25/12</f>
        <v>0.88055555555555554</v>
      </c>
      <c r="L25" s="1316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22">
        <v>46275</v>
      </c>
      <c r="B26" s="1323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02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16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22">
        <v>46276</v>
      </c>
      <c r="B27" s="1323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03"/>
      <c r="J27" s="811">
        <f t="shared" si="13"/>
        <v>10.983333333333333</v>
      </c>
      <c r="K27" s="814">
        <f t="shared" si="14"/>
        <v>0.91527777777777775</v>
      </c>
      <c r="L27" s="1317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33">
        <v>46276</v>
      </c>
      <c r="B28" s="1334"/>
      <c r="C28" s="828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37">
        <v>6</v>
      </c>
      <c r="J28" s="812">
        <f>(720-G28)/60</f>
        <v>2</v>
      </c>
      <c r="K28" s="815">
        <f>J28/12</f>
        <v>0.16666666666666666</v>
      </c>
      <c r="L28" s="1317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43">
        <v>46277</v>
      </c>
      <c r="B29" s="1344"/>
      <c r="C29" s="828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38"/>
      <c r="J29" s="812">
        <f t="shared" ref="J29:J33" si="15">(720-G29)/60</f>
        <v>0</v>
      </c>
      <c r="K29" s="815">
        <f t="shared" ref="K29:K33" si="16">J29/12</f>
        <v>0</v>
      </c>
      <c r="L29" s="1314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45">
        <v>46277</v>
      </c>
      <c r="B30" s="1346"/>
      <c r="C30" s="828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38"/>
      <c r="J30" s="812">
        <f t="shared" si="15"/>
        <v>0</v>
      </c>
      <c r="K30" s="815">
        <f t="shared" si="16"/>
        <v>0</v>
      </c>
      <c r="L30" s="1314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33">
        <v>46278</v>
      </c>
      <c r="B31" s="1334"/>
      <c r="C31" s="828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38"/>
      <c r="J31" s="812">
        <f t="shared" si="15"/>
        <v>0</v>
      </c>
      <c r="K31" s="815">
        <f t="shared" si="16"/>
        <v>0</v>
      </c>
      <c r="L31" s="1314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48">
        <v>46278</v>
      </c>
      <c r="B32" s="1349"/>
      <c r="C32" s="828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38"/>
      <c r="J32" s="812">
        <f t="shared" si="15"/>
        <v>0</v>
      </c>
      <c r="K32" s="815">
        <f t="shared" si="16"/>
        <v>0</v>
      </c>
      <c r="L32" s="1314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35">
        <v>46279</v>
      </c>
      <c r="B33" s="1336"/>
      <c r="C33" s="828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39"/>
      <c r="J33" s="812">
        <f t="shared" si="15"/>
        <v>0</v>
      </c>
      <c r="K33" s="815">
        <f t="shared" si="16"/>
        <v>0</v>
      </c>
      <c r="L33" s="1317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20">
        <v>46279</v>
      </c>
      <c r="B34" s="1321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53">
        <v>7</v>
      </c>
      <c r="J34" s="811">
        <f>(720-G34)/60</f>
        <v>10</v>
      </c>
      <c r="K34" s="814">
        <f>J34/12</f>
        <v>0.83333333333333337</v>
      </c>
      <c r="L34" s="1317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22">
        <v>46280</v>
      </c>
      <c r="B35" s="1323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292"/>
      <c r="J35" s="811">
        <f t="shared" ref="J35:J36" si="20">(720-G35)/60</f>
        <v>12</v>
      </c>
      <c r="K35" s="814">
        <f t="shared" ref="K35:K36" si="21">J35/12</f>
        <v>1</v>
      </c>
      <c r="L35" s="1316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22">
        <v>46280</v>
      </c>
      <c r="B36" s="1323"/>
      <c r="C36" s="771" t="s">
        <v>13</v>
      </c>
      <c r="D36" s="830" t="s">
        <v>584</v>
      </c>
      <c r="E36" s="503"/>
      <c r="F36" s="503"/>
      <c r="G36" s="504">
        <f t="shared" si="4"/>
        <v>0</v>
      </c>
      <c r="H36" s="835" t="s">
        <v>595</v>
      </c>
      <c r="I36" s="1293"/>
      <c r="J36" s="811">
        <f t="shared" si="20"/>
        <v>12</v>
      </c>
      <c r="K36" s="814">
        <f t="shared" si="21"/>
        <v>1</v>
      </c>
      <c r="L36" s="1316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24">
        <v>46281</v>
      </c>
      <c r="B37" s="1325"/>
      <c r="C37" s="828" t="s">
        <v>12</v>
      </c>
      <c r="D37" s="832" t="s">
        <v>524</v>
      </c>
      <c r="E37" s="831"/>
      <c r="F37" s="831"/>
      <c r="G37" s="501">
        <f t="shared" si="4"/>
        <v>0</v>
      </c>
      <c r="H37" s="833" t="s">
        <v>593</v>
      </c>
      <c r="I37" s="1311">
        <v>8</v>
      </c>
      <c r="J37" s="812">
        <f>(720-G37)/60</f>
        <v>12</v>
      </c>
      <c r="K37" s="815">
        <f>J37/12</f>
        <v>1</v>
      </c>
      <c r="L37" s="1314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24">
        <v>46281</v>
      </c>
      <c r="B38" s="1325"/>
      <c r="C38" s="828" t="s">
        <v>13</v>
      </c>
      <c r="D38" s="841" t="s">
        <v>598</v>
      </c>
      <c r="E38" s="831">
        <v>6.9444444444444447E-4</v>
      </c>
      <c r="F38" s="831">
        <v>4.5138888888888888E-2</v>
      </c>
      <c r="G38" s="501">
        <f t="shared" si="4"/>
        <v>64</v>
      </c>
      <c r="H38" s="842" t="s">
        <v>600</v>
      </c>
      <c r="I38" s="1312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14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24">
        <v>46282</v>
      </c>
      <c r="B39" s="1325"/>
      <c r="C39" s="499" t="s">
        <v>12</v>
      </c>
      <c r="D39" s="924" t="s">
        <v>628</v>
      </c>
      <c r="E39" s="831"/>
      <c r="F39" s="831"/>
      <c r="G39" s="501">
        <f t="shared" si="4"/>
        <v>0</v>
      </c>
      <c r="H39" s="925" t="s">
        <v>629</v>
      </c>
      <c r="I39" s="1312"/>
      <c r="J39" s="812">
        <f t="shared" si="22"/>
        <v>12</v>
      </c>
      <c r="K39" s="815">
        <f t="shared" si="23"/>
        <v>1</v>
      </c>
      <c r="L39" s="1314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27">
        <v>46282</v>
      </c>
      <c r="B40" s="1328"/>
      <c r="C40" s="912" t="s">
        <v>13</v>
      </c>
      <c r="D40" s="946" t="s">
        <v>598</v>
      </c>
      <c r="E40" s="942"/>
      <c r="F40" s="942"/>
      <c r="G40" s="943">
        <f t="shared" si="4"/>
        <v>0</v>
      </c>
      <c r="H40" s="947" t="s">
        <v>635</v>
      </c>
      <c r="I40" s="1313"/>
      <c r="J40" s="944">
        <f t="shared" si="22"/>
        <v>12</v>
      </c>
      <c r="K40" s="945">
        <f t="shared" si="23"/>
        <v>1</v>
      </c>
      <c r="L40" s="1314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29">
        <v>46283</v>
      </c>
      <c r="B41" s="1330"/>
      <c r="C41" s="971" t="s">
        <v>12</v>
      </c>
      <c r="D41" s="997" t="s">
        <v>542</v>
      </c>
      <c r="E41" s="998">
        <v>6.9444444444444447E-4</v>
      </c>
      <c r="F41" s="998">
        <v>0.12222222222222222</v>
      </c>
      <c r="G41" s="999">
        <f t="shared" si="4"/>
        <v>175</v>
      </c>
      <c r="H41" s="1000" t="s">
        <v>648</v>
      </c>
      <c r="I41" s="1308">
        <v>9</v>
      </c>
      <c r="J41" s="1001">
        <f t="shared" si="22"/>
        <v>9.0833333333333339</v>
      </c>
      <c r="K41" s="1002">
        <f t="shared" si="23"/>
        <v>0.75694444444444453</v>
      </c>
      <c r="L41" s="1304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29">
        <v>46283</v>
      </c>
      <c r="B42" s="1330"/>
      <c r="C42" s="971" t="s">
        <v>13</v>
      </c>
      <c r="D42" s="1003" t="s">
        <v>649</v>
      </c>
      <c r="E42" s="998">
        <v>6.9444444444444447E-4</v>
      </c>
      <c r="F42" s="998">
        <v>6.9444444444444447E-4</v>
      </c>
      <c r="G42" s="999">
        <f t="shared" si="4"/>
        <v>0</v>
      </c>
      <c r="H42" s="1028" t="s">
        <v>650</v>
      </c>
      <c r="I42" s="1309"/>
      <c r="J42" s="1001">
        <f t="shared" si="22"/>
        <v>12</v>
      </c>
      <c r="K42" s="1002">
        <f t="shared" si="23"/>
        <v>1</v>
      </c>
      <c r="L42" s="1304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29">
        <v>46284</v>
      </c>
      <c r="B43" s="1330"/>
      <c r="C43" s="971" t="s">
        <v>12</v>
      </c>
      <c r="D43" s="1029" t="s">
        <v>509</v>
      </c>
      <c r="E43" s="998">
        <v>6.9444444444444447E-4</v>
      </c>
      <c r="F43" s="998">
        <v>6.9444444444444447E-4</v>
      </c>
      <c r="G43" s="999">
        <f t="shared" si="4"/>
        <v>0</v>
      </c>
      <c r="H43" s="1004" t="s">
        <v>650</v>
      </c>
      <c r="I43" s="1309"/>
      <c r="J43" s="1001">
        <f t="shared" si="22"/>
        <v>12</v>
      </c>
      <c r="K43" s="1002">
        <f t="shared" si="23"/>
        <v>1</v>
      </c>
      <c r="L43" s="1304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29">
        <v>46284</v>
      </c>
      <c r="B44" s="1330"/>
      <c r="C44" s="971" t="s">
        <v>13</v>
      </c>
      <c r="D44" s="1029" t="s">
        <v>652</v>
      </c>
      <c r="E44" s="998">
        <v>6.9444444444444447E-4</v>
      </c>
      <c r="F44" s="998">
        <v>0.25069444444444444</v>
      </c>
      <c r="G44" s="999">
        <f t="shared" si="4"/>
        <v>360</v>
      </c>
      <c r="H44" s="1028" t="s">
        <v>651</v>
      </c>
      <c r="I44" s="1310"/>
      <c r="J44" s="1001">
        <f t="shared" si="22"/>
        <v>6</v>
      </c>
      <c r="K44" s="1002">
        <f t="shared" si="23"/>
        <v>0.5</v>
      </c>
      <c r="L44" s="1304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27">
        <v>46285</v>
      </c>
      <c r="B45" s="1328"/>
      <c r="C45" s="912" t="s">
        <v>12</v>
      </c>
      <c r="D45" s="1035" t="s">
        <v>169</v>
      </c>
      <c r="E45" s="942">
        <v>6.9444444444444447E-4</v>
      </c>
      <c r="F45" s="942">
        <v>0.50069444444444444</v>
      </c>
      <c r="G45" s="943">
        <f t="shared" si="4"/>
        <v>720</v>
      </c>
      <c r="H45" s="1036" t="s">
        <v>654</v>
      </c>
      <c r="I45" s="1350">
        <v>10</v>
      </c>
      <c r="J45" s="944">
        <f t="shared" si="22"/>
        <v>0</v>
      </c>
      <c r="K45" s="945">
        <f t="shared" si="23"/>
        <v>0</v>
      </c>
      <c r="L45" s="1318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27">
        <v>46285</v>
      </c>
      <c r="B46" s="1328"/>
      <c r="C46" s="912" t="s">
        <v>13</v>
      </c>
      <c r="D46" s="1062" t="s">
        <v>509</v>
      </c>
      <c r="E46" s="942">
        <v>6.9444444444444447E-4</v>
      </c>
      <c r="F46" s="942">
        <v>0.50069444444444444</v>
      </c>
      <c r="G46" s="943">
        <f t="shared" ref="G46:G47" si="25">(F46-E46)*1440</f>
        <v>720</v>
      </c>
      <c r="H46" s="1063" t="s">
        <v>657</v>
      </c>
      <c r="I46" s="1351"/>
      <c r="J46" s="944">
        <f t="shared" si="22"/>
        <v>0</v>
      </c>
      <c r="K46" s="945">
        <f t="shared" si="23"/>
        <v>0</v>
      </c>
      <c r="L46" s="1318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27">
        <v>46286</v>
      </c>
      <c r="B47" s="1328"/>
      <c r="C47" s="912" t="s">
        <v>12</v>
      </c>
      <c r="D47" s="1075" t="s">
        <v>508</v>
      </c>
      <c r="E47" s="942">
        <v>6.9444444444444447E-4</v>
      </c>
      <c r="F47" s="942">
        <v>0.4</v>
      </c>
      <c r="G47" s="943">
        <f t="shared" si="25"/>
        <v>575</v>
      </c>
      <c r="H47" s="1077" t="s">
        <v>666</v>
      </c>
      <c r="I47" s="1351"/>
      <c r="J47" s="944">
        <f>(720-G47)/60</f>
        <v>2.4166666666666665</v>
      </c>
      <c r="K47" s="945">
        <f t="shared" si="23"/>
        <v>0.20138888888888887</v>
      </c>
      <c r="L47" s="1318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27">
        <v>46286</v>
      </c>
      <c r="B48" s="1328"/>
      <c r="C48" s="912" t="s">
        <v>13</v>
      </c>
      <c r="D48" s="1081" t="s">
        <v>542</v>
      </c>
      <c r="E48" s="942">
        <v>6.9444444444444447E-4</v>
      </c>
      <c r="F48" s="1082">
        <v>2.1527777777777778E-2</v>
      </c>
      <c r="G48" s="943">
        <f t="shared" ref="G48" si="27">(F48-E48)*1440</f>
        <v>30</v>
      </c>
      <c r="H48" s="1083" t="s">
        <v>668</v>
      </c>
      <c r="I48" s="1351"/>
      <c r="J48" s="944">
        <f t="shared" si="22"/>
        <v>11.5</v>
      </c>
      <c r="K48" s="945">
        <f t="shared" si="23"/>
        <v>0.95833333333333337</v>
      </c>
      <c r="L48" s="1318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27">
        <v>46287</v>
      </c>
      <c r="B49" s="1328"/>
      <c r="C49" s="912" t="s">
        <v>12</v>
      </c>
      <c r="D49" s="1087" t="s">
        <v>508</v>
      </c>
      <c r="E49" s="942">
        <v>6.9444444444444447E-4</v>
      </c>
      <c r="F49" s="942">
        <v>6.9444444444444447E-4</v>
      </c>
      <c r="G49" s="943">
        <f t="shared" ref="G49:G51" si="28">(F49-E49)*1440</f>
        <v>0</v>
      </c>
      <c r="H49" s="1088" t="s">
        <v>691</v>
      </c>
      <c r="I49" s="1351"/>
      <c r="J49" s="944">
        <f t="shared" si="22"/>
        <v>12</v>
      </c>
      <c r="K49" s="945">
        <f t="shared" si="23"/>
        <v>1</v>
      </c>
      <c r="L49" s="1318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27">
        <v>46287</v>
      </c>
      <c r="B50" s="1328"/>
      <c r="C50" s="912" t="s">
        <v>13</v>
      </c>
      <c r="D50" s="1090" t="s">
        <v>694</v>
      </c>
      <c r="E50" s="942">
        <v>6.9444444444444447E-4</v>
      </c>
      <c r="F50" s="942">
        <v>0.11527777777777778</v>
      </c>
      <c r="G50" s="943">
        <f t="shared" si="28"/>
        <v>165</v>
      </c>
      <c r="H50" s="1091" t="s">
        <v>695</v>
      </c>
      <c r="I50" s="1351"/>
      <c r="J50" s="944">
        <f t="shared" si="22"/>
        <v>9.25</v>
      </c>
      <c r="K50" s="945">
        <f t="shared" si="23"/>
        <v>0.77083333333333337</v>
      </c>
      <c r="L50" s="1318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27">
        <v>46288</v>
      </c>
      <c r="B51" s="1328"/>
      <c r="C51" s="912" t="s">
        <v>12</v>
      </c>
      <c r="D51" s="1105" t="s">
        <v>508</v>
      </c>
      <c r="E51" s="1106">
        <v>6.9444444444444447E-4</v>
      </c>
      <c r="F51" s="942">
        <v>0.18819444444444444</v>
      </c>
      <c r="G51" s="943">
        <f t="shared" si="28"/>
        <v>270</v>
      </c>
      <c r="H51" s="1107" t="s">
        <v>700</v>
      </c>
      <c r="I51" s="1351"/>
      <c r="J51" s="944">
        <f t="shared" si="22"/>
        <v>7.5</v>
      </c>
      <c r="K51" s="945">
        <f t="shared" si="23"/>
        <v>0.625</v>
      </c>
      <c r="L51" s="1318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27">
        <v>46288</v>
      </c>
      <c r="B52" s="1328"/>
      <c r="C52" s="912" t="s">
        <v>13</v>
      </c>
      <c r="D52" s="1105" t="s">
        <v>542</v>
      </c>
      <c r="E52" s="942">
        <v>6.9444444444444447E-4</v>
      </c>
      <c r="F52" s="942">
        <v>6.9444444444444447E-4</v>
      </c>
      <c r="G52" s="943">
        <f>(F52-E52)*1440</f>
        <v>0</v>
      </c>
      <c r="H52" s="1107" t="s">
        <v>701</v>
      </c>
      <c r="I52" s="1351"/>
      <c r="J52" s="944">
        <f t="shared" si="22"/>
        <v>12</v>
      </c>
      <c r="K52" s="945">
        <f t="shared" si="23"/>
        <v>1</v>
      </c>
      <c r="L52" s="1318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27">
        <v>46289</v>
      </c>
      <c r="B53" s="1328"/>
      <c r="C53" s="912" t="s">
        <v>12</v>
      </c>
      <c r="D53" s="1105" t="s">
        <v>508</v>
      </c>
      <c r="E53" s="942">
        <v>6.9444444444444447E-4</v>
      </c>
      <c r="F53" s="942">
        <v>6.9444444444444447E-4</v>
      </c>
      <c r="G53" s="943">
        <f t="shared" ref="G53:G57" si="29">(F53-E53)*1440</f>
        <v>0</v>
      </c>
      <c r="H53" s="1107" t="s">
        <v>704</v>
      </c>
      <c r="I53" s="1352"/>
      <c r="J53" s="944">
        <f t="shared" si="22"/>
        <v>12</v>
      </c>
      <c r="K53" s="945">
        <f t="shared" si="23"/>
        <v>1</v>
      </c>
      <c r="L53" s="1318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29">
        <v>46289</v>
      </c>
      <c r="B54" s="1330"/>
      <c r="C54" s="971" t="s">
        <v>13</v>
      </c>
      <c r="D54" s="1116" t="s">
        <v>169</v>
      </c>
      <c r="E54" s="998">
        <v>6.9444444444444447E-4</v>
      </c>
      <c r="F54" s="1117">
        <v>6.9444444444444447E-4</v>
      </c>
      <c r="G54" s="999">
        <f t="shared" si="29"/>
        <v>0</v>
      </c>
      <c r="H54" s="1118" t="s">
        <v>705</v>
      </c>
      <c r="I54" s="1305">
        <v>11</v>
      </c>
      <c r="J54" s="1001">
        <f t="shared" si="22"/>
        <v>12</v>
      </c>
      <c r="K54" s="1002">
        <f t="shared" si="23"/>
        <v>1</v>
      </c>
      <c r="L54" s="1318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29">
        <v>46290</v>
      </c>
      <c r="B55" s="1330"/>
      <c r="C55" s="971" t="s">
        <v>12</v>
      </c>
      <c r="D55" s="1128" t="s">
        <v>508</v>
      </c>
      <c r="E55" s="998">
        <v>6.9444444444444447E-4</v>
      </c>
      <c r="F55" s="998">
        <v>0.1125</v>
      </c>
      <c r="G55" s="999">
        <f t="shared" si="29"/>
        <v>161</v>
      </c>
      <c r="H55" s="1129" t="s">
        <v>709</v>
      </c>
      <c r="I55" s="1306"/>
      <c r="J55" s="1001">
        <f t="shared" si="22"/>
        <v>9.3166666666666664</v>
      </c>
      <c r="K55" s="1002">
        <f t="shared" si="23"/>
        <v>0.77638888888888891</v>
      </c>
      <c r="L55" s="1315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29">
        <v>46290</v>
      </c>
      <c r="B56" s="1330"/>
      <c r="C56" s="971" t="s">
        <v>13</v>
      </c>
      <c r="D56" s="1136" t="s">
        <v>741</v>
      </c>
      <c r="E56" s="998">
        <v>6.9444444444444447E-4</v>
      </c>
      <c r="F56" s="998">
        <v>0.50069444444444444</v>
      </c>
      <c r="G56" s="999">
        <f t="shared" si="29"/>
        <v>720</v>
      </c>
      <c r="H56" s="1137" t="s">
        <v>742</v>
      </c>
      <c r="I56" s="1307"/>
      <c r="J56" s="1001">
        <f t="shared" si="22"/>
        <v>0</v>
      </c>
      <c r="K56" s="1002">
        <f t="shared" si="23"/>
        <v>0</v>
      </c>
      <c r="L56" s="1315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29">
        <v>46291</v>
      </c>
      <c r="B57" s="1330"/>
      <c r="C57" s="971" t="s">
        <v>12</v>
      </c>
      <c r="D57" s="1164" t="s">
        <v>542</v>
      </c>
      <c r="E57" s="998">
        <v>6.9444444444444447E-4</v>
      </c>
      <c r="F57" s="998">
        <v>0.50069444444444444</v>
      </c>
      <c r="G57" s="999">
        <f t="shared" si="29"/>
        <v>720</v>
      </c>
      <c r="H57" s="1166" t="s">
        <v>750</v>
      </c>
      <c r="I57" s="123"/>
      <c r="J57" s="1001">
        <f t="shared" si="22"/>
        <v>0</v>
      </c>
      <c r="K57" s="1002">
        <f t="shared" si="23"/>
        <v>0</v>
      </c>
      <c r="L57" s="1315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29">
        <v>46291</v>
      </c>
      <c r="B58" s="1330"/>
      <c r="C58" s="971" t="s">
        <v>13</v>
      </c>
      <c r="D58" s="1164" t="s">
        <v>508</v>
      </c>
      <c r="E58" s="998">
        <v>6.9444444444444447E-4</v>
      </c>
      <c r="F58" s="998">
        <v>0.50069444444444444</v>
      </c>
      <c r="G58" s="999">
        <f t="shared" ref="G58:G69" si="30">(F58-E58)*1440</f>
        <v>720</v>
      </c>
      <c r="H58" s="1165" t="s">
        <v>751</v>
      </c>
      <c r="I58" s="123"/>
      <c r="J58" s="1001">
        <f t="shared" si="22"/>
        <v>0</v>
      </c>
      <c r="K58" s="1002">
        <f t="shared" si="23"/>
        <v>0</v>
      </c>
      <c r="L58" s="1315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27">
        <v>46292</v>
      </c>
      <c r="B59" s="1328"/>
      <c r="C59" s="912" t="s">
        <v>12</v>
      </c>
      <c r="D59" s="1167" t="s">
        <v>542</v>
      </c>
      <c r="E59" s="942">
        <v>6.9444444444444447E-4</v>
      </c>
      <c r="F59" s="942">
        <v>0.1673611111111111</v>
      </c>
      <c r="G59" s="943">
        <f t="shared" si="30"/>
        <v>240</v>
      </c>
      <c r="H59" s="1168" t="s">
        <v>750</v>
      </c>
      <c r="I59" s="107">
        <v>12</v>
      </c>
      <c r="J59" s="944">
        <f t="shared" si="22"/>
        <v>8</v>
      </c>
      <c r="K59" s="945">
        <f t="shared" si="23"/>
        <v>0.66666666666666663</v>
      </c>
      <c r="L59" s="1347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27">
        <v>46292</v>
      </c>
      <c r="B60" s="1328"/>
      <c r="C60" s="912" t="s">
        <v>13</v>
      </c>
      <c r="D60" s="1167" t="s">
        <v>508</v>
      </c>
      <c r="E60" s="942">
        <v>6.9444444444444447E-4</v>
      </c>
      <c r="F60" s="942">
        <v>4.2361111111111113E-2</v>
      </c>
      <c r="G60" s="943">
        <f t="shared" ref="G60" si="31">(F60-E60)*1440</f>
        <v>60.000000000000007</v>
      </c>
      <c r="H60" s="1169" t="s">
        <v>752</v>
      </c>
      <c r="I60" s="107">
        <v>12</v>
      </c>
      <c r="J60" s="944">
        <f t="shared" si="22"/>
        <v>11</v>
      </c>
      <c r="K60" s="945">
        <f t="shared" si="23"/>
        <v>0.91666666666666663</v>
      </c>
      <c r="L60" s="1347"/>
      <c r="O60" s="63"/>
      <c r="P60" s="72">
        <f>P59/60</f>
        <v>233.13333333333333</v>
      </c>
      <c r="Q60" s="44">
        <f>Q59/24</f>
        <v>18.286111111111108</v>
      </c>
      <c r="R60" s="951">
        <f>Q60+S60</f>
        <v>27.999999999999996</v>
      </c>
      <c r="S60" s="44">
        <f>S59/24</f>
        <v>9.7138888888888886</v>
      </c>
    </row>
    <row r="61" spans="1:20" x14ac:dyDescent="0.3">
      <c r="A61" s="1327">
        <v>46293</v>
      </c>
      <c r="B61" s="1328"/>
      <c r="C61" s="912" t="s">
        <v>12</v>
      </c>
      <c r="D61" s="1174" t="s">
        <v>741</v>
      </c>
      <c r="E61" s="942">
        <v>6.9444444444444447E-4</v>
      </c>
      <c r="F61" s="942">
        <v>6.9444444444444447E-4</v>
      </c>
      <c r="G61" s="943">
        <f t="shared" si="30"/>
        <v>0</v>
      </c>
      <c r="H61" s="1175" t="s">
        <v>758</v>
      </c>
      <c r="I61" s="107">
        <v>12</v>
      </c>
      <c r="J61" s="944">
        <f t="shared" si="22"/>
        <v>12</v>
      </c>
      <c r="K61" s="945">
        <f t="shared" si="23"/>
        <v>1</v>
      </c>
      <c r="L61" s="1347">
        <f>SUM(J61:J62)/24</f>
        <v>1</v>
      </c>
      <c r="M61" s="44"/>
      <c r="Q61" s="11"/>
    </row>
    <row r="62" spans="1:20" ht="28.8" x14ac:dyDescent="0.3">
      <c r="A62" s="1327">
        <v>46293</v>
      </c>
      <c r="B62" s="1328"/>
      <c r="C62" s="912" t="s">
        <v>13</v>
      </c>
      <c r="D62" s="1174" t="s">
        <v>508</v>
      </c>
      <c r="E62" s="942">
        <v>6.9444444444444447E-4</v>
      </c>
      <c r="F62" s="942">
        <v>6.9444444444444447E-4</v>
      </c>
      <c r="G62" s="943">
        <f t="shared" si="30"/>
        <v>0</v>
      </c>
      <c r="H62" s="1176" t="s">
        <v>757</v>
      </c>
      <c r="I62" s="982">
        <v>12</v>
      </c>
      <c r="J62" s="944">
        <f t="shared" si="22"/>
        <v>12</v>
      </c>
      <c r="K62" s="945">
        <f t="shared" si="23"/>
        <v>1</v>
      </c>
      <c r="L62" s="1347"/>
      <c r="N62" s="11"/>
      <c r="P62" s="11"/>
    </row>
    <row r="63" spans="1:20" x14ac:dyDescent="0.3">
      <c r="A63" s="1327">
        <v>46294</v>
      </c>
      <c r="B63" s="1328"/>
      <c r="C63" s="912" t="s">
        <v>12</v>
      </c>
      <c r="D63" s="1179" t="s">
        <v>542</v>
      </c>
      <c r="E63" s="942">
        <v>6.9444444444444447E-4</v>
      </c>
      <c r="F63" s="942">
        <v>1.4583333333333334E-2</v>
      </c>
      <c r="G63" s="943">
        <f t="shared" si="30"/>
        <v>20</v>
      </c>
      <c r="H63" s="1180" t="s">
        <v>759</v>
      </c>
      <c r="I63" s="107">
        <v>12</v>
      </c>
      <c r="J63" s="944">
        <f t="shared" si="22"/>
        <v>11.666666666666666</v>
      </c>
      <c r="K63" s="945">
        <f t="shared" si="23"/>
        <v>0.97222222222222221</v>
      </c>
      <c r="L63" s="454"/>
    </row>
    <row r="64" spans="1:20" x14ac:dyDescent="0.3">
      <c r="A64" s="1331">
        <v>46294</v>
      </c>
      <c r="B64" s="1332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31">
        <v>46295</v>
      </c>
      <c r="B65" s="1332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31">
        <v>46295</v>
      </c>
      <c r="B66" s="1332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2"/>
      <c r="S66" s="137"/>
    </row>
    <row r="67" spans="1:19" x14ac:dyDescent="0.3">
      <c r="A67" s="1331">
        <v>46296</v>
      </c>
      <c r="B67" s="1332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31">
        <v>46296</v>
      </c>
      <c r="B68" s="1332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4" t="s">
        <v>659</v>
      </c>
    </row>
    <row r="69" spans="1:19" x14ac:dyDescent="0.3">
      <c r="A69" s="1331">
        <v>46297</v>
      </c>
      <c r="B69" s="1332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G1" zoomScale="115" zoomScaleNormal="115" workbookViewId="0">
      <selection activeCell="I21" sqref="I21:J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57" t="s">
        <v>70</v>
      </c>
      <c r="C3" s="1357" t="s">
        <v>288</v>
      </c>
      <c r="D3" s="1357" t="s">
        <v>289</v>
      </c>
      <c r="E3" s="221" t="s">
        <v>292</v>
      </c>
      <c r="F3" s="221" t="s">
        <v>293</v>
      </c>
      <c r="G3" s="1360" t="s">
        <v>252</v>
      </c>
      <c r="H3" s="1361"/>
      <c r="I3" s="1361"/>
      <c r="J3" s="1362"/>
      <c r="K3" s="1369" t="s">
        <v>259</v>
      </c>
    </row>
    <row r="4" spans="2:20" x14ac:dyDescent="0.3">
      <c r="B4" s="1358"/>
      <c r="C4" s="1358"/>
      <c r="D4" s="1358"/>
      <c r="E4" s="222" t="s">
        <v>54</v>
      </c>
      <c r="F4" s="222" t="s">
        <v>294</v>
      </c>
      <c r="G4" s="1360" t="s">
        <v>265</v>
      </c>
      <c r="H4" s="1361"/>
      <c r="I4" s="1362"/>
      <c r="J4" s="132" t="s">
        <v>258</v>
      </c>
      <c r="K4" s="1369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59"/>
      <c r="C5" s="1359"/>
      <c r="D5" s="1359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69"/>
      <c r="O5" s="484" t="s">
        <v>480</v>
      </c>
      <c r="P5" s="1370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71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71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72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66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67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67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68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294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295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295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IFERROR(AVERAGE(R80:R94),"")</f>
        <v>0.13308333333333333</v>
      </c>
      <c r="H16" s="134">
        <f t="shared" ref="H16:I16" si="10">IFERROR(AVERAGE(S80:S94),"")</f>
        <v>0.56500000000000006</v>
      </c>
      <c r="I16" s="134">
        <f t="shared" si="10"/>
        <v>14.185833333333335</v>
      </c>
      <c r="J16" s="14">
        <v>3.6999999999999998E-2</v>
      </c>
      <c r="K16" s="14">
        <v>11</v>
      </c>
      <c r="O16" s="484" t="s">
        <v>480</v>
      </c>
      <c r="P16" s="1295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295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296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66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67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67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67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67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67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67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67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68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63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64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64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64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64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65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66">
        <v>6</v>
      </c>
      <c r="Q34" s="899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67"/>
      <c r="Q35" s="899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67"/>
      <c r="Q36" s="899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67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67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67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67"/>
      <c r="Q40" s="900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67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68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7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7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7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7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7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7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0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0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0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0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0">
        <v>46284</v>
      </c>
      <c r="R53" s="1080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0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0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0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0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285">
        <v>9</v>
      </c>
      <c r="Q58" s="957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286"/>
      <c r="Q59" s="957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286"/>
      <c r="Q60" s="957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286"/>
      <c r="Q61" s="957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286"/>
      <c r="Q62" s="957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286"/>
      <c r="Q63" s="957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286"/>
      <c r="Q64" s="957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286"/>
      <c r="Q65" s="957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286"/>
      <c r="Q66" s="957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287"/>
      <c r="Q67" s="957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63">
        <v>10</v>
      </c>
      <c r="Q68" s="900">
        <v>46290</v>
      </c>
      <c r="R68" s="617"/>
      <c r="S68" s="617"/>
      <c r="T68" s="617"/>
    </row>
    <row r="69" spans="15:20" x14ac:dyDescent="0.3">
      <c r="O69" s="484" t="s">
        <v>534</v>
      </c>
      <c r="P69" s="1364"/>
      <c r="Q69" s="900">
        <v>46290</v>
      </c>
      <c r="R69" s="617"/>
      <c r="S69" s="617"/>
      <c r="T69" s="617"/>
    </row>
    <row r="70" spans="15:20" x14ac:dyDescent="0.3">
      <c r="O70" s="484" t="s">
        <v>535</v>
      </c>
      <c r="P70" s="1364"/>
      <c r="Q70" s="900">
        <v>46290</v>
      </c>
      <c r="R70" s="617"/>
      <c r="S70" s="617"/>
      <c r="T70" s="617"/>
    </row>
    <row r="71" spans="15:20" x14ac:dyDescent="0.3">
      <c r="O71" s="581" t="s">
        <v>480</v>
      </c>
      <c r="P71" s="1364"/>
      <c r="Q71" s="900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64"/>
      <c r="Q72" s="900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64"/>
      <c r="Q73" s="900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64"/>
      <c r="Q74" s="900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64"/>
      <c r="Q75" s="900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64"/>
      <c r="Q76" s="900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64"/>
      <c r="Q77" s="900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64"/>
      <c r="Q78" s="900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65"/>
      <c r="Q79" s="900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54">
        <v>11</v>
      </c>
      <c r="Q80" s="957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55"/>
      <c r="Q81" s="957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55"/>
      <c r="Q82" s="957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55"/>
      <c r="Q83" s="957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55"/>
      <c r="Q84" s="957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55"/>
      <c r="Q85" s="957">
        <v>46292</v>
      </c>
      <c r="R85" s="454"/>
      <c r="S85" s="454"/>
      <c r="T85" s="454"/>
    </row>
    <row r="86" spans="15:20" ht="14.4" customHeight="1" x14ac:dyDescent="0.3">
      <c r="O86" s="453" t="s">
        <v>533</v>
      </c>
      <c r="P86" s="1355"/>
      <c r="Q86" s="957">
        <v>46293</v>
      </c>
      <c r="R86" s="454">
        <v>0.1</v>
      </c>
      <c r="S86" s="454">
        <v>0.44</v>
      </c>
      <c r="T86" s="454">
        <v>13.09</v>
      </c>
    </row>
    <row r="87" spans="15:20" ht="14.4" customHeight="1" x14ac:dyDescent="0.3">
      <c r="O87" s="453" t="s">
        <v>534</v>
      </c>
      <c r="P87" s="1355"/>
      <c r="Q87" s="957">
        <v>46293</v>
      </c>
      <c r="R87" s="454">
        <v>0.109</v>
      </c>
      <c r="S87" s="454">
        <v>0.48</v>
      </c>
      <c r="T87" s="454">
        <v>13.04</v>
      </c>
    </row>
    <row r="88" spans="15:20" ht="14.4" customHeight="1" x14ac:dyDescent="0.3">
      <c r="O88" s="453" t="s">
        <v>535</v>
      </c>
      <c r="P88" s="1355"/>
      <c r="Q88" s="957">
        <v>46293</v>
      </c>
      <c r="R88" s="454">
        <v>0.125</v>
      </c>
      <c r="S88" s="454">
        <v>0.46</v>
      </c>
      <c r="T88" s="454">
        <v>13.19</v>
      </c>
    </row>
    <row r="89" spans="15:20" ht="14.4" customHeight="1" x14ac:dyDescent="0.3">
      <c r="O89" s="453" t="s">
        <v>480</v>
      </c>
      <c r="P89" s="1355"/>
      <c r="Q89" s="957">
        <v>46293</v>
      </c>
      <c r="R89" s="454">
        <v>0.14799999999999999</v>
      </c>
      <c r="S89" s="454">
        <v>0.51</v>
      </c>
      <c r="T89" s="454">
        <v>12.78</v>
      </c>
    </row>
    <row r="90" spans="15:20" ht="14.4" customHeight="1" x14ac:dyDescent="0.3">
      <c r="O90" s="453" t="s">
        <v>481</v>
      </c>
      <c r="P90" s="1355"/>
      <c r="Q90" s="957">
        <v>46293</v>
      </c>
      <c r="R90" s="454">
        <v>0.115</v>
      </c>
      <c r="S90" s="454">
        <v>0.55000000000000004</v>
      </c>
      <c r="T90" s="454">
        <v>12.75</v>
      </c>
    </row>
    <row r="91" spans="15:20" ht="14.4" customHeight="1" x14ac:dyDescent="0.3">
      <c r="O91" s="453" t="s">
        <v>482</v>
      </c>
      <c r="P91" s="1355"/>
      <c r="Q91" s="957">
        <v>46293</v>
      </c>
      <c r="R91" s="454">
        <v>0.13300000000000001</v>
      </c>
      <c r="S91" s="454">
        <v>0.56000000000000005</v>
      </c>
      <c r="T91" s="454">
        <v>12.66</v>
      </c>
    </row>
    <row r="92" spans="15:20" x14ac:dyDescent="0.3">
      <c r="O92" s="453" t="s">
        <v>533</v>
      </c>
      <c r="P92" s="1355"/>
      <c r="Q92" s="957">
        <v>46294</v>
      </c>
      <c r="R92" s="454">
        <v>0.14199999999999999</v>
      </c>
      <c r="S92" s="454">
        <v>0.79</v>
      </c>
      <c r="T92" s="454">
        <v>15.32</v>
      </c>
    </row>
    <row r="93" spans="15:20" x14ac:dyDescent="0.3">
      <c r="O93" s="453" t="s">
        <v>534</v>
      </c>
      <c r="P93" s="1355"/>
      <c r="Q93" s="957">
        <v>46294</v>
      </c>
      <c r="R93" s="454">
        <v>0.152</v>
      </c>
      <c r="S93" s="454">
        <v>0.77</v>
      </c>
      <c r="T93" s="454">
        <v>15.12</v>
      </c>
    </row>
    <row r="94" spans="15:20" x14ac:dyDescent="0.3">
      <c r="O94" s="453" t="s">
        <v>535</v>
      </c>
      <c r="P94" s="1356"/>
      <c r="Q94" s="957">
        <v>46294</v>
      </c>
      <c r="R94" s="454">
        <v>0.13</v>
      </c>
      <c r="S94" s="454">
        <v>0.78</v>
      </c>
      <c r="T94" s="454">
        <v>15.11</v>
      </c>
    </row>
  </sheetData>
  <mergeCells count="15">
    <mergeCell ref="P80:P94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8" zoomScale="89" workbookViewId="0">
      <selection activeCell="P49" sqref="P4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00" t="s">
        <v>562</v>
      </c>
      <c r="C2" s="1200"/>
      <c r="D2" s="1200"/>
      <c r="E2" s="1200"/>
      <c r="F2" s="1200"/>
      <c r="G2" s="1200"/>
      <c r="H2" s="1200"/>
      <c r="J2" s="1200" t="s">
        <v>563</v>
      </c>
      <c r="K2" s="1200"/>
      <c r="L2" s="1200"/>
      <c r="M2" s="1200"/>
      <c r="N2" s="1200"/>
      <c r="O2" s="1200"/>
      <c r="P2" s="1200"/>
      <c r="R2" s="1192" t="s">
        <v>564</v>
      </c>
      <c r="S2" s="1194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8" t="s">
        <v>565</v>
      </c>
      <c r="S3" s="959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0">
        <v>6</v>
      </c>
      <c r="S4" s="103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192" t="s">
        <v>567</v>
      </c>
      <c r="S10" s="1193"/>
      <c r="T10" s="1194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195">
        <f>SUM(P4:P234,H4:H233)</f>
        <v>3748.86</v>
      </c>
      <c r="S11" s="1196"/>
      <c r="T11" s="1197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199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199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199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199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6" customFormat="1" x14ac:dyDescent="0.3">
      <c r="A21" s="1198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6" customFormat="1" x14ac:dyDescent="0.3">
      <c r="A22" s="1198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6" customFormat="1" x14ac:dyDescent="0.3">
      <c r="A23" s="1198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198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198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198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198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198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198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198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198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4" si="10">M40*$S$4</f>
        <v>96</v>
      </c>
      <c r="O40" s="244"/>
      <c r="P40" s="14">
        <f t="shared" ref="P40:P44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3">
        <v>46294</v>
      </c>
      <c r="L43" s="14" t="s">
        <v>13</v>
      </c>
      <c r="M43" s="14">
        <v>7</v>
      </c>
      <c r="N43" s="6">
        <f t="shared" si="10"/>
        <v>84</v>
      </c>
      <c r="O43" s="6"/>
      <c r="P43" s="6">
        <f t="shared" si="11"/>
        <v>84</v>
      </c>
    </row>
    <row r="44" spans="2:16" x14ac:dyDescent="0.3">
      <c r="B44" s="14">
        <v>44</v>
      </c>
      <c r="C44" s="63">
        <v>46294</v>
      </c>
      <c r="D44" s="14" t="s">
        <v>12</v>
      </c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3">
        <v>46295</v>
      </c>
      <c r="L44" s="14" t="s">
        <v>12</v>
      </c>
      <c r="M44" s="14">
        <v>8</v>
      </c>
      <c r="N44" s="6">
        <f t="shared" si="10"/>
        <v>96</v>
      </c>
      <c r="O44" s="6"/>
      <c r="P44" s="6">
        <f t="shared" si="11"/>
        <v>96</v>
      </c>
    </row>
    <row r="45" spans="2:16" x14ac:dyDescent="0.3">
      <c r="B45" s="14">
        <v>45</v>
      </c>
      <c r="C45" s="63">
        <v>46294</v>
      </c>
      <c r="D45" s="14" t="s">
        <v>13</v>
      </c>
      <c r="E45" s="14">
        <v>7</v>
      </c>
      <c r="F45" s="14">
        <f t="shared" si="9"/>
        <v>42</v>
      </c>
      <c r="G45" s="14"/>
      <c r="H45" s="670">
        <f t="shared" si="7"/>
        <v>42</v>
      </c>
      <c r="J45" s="14">
        <v>44</v>
      </c>
      <c r="K45" s="63">
        <v>46295</v>
      </c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3">
        <v>46295</v>
      </c>
      <c r="D46" s="14" t="s">
        <v>12</v>
      </c>
      <c r="E46" s="14">
        <v>3</v>
      </c>
      <c r="F46" s="14">
        <f t="shared" si="9"/>
        <v>18</v>
      </c>
      <c r="G46" s="14"/>
      <c r="H46" s="670">
        <f t="shared" si="7"/>
        <v>18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3">
        <v>46295</v>
      </c>
      <c r="D47" s="14" t="s">
        <v>13</v>
      </c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H1" zoomScale="72" zoomScaleNormal="85" workbookViewId="0">
      <pane ySplit="4" topLeftCell="A46" activePane="bottomLeft" state="frozen"/>
      <selection pane="bottomLeft" activeCell="N63" sqref="N63:N64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6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46" t="s">
        <v>32</v>
      </c>
      <c r="I2" s="1446"/>
      <c r="J2" s="1446"/>
      <c r="K2" s="1446"/>
    </row>
    <row r="3" spans="1:92" ht="15" thickBot="1" x14ac:dyDescent="0.35"/>
    <row r="4" spans="1:92" ht="29.4" thickBot="1" x14ac:dyDescent="0.35">
      <c r="A4" s="587" t="s">
        <v>544</v>
      </c>
      <c r="B4" s="1447" t="s">
        <v>0</v>
      </c>
      <c r="C4" s="1448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0" t="s">
        <v>583</v>
      </c>
      <c r="AB4" s="927" t="s">
        <v>512</v>
      </c>
      <c r="AC4" s="723" t="s">
        <v>580</v>
      </c>
    </row>
    <row r="5" spans="1:92" ht="30.6" customHeight="1" thickBot="1" x14ac:dyDescent="0.35">
      <c r="A5" s="1435">
        <v>1</v>
      </c>
      <c r="B5" s="1323">
        <v>46265</v>
      </c>
      <c r="C5" s="1323"/>
      <c r="D5" s="743" t="s">
        <v>440</v>
      </c>
      <c r="E5" s="743" t="s">
        <v>439</v>
      </c>
      <c r="F5" s="865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8">
        <v>1.135</v>
      </c>
      <c r="L5" s="879">
        <v>0.68</v>
      </c>
      <c r="M5" s="555">
        <f>H5*K5*G5</f>
        <v>30.116503140000003</v>
      </c>
      <c r="N5" s="1415">
        <f>SUM(M5:M6)</f>
        <v>95.90021999999999</v>
      </c>
      <c r="O5" s="555">
        <f t="shared" ref="O5:O11" si="1">M5/((720-R5)/60)</f>
        <v>2.8865657961661344</v>
      </c>
      <c r="P5" s="1415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23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5"/>
      <c r="AB5" s="928">
        <f t="shared" ref="AB5:AB49" si="5">W5*$AC$5</f>
        <v>72806646.340949997</v>
      </c>
      <c r="AC5" s="724">
        <v>2500000</v>
      </c>
      <c r="AE5" s="721"/>
      <c r="AG5" s="1405" t="s">
        <v>38</v>
      </c>
      <c r="AH5" s="1406"/>
      <c r="AI5" s="1406"/>
      <c r="AJ5" s="1407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35"/>
      <c r="B6" s="1323"/>
      <c r="C6" s="1323"/>
      <c r="D6" s="743" t="s">
        <v>441</v>
      </c>
      <c r="E6" s="743" t="s">
        <v>439</v>
      </c>
      <c r="F6" s="865" t="s">
        <v>13</v>
      </c>
      <c r="G6" s="814">
        <v>0.36</v>
      </c>
      <c r="H6" s="1101">
        <f>J6-H5</f>
        <v>98.859999999999985</v>
      </c>
      <c r="I6" s="555">
        <f t="shared" si="0"/>
        <v>8.2383333333333315</v>
      </c>
      <c r="J6" s="555">
        <v>215.7</v>
      </c>
      <c r="K6" s="878">
        <v>1.2350000000000001</v>
      </c>
      <c r="L6" s="879">
        <v>0.68</v>
      </c>
      <c r="M6" s="555">
        <f>(J6*K6*G6)-SUM(M5)</f>
        <v>65.783716859999984</v>
      </c>
      <c r="N6" s="1415"/>
      <c r="O6" s="555">
        <f t="shared" si="1"/>
        <v>5.4819764049999984</v>
      </c>
      <c r="P6" s="1415"/>
      <c r="Q6" s="555">
        <f t="shared" si="2"/>
        <v>720</v>
      </c>
      <c r="R6" s="555">
        <f>'Milling Down Time Hours'!G6</f>
        <v>0</v>
      </c>
      <c r="S6" s="1423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5"/>
      <c r="AB6" s="929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35"/>
      <c r="B7" s="1323">
        <v>46266</v>
      </c>
      <c r="C7" s="1323"/>
      <c r="D7" s="743" t="s">
        <v>440</v>
      </c>
      <c r="E7" s="743" t="s">
        <v>439</v>
      </c>
      <c r="F7" s="865" t="s">
        <v>12</v>
      </c>
      <c r="G7" s="879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8">
        <v>1.2549999999999999</v>
      </c>
      <c r="L7" s="879">
        <v>0.7</v>
      </c>
      <c r="M7" s="555">
        <f>(J7*K7*G7)-SUM(M5:M6)</f>
        <v>78.8661855</v>
      </c>
      <c r="N7" s="1415">
        <f>SUM(M7:M8)</f>
        <v>196.41338000000002</v>
      </c>
      <c r="O7" s="555">
        <f t="shared" si="1"/>
        <v>6.5721821250000003</v>
      </c>
      <c r="P7" s="1415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23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5"/>
      <c r="AA7" s="1"/>
      <c r="AB7" s="929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35"/>
      <c r="B8" s="1323"/>
      <c r="C8" s="1323"/>
      <c r="D8" s="744" t="s">
        <v>441</v>
      </c>
      <c r="E8" s="744" t="s">
        <v>442</v>
      </c>
      <c r="F8" s="865" t="s">
        <v>13</v>
      </c>
      <c r="G8" s="879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8">
        <v>1.28</v>
      </c>
      <c r="L8" s="879">
        <v>0.7</v>
      </c>
      <c r="M8" s="555">
        <f>(K8*J8*G8)-(SUM(M5:M7))</f>
        <v>117.54719450000002</v>
      </c>
      <c r="N8" s="1415"/>
      <c r="O8" s="555">
        <f t="shared" si="1"/>
        <v>10.78414628440367</v>
      </c>
      <c r="P8" s="1415"/>
      <c r="Q8" s="555">
        <f t="shared" si="2"/>
        <v>654</v>
      </c>
      <c r="R8" s="555">
        <f>'Milling Down Time Hours'!G8</f>
        <v>66</v>
      </c>
      <c r="S8" s="1423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5"/>
      <c r="AA8" s="1"/>
      <c r="AB8" s="929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37">
        <v>2</v>
      </c>
      <c r="B9" s="1325">
        <v>46267</v>
      </c>
      <c r="C9" s="1325"/>
      <c r="D9" s="745" t="s">
        <v>440</v>
      </c>
      <c r="E9" s="745" t="s">
        <v>445</v>
      </c>
      <c r="F9" s="783" t="s">
        <v>12</v>
      </c>
      <c r="G9" s="880">
        <v>0.39</v>
      </c>
      <c r="H9" s="619">
        <f>J9</f>
        <v>215</v>
      </c>
      <c r="I9" s="487">
        <f t="shared" si="0"/>
        <v>21.5</v>
      </c>
      <c r="J9" s="619">
        <v>215</v>
      </c>
      <c r="K9" s="1103">
        <v>1.26</v>
      </c>
      <c r="L9" s="880">
        <v>0.72</v>
      </c>
      <c r="M9" s="487">
        <f>J9*K9*G9</f>
        <v>105.651</v>
      </c>
      <c r="N9" s="1438">
        <f>SUM(M9:M10)</f>
        <v>209.804</v>
      </c>
      <c r="O9" s="487">
        <f t="shared" si="1"/>
        <v>10.565099999999999</v>
      </c>
      <c r="P9" s="1438">
        <f>'Milling Down Time Hours'!Q7</f>
        <v>22</v>
      </c>
      <c r="Q9" s="487">
        <f t="shared" si="2"/>
        <v>600</v>
      </c>
      <c r="R9" s="936">
        <f>'Milling Down Time Hours'!G9</f>
        <v>120.00000000000001</v>
      </c>
      <c r="S9" s="1418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0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37"/>
      <c r="B10" s="1325"/>
      <c r="C10" s="1325"/>
      <c r="D10" s="745" t="s">
        <v>444</v>
      </c>
      <c r="E10" s="499"/>
      <c r="F10" s="783" t="s">
        <v>13</v>
      </c>
      <c r="G10" s="880">
        <v>0.4</v>
      </c>
      <c r="H10" s="619">
        <f>J10-H9</f>
        <v>198</v>
      </c>
      <c r="I10" s="487">
        <f t="shared" si="0"/>
        <v>16.5</v>
      </c>
      <c r="J10" s="619">
        <v>413</v>
      </c>
      <c r="K10" s="1103">
        <v>1.27</v>
      </c>
      <c r="L10" s="880">
        <v>0.72</v>
      </c>
      <c r="M10" s="487">
        <f>K10*J10*G10-SUM(M9)</f>
        <v>104.15300000000001</v>
      </c>
      <c r="N10" s="1438"/>
      <c r="O10" s="487">
        <f t="shared" si="1"/>
        <v>8.6794166666666666</v>
      </c>
      <c r="P10" s="1438"/>
      <c r="Q10" s="487">
        <f t="shared" si="2"/>
        <v>720</v>
      </c>
      <c r="R10" s="936">
        <f>'Milling Down Time Hours'!G10</f>
        <v>0</v>
      </c>
      <c r="S10" s="1418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0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37"/>
      <c r="B11" s="1325">
        <v>46268</v>
      </c>
      <c r="C11" s="1325"/>
      <c r="D11" s="745" t="s">
        <v>440</v>
      </c>
      <c r="E11" s="746" t="s">
        <v>471</v>
      </c>
      <c r="F11" s="783" t="s">
        <v>12</v>
      </c>
      <c r="G11" s="880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3">
        <v>1.2949999999999999</v>
      </c>
      <c r="L11" s="880">
        <v>0.71</v>
      </c>
      <c r="M11" s="487">
        <f>J11*K11*G11-SUM(M9:M10)</f>
        <v>90.338150000000013</v>
      </c>
      <c r="N11" s="1438">
        <f>SUM(M11:M12)</f>
        <v>90.338150000000013</v>
      </c>
      <c r="O11" s="487">
        <f t="shared" si="1"/>
        <v>7.5281791666666678</v>
      </c>
      <c r="P11" s="1438">
        <f>'Milling Down Time Hours'!Q8</f>
        <v>23</v>
      </c>
      <c r="Q11" s="487">
        <f t="shared" si="2"/>
        <v>720</v>
      </c>
      <c r="R11" s="936">
        <f>'Milling Down Time Hours'!G11</f>
        <v>0</v>
      </c>
      <c r="S11" s="1418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0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37"/>
      <c r="B12" s="1334"/>
      <c r="C12" s="1334"/>
      <c r="D12" s="789" t="s">
        <v>444</v>
      </c>
      <c r="E12" s="790" t="s">
        <v>467</v>
      </c>
      <c r="F12" s="913" t="s">
        <v>13</v>
      </c>
      <c r="G12" s="894"/>
      <c r="H12" s="871"/>
      <c r="I12" s="556"/>
      <c r="J12" s="871"/>
      <c r="K12" s="871"/>
      <c r="L12" s="881"/>
      <c r="M12" s="556">
        <f t="shared" ref="M12:M76" si="7">H12*K12*G12</f>
        <v>0</v>
      </c>
      <c r="N12" s="1432"/>
      <c r="O12" s="556"/>
      <c r="P12" s="1432"/>
      <c r="Q12" s="556">
        <f t="shared" si="2"/>
        <v>660</v>
      </c>
      <c r="R12" s="962">
        <f>'Milling Down Time Hours'!G12</f>
        <v>60.000000000000007</v>
      </c>
      <c r="S12" s="1412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3"/>
      <c r="AA12" s="1"/>
      <c r="AB12" s="931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5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57"/>
      <c r="B13" s="1442">
        <v>46269</v>
      </c>
      <c r="C13" s="1349"/>
      <c r="D13" s="1455" t="s">
        <v>484</v>
      </c>
      <c r="E13" s="732"/>
      <c r="F13" s="914" t="s">
        <v>12</v>
      </c>
      <c r="G13" s="895"/>
      <c r="H13" s="872"/>
      <c r="I13" s="797"/>
      <c r="J13" s="872"/>
      <c r="K13" s="872"/>
      <c r="L13" s="872"/>
      <c r="M13" s="797">
        <f t="shared" si="7"/>
        <v>0</v>
      </c>
      <c r="N13" s="797"/>
      <c r="O13" s="872">
        <v>0</v>
      </c>
      <c r="P13" s="797">
        <f>'Milling Down Time Hours'!Q9</f>
        <v>0</v>
      </c>
      <c r="Q13" s="797"/>
      <c r="R13" s="1440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1"/>
      <c r="AB13" s="931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5"/>
    </row>
    <row r="14" spans="1:92" ht="16.2" thickBot="1" x14ac:dyDescent="0.35">
      <c r="A14" s="1457"/>
      <c r="B14" s="1443"/>
      <c r="C14" s="1336"/>
      <c r="D14" s="1456"/>
      <c r="E14" s="800"/>
      <c r="F14" s="915" t="s">
        <v>13</v>
      </c>
      <c r="G14" s="882"/>
      <c r="H14" s="873"/>
      <c r="I14" s="802"/>
      <c r="J14" s="873"/>
      <c r="K14" s="873"/>
      <c r="L14" s="882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41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2"/>
      <c r="AB14" s="931">
        <f t="shared" si="5"/>
        <v>0</v>
      </c>
      <c r="AG14" s="704"/>
      <c r="AH14" s="705"/>
      <c r="AI14" s="705"/>
      <c r="AJ14" s="706"/>
      <c r="AK14" s="8"/>
      <c r="AL14" s="1115"/>
    </row>
    <row r="15" spans="1:92" x14ac:dyDescent="0.3">
      <c r="A15" s="747"/>
      <c r="B15" s="1434">
        <v>46270</v>
      </c>
      <c r="C15" s="1434"/>
      <c r="D15" s="792"/>
      <c r="E15" s="792" t="s">
        <v>485</v>
      </c>
      <c r="F15" s="911" t="s">
        <v>12</v>
      </c>
      <c r="G15" s="867"/>
      <c r="H15" s="867"/>
      <c r="I15" s="794"/>
      <c r="J15" s="867"/>
      <c r="K15" s="867"/>
      <c r="L15" s="883"/>
      <c r="M15" s="794">
        <f t="shared" si="7"/>
        <v>0</v>
      </c>
      <c r="N15" s="867"/>
      <c r="O15" s="867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1"/>
      <c r="AB15" s="931">
        <f t="shared" si="5"/>
        <v>0</v>
      </c>
      <c r="AL15" s="1115"/>
      <c r="AM15" s="1115"/>
    </row>
    <row r="16" spans="1:92" x14ac:dyDescent="0.3">
      <c r="A16" s="1435">
        <v>3</v>
      </c>
      <c r="B16" s="1323">
        <v>46270</v>
      </c>
      <c r="C16" s="1323"/>
      <c r="D16" s="546" t="s">
        <v>441</v>
      </c>
      <c r="E16" s="572" t="s">
        <v>486</v>
      </c>
      <c r="F16" s="865" t="s">
        <v>13</v>
      </c>
      <c r="G16" s="879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79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23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5"/>
      <c r="AB16" s="929">
        <f t="shared" si="5"/>
        <v>71509192.454375014</v>
      </c>
    </row>
    <row r="17" spans="1:32" x14ac:dyDescent="0.3">
      <c r="A17" s="1435"/>
      <c r="B17" s="1323">
        <v>46271</v>
      </c>
      <c r="C17" s="1323"/>
      <c r="D17" s="601" t="s">
        <v>441</v>
      </c>
      <c r="E17" s="601" t="s">
        <v>506</v>
      </c>
      <c r="F17" s="865" t="s">
        <v>12</v>
      </c>
      <c r="G17" s="879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79">
        <v>0.65</v>
      </c>
      <c r="M17" s="555">
        <f>J17*K17*G17-SUM(M16)-'Au Cal Leaching Tank'!$T$10</f>
        <v>53.646499999999968</v>
      </c>
      <c r="N17" s="1415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35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5"/>
      <c r="AB17" s="929">
        <f t="shared" si="5"/>
        <v>121017562.91666658</v>
      </c>
      <c r="AE17" s="44"/>
      <c r="AF17" s="8"/>
    </row>
    <row r="18" spans="1:32" x14ac:dyDescent="0.3">
      <c r="A18" s="1435"/>
      <c r="B18" s="1323"/>
      <c r="C18" s="1323"/>
      <c r="D18" s="601" t="s">
        <v>440</v>
      </c>
      <c r="E18" s="602"/>
      <c r="F18" s="865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79">
        <v>0.65</v>
      </c>
      <c r="M18" s="555">
        <f>J18*K18*G18-SUM(M16:M17)-'Au Cal Leaching Tank'!$T$10</f>
        <v>119.67800000000005</v>
      </c>
      <c r="N18" s="1415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35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5"/>
      <c r="AB18" s="929">
        <f t="shared" si="5"/>
        <v>243644461.66666678</v>
      </c>
      <c r="AC18" s="118"/>
    </row>
    <row r="19" spans="1:32" x14ac:dyDescent="0.3">
      <c r="A19" s="1435"/>
      <c r="B19" s="1323">
        <v>46272</v>
      </c>
      <c r="C19" s="1323"/>
      <c r="D19" s="601" t="s">
        <v>169</v>
      </c>
      <c r="E19" s="748" t="s">
        <v>518</v>
      </c>
      <c r="F19" s="865" t="s">
        <v>12</v>
      </c>
      <c r="G19" s="879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79">
        <v>0.73</v>
      </c>
      <c r="M19" s="555">
        <f>J19*K19*G19-SUM(M16:M18)-'Au Cal Leaching Tank'!$T$10</f>
        <v>127.33200000000005</v>
      </c>
      <c r="N19" s="1436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35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5"/>
      <c r="AB19" s="929">
        <f t="shared" si="5"/>
        <v>290316960.00000006</v>
      </c>
    </row>
    <row r="20" spans="1:32" x14ac:dyDescent="0.3">
      <c r="A20" s="1437">
        <v>4</v>
      </c>
      <c r="B20" s="1325">
        <v>46272</v>
      </c>
      <c r="C20" s="1325"/>
      <c r="D20" s="550" t="s">
        <v>509</v>
      </c>
      <c r="E20" s="625" t="s">
        <v>549</v>
      </c>
      <c r="F20" s="783" t="s">
        <v>13</v>
      </c>
      <c r="G20" s="880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0">
        <v>0.73</v>
      </c>
      <c r="M20" s="487">
        <f>J20*K20*G20-'Au Cal Leaching Tank'!$T$11</f>
        <v>58.259900000000002</v>
      </c>
      <c r="N20" s="1416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18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0">
        <f t="shared" si="5"/>
        <v>77242917.416666687</v>
      </c>
    </row>
    <row r="21" spans="1:32" x14ac:dyDescent="0.3">
      <c r="A21" s="1437"/>
      <c r="B21" s="1325">
        <v>46273</v>
      </c>
      <c r="C21" s="1325"/>
      <c r="D21" s="551" t="s">
        <v>169</v>
      </c>
      <c r="E21" s="551" t="s">
        <v>519</v>
      </c>
      <c r="F21" s="783" t="s">
        <v>12</v>
      </c>
      <c r="G21" s="880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0">
        <v>0.75</v>
      </c>
      <c r="M21" s="487">
        <f>J21*K21*G21-'Au Cal Leaching Tank'!$T$11-SUM(M20)</f>
        <v>106.05519999999997</v>
      </c>
      <c r="N21" s="1438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18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0">
        <f t="shared" si="5"/>
        <v>171455906.66666663</v>
      </c>
    </row>
    <row r="22" spans="1:32" x14ac:dyDescent="0.3">
      <c r="A22" s="1437"/>
      <c r="B22" s="1325"/>
      <c r="C22" s="1325"/>
      <c r="D22" s="749" t="s">
        <v>523</v>
      </c>
      <c r="E22" s="750" t="s">
        <v>529</v>
      </c>
      <c r="F22" s="783" t="s">
        <v>13</v>
      </c>
      <c r="G22" s="880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0">
        <v>0.75</v>
      </c>
      <c r="M22" s="487">
        <f>J22*K22*G22-'Au Cal Leaching Tank'!$T$11-SUM(M20:M21)</f>
        <v>87.771600000000035</v>
      </c>
      <c r="N22" s="1439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18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0">
        <f t="shared" si="5"/>
        <v>139337415.00000003</v>
      </c>
    </row>
    <row r="23" spans="1:32" ht="28.8" x14ac:dyDescent="0.3">
      <c r="A23" s="1437"/>
      <c r="B23" s="1325">
        <v>46274</v>
      </c>
      <c r="C23" s="1325"/>
      <c r="D23" s="750" t="s">
        <v>169</v>
      </c>
      <c r="E23" s="751" t="s">
        <v>521</v>
      </c>
      <c r="F23" s="783" t="s">
        <v>12</v>
      </c>
      <c r="G23" s="880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0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18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0">
        <f t="shared" si="5"/>
        <v>96029968.499999955</v>
      </c>
    </row>
    <row r="24" spans="1:32" x14ac:dyDescent="0.3">
      <c r="A24" s="747"/>
      <c r="B24" s="1332">
        <v>46274</v>
      </c>
      <c r="C24" s="1332"/>
      <c r="D24" s="752" t="s">
        <v>523</v>
      </c>
      <c r="E24" s="753" t="s">
        <v>548</v>
      </c>
      <c r="F24" s="747" t="s">
        <v>13</v>
      </c>
      <c r="G24" s="884"/>
      <c r="H24" s="234"/>
      <c r="I24" s="155"/>
      <c r="J24" s="234"/>
      <c r="K24" s="234"/>
      <c r="L24" s="88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1">
        <f t="shared" si="5"/>
        <v>0</v>
      </c>
    </row>
    <row r="25" spans="1:32" x14ac:dyDescent="0.3">
      <c r="A25" s="1435">
        <v>5</v>
      </c>
      <c r="B25" s="1323">
        <v>46275</v>
      </c>
      <c r="C25" s="1323"/>
      <c r="D25" s="577" t="s">
        <v>169</v>
      </c>
      <c r="E25" s="578" t="s">
        <v>522</v>
      </c>
      <c r="F25" s="865" t="s">
        <v>12</v>
      </c>
      <c r="G25" s="879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79">
        <v>0.75</v>
      </c>
      <c r="M25" s="555">
        <f>J25*K25*G25-'Au Cal Leaching Tank'!$T$12</f>
        <v>123.06580000000004</v>
      </c>
      <c r="N25" s="1415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23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5"/>
      <c r="AB25" s="929">
        <f t="shared" si="5"/>
        <v>224595085.00000006</v>
      </c>
    </row>
    <row r="26" spans="1:32" x14ac:dyDescent="0.3">
      <c r="A26" s="1435"/>
      <c r="B26" s="1323"/>
      <c r="C26" s="1323"/>
      <c r="D26" s="579" t="s">
        <v>541</v>
      </c>
      <c r="E26" s="580"/>
      <c r="F26" s="865" t="s">
        <v>13</v>
      </c>
      <c r="G26" s="879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79">
        <v>0.75</v>
      </c>
      <c r="M26" s="555">
        <f>(J26*K26*G26-'Au Cal Leaching Tank'!$T$12)-M25</f>
        <v>139.02199999999993</v>
      </c>
      <c r="N26" s="1416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23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5"/>
      <c r="AB26" s="929">
        <f t="shared" si="5"/>
        <v>179338379.99999991</v>
      </c>
    </row>
    <row r="27" spans="1:32" ht="28.8" x14ac:dyDescent="0.3">
      <c r="A27" s="1435"/>
      <c r="B27" s="1323">
        <v>46276</v>
      </c>
      <c r="C27" s="1323"/>
      <c r="D27" s="579" t="s">
        <v>540</v>
      </c>
      <c r="E27" s="840" t="s">
        <v>554</v>
      </c>
      <c r="F27" s="865" t="s">
        <v>12</v>
      </c>
      <c r="G27" s="879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79">
        <v>0.75</v>
      </c>
      <c r="M27" s="555">
        <f>(J27*K27*G27-'Au Cal Leaching Tank'!$T$12)-SUM(M25:M26)</f>
        <v>4.8980000000000814</v>
      </c>
      <c r="N27" s="1415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23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5"/>
      <c r="AB27" s="929">
        <f t="shared" si="5"/>
        <v>6318420.0000001052</v>
      </c>
      <c r="AD27" s="446"/>
    </row>
    <row r="28" spans="1:32" x14ac:dyDescent="0.3">
      <c r="A28" s="783"/>
      <c r="B28" s="1325">
        <v>46276</v>
      </c>
      <c r="C28" s="1325"/>
      <c r="D28" s="788" t="s">
        <v>540</v>
      </c>
      <c r="E28" s="974" t="s">
        <v>582</v>
      </c>
      <c r="F28" s="783" t="s">
        <v>12</v>
      </c>
      <c r="G28" s="880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0">
        <v>0.75</v>
      </c>
      <c r="M28" s="487">
        <f>(J28*K28*G28)-'Au Cal Leaching Tank'!$T$13</f>
        <v>60.108412500000014</v>
      </c>
      <c r="N28" s="1415"/>
      <c r="O28" s="890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18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0">
        <f t="shared" si="5"/>
        <v>214687213.31250003</v>
      </c>
      <c r="AD28" s="446"/>
    </row>
    <row r="29" spans="1:32" ht="28.8" x14ac:dyDescent="0.3">
      <c r="A29" s="1437">
        <v>6</v>
      </c>
      <c r="B29" s="1325">
        <v>46276</v>
      </c>
      <c r="C29" s="1325"/>
      <c r="D29" s="489" t="s">
        <v>550</v>
      </c>
      <c r="E29" s="839" t="s">
        <v>547</v>
      </c>
      <c r="F29" s="783" t="s">
        <v>13</v>
      </c>
      <c r="G29" s="880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0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18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0">
        <f t="shared" si="5"/>
        <v>33202181.250000007</v>
      </c>
    </row>
    <row r="30" spans="1:32" ht="28.8" x14ac:dyDescent="0.3">
      <c r="A30" s="1437"/>
      <c r="B30" s="1325">
        <v>46277</v>
      </c>
      <c r="C30" s="1325"/>
      <c r="D30" s="625" t="s">
        <v>551</v>
      </c>
      <c r="E30" s="754" t="s">
        <v>552</v>
      </c>
      <c r="F30" s="783" t="s">
        <v>12</v>
      </c>
      <c r="G30" s="880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0">
        <v>0.75</v>
      </c>
      <c r="M30" s="487">
        <f>(J30*K30*G30)-'Au Cal Leaching Tank'!$T$13-SUM(M28:M29)</f>
        <v>120.49319999999999</v>
      </c>
      <c r="N30" s="1438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18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0">
        <f t="shared" si="5"/>
        <v>91976475.999999985</v>
      </c>
    </row>
    <row r="31" spans="1:32" x14ac:dyDescent="0.3">
      <c r="A31" s="1437"/>
      <c r="B31" s="1325"/>
      <c r="C31" s="1325"/>
      <c r="D31" s="755" t="s">
        <v>570</v>
      </c>
      <c r="E31" s="755" t="s">
        <v>571</v>
      </c>
      <c r="F31" s="783" t="s">
        <v>13</v>
      </c>
      <c r="G31" s="880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0">
        <v>0.75</v>
      </c>
      <c r="M31" s="487">
        <f>(J31*K31*G31)-'Au Cal Leaching Tank'!$T$13-SUM(M28:M30)</f>
        <v>46.31880000000001</v>
      </c>
      <c r="N31" s="1438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18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0">
        <f t="shared" si="5"/>
        <v>35356684.000000007</v>
      </c>
      <c r="AC31" s="137"/>
    </row>
    <row r="32" spans="1:32" x14ac:dyDescent="0.3">
      <c r="A32" s="1449"/>
      <c r="B32" s="1332">
        <v>46278</v>
      </c>
      <c r="C32" s="1332"/>
      <c r="D32" s="756" t="s">
        <v>572</v>
      </c>
      <c r="E32" s="756" t="s">
        <v>571</v>
      </c>
      <c r="F32" s="747" t="s">
        <v>12</v>
      </c>
      <c r="G32" s="896"/>
      <c r="H32" s="234"/>
      <c r="I32" s="155"/>
      <c r="J32" s="234"/>
      <c r="K32" s="234"/>
      <c r="L32" s="88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1">
        <f t="shared" si="5"/>
        <v>0</v>
      </c>
    </row>
    <row r="33" spans="1:33" x14ac:dyDescent="0.3">
      <c r="A33" s="1450"/>
      <c r="B33" s="1332">
        <v>46278</v>
      </c>
      <c r="C33" s="1332"/>
      <c r="D33" s="756" t="s">
        <v>572</v>
      </c>
      <c r="E33" s="756" t="s">
        <v>571</v>
      </c>
      <c r="F33" s="747" t="s">
        <v>13</v>
      </c>
      <c r="G33" s="234"/>
      <c r="H33" s="234"/>
      <c r="I33" s="874"/>
      <c r="J33" s="234"/>
      <c r="K33" s="234"/>
      <c r="L33" s="234"/>
      <c r="M33" s="874"/>
      <c r="N33" s="234"/>
      <c r="O33" s="874"/>
      <c r="P33" s="234"/>
      <c r="Q33" s="874"/>
      <c r="R33" s="234"/>
      <c r="S33" s="14"/>
      <c r="T33" s="6"/>
      <c r="U33" s="6"/>
      <c r="V33" s="6"/>
      <c r="W33" s="6"/>
      <c r="X33" s="14"/>
      <c r="Y33" s="14"/>
      <c r="Z33" s="747"/>
      <c r="AB33" s="931">
        <f t="shared" si="5"/>
        <v>0</v>
      </c>
    </row>
    <row r="34" spans="1:33" x14ac:dyDescent="0.3">
      <c r="B34" s="1428">
        <v>46279</v>
      </c>
      <c r="C34" s="1429"/>
      <c r="D34" s="756" t="s">
        <v>572</v>
      </c>
      <c r="E34" s="756" t="s">
        <v>571</v>
      </c>
      <c r="F34" s="747" t="s">
        <v>12</v>
      </c>
      <c r="G34" s="896"/>
      <c r="H34" s="234"/>
      <c r="I34" s="234"/>
      <c r="J34" s="234"/>
      <c r="K34" s="234"/>
      <c r="L34" s="88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1">
        <f t="shared" si="5"/>
        <v>0</v>
      </c>
    </row>
    <row r="35" spans="1:33" ht="15" thickBot="1" x14ac:dyDescent="0.35">
      <c r="A35" s="1454">
        <v>7</v>
      </c>
      <c r="B35" s="1430">
        <v>46279</v>
      </c>
      <c r="C35" s="1431"/>
      <c r="D35" s="757" t="s">
        <v>169</v>
      </c>
      <c r="E35" s="758" t="s">
        <v>581</v>
      </c>
      <c r="F35" s="865" t="s">
        <v>13</v>
      </c>
      <c r="G35" s="879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79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17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5">
        <v>3.2</v>
      </c>
      <c r="AB35" s="930">
        <f t="shared" si="5"/>
        <v>126415465.03999998</v>
      </c>
      <c r="AC35" s="11"/>
    </row>
    <row r="36" spans="1:33" x14ac:dyDescent="0.3">
      <c r="A36" s="1454"/>
      <c r="B36" s="1424">
        <v>46280</v>
      </c>
      <c r="C36" s="1425"/>
      <c r="D36" s="818" t="s">
        <v>523</v>
      </c>
      <c r="E36" s="818" t="s">
        <v>590</v>
      </c>
      <c r="F36" s="916" t="s">
        <v>12</v>
      </c>
      <c r="G36" s="879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79">
        <v>0.75</v>
      </c>
      <c r="M36" s="555">
        <f>(J36*K36*G36)-'Au Cal Leaching Tank'!$T$14-SUM(M35)</f>
        <v>81.933325925999952</v>
      </c>
      <c r="N36" s="1415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71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5">
        <v>5.3</v>
      </c>
      <c r="AB36" s="930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454"/>
      <c r="B37" s="1426"/>
      <c r="C37" s="1427"/>
      <c r="D37" s="771" t="s">
        <v>516</v>
      </c>
      <c r="E37" s="838" t="s">
        <v>630</v>
      </c>
      <c r="F37" s="917" t="s">
        <v>13</v>
      </c>
      <c r="G37" s="897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5">
        <v>1.2150000000000001</v>
      </c>
      <c r="L37" s="879">
        <v>0.75</v>
      </c>
      <c r="M37" s="555">
        <f>(J37*K37*G37)-'Au Cal Leaching Tank'!$T$14-SUM(M35:M36)</f>
        <v>84.15322978100005</v>
      </c>
      <c r="N37" s="1415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72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5">
        <v>8.4</v>
      </c>
      <c r="AB37" s="930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53">
        <v>8</v>
      </c>
      <c r="B38" s="1419">
        <v>46281</v>
      </c>
      <c r="C38" s="1420"/>
      <c r="D38" s="489" t="s">
        <v>626</v>
      </c>
      <c r="E38" s="828" t="s">
        <v>592</v>
      </c>
      <c r="F38" s="918" t="s">
        <v>12</v>
      </c>
      <c r="G38" s="898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0">
        <v>0.75</v>
      </c>
      <c r="M38" s="886">
        <f>(J38*K38*G38)-'Au Cal Leaching Tank'!$T$15</f>
        <v>117.10293023999996</v>
      </c>
      <c r="N38" s="1412">
        <f>SUM(M38:M39)</f>
        <v>171.64785532499997</v>
      </c>
      <c r="O38" s="534">
        <f t="shared" si="15"/>
        <v>9.7585775199999976</v>
      </c>
      <c r="P38" s="936">
        <f t="shared" si="19"/>
        <v>12</v>
      </c>
      <c r="Q38" s="487">
        <f t="shared" si="20"/>
        <v>720</v>
      </c>
      <c r="R38" s="487">
        <f>'Milling Down Time Hours'!G37</f>
        <v>0</v>
      </c>
      <c r="S38" s="1412">
        <f>SUM(M38:M41)</f>
        <v>365.71778205599998</v>
      </c>
      <c r="T38" s="829">
        <f>AVERAGE('LT Ball Mill'!F76:F78)</f>
        <v>0.45166666666666666</v>
      </c>
      <c r="U38" s="829">
        <f>AVERAGE('LT Ball Mill'!G76:G78)</f>
        <v>0.6333333333333333</v>
      </c>
      <c r="V38" s="829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0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53"/>
      <c r="B39" s="1421"/>
      <c r="C39" s="1422"/>
      <c r="D39" s="828" t="s">
        <v>598</v>
      </c>
      <c r="E39" s="828" t="s">
        <v>599</v>
      </c>
      <c r="F39" s="913" t="s">
        <v>13</v>
      </c>
      <c r="G39" s="898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0">
        <v>0.75</v>
      </c>
      <c r="M39" s="886">
        <f>(J39*K39*G39)-'Au Cal Leaching Tank'!$T$15-SUM(M38)</f>
        <v>54.544925085000003</v>
      </c>
      <c r="N39" s="1414"/>
      <c r="O39" s="534">
        <f>IFERROR(M39/P39,"")</f>
        <v>4.9888650992378052</v>
      </c>
      <c r="P39" s="936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13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0">
        <f t="shared" si="5"/>
        <v>80181039.874949992</v>
      </c>
      <c r="AE39" s="1">
        <v>70</v>
      </c>
    </row>
    <row r="40" spans="1:33" ht="37.200000000000003" customHeight="1" thickBot="1" x14ac:dyDescent="0.35">
      <c r="A40" s="1453"/>
      <c r="B40" s="1419">
        <v>46282</v>
      </c>
      <c r="C40" s="1420"/>
      <c r="D40" s="489" t="s">
        <v>626</v>
      </c>
      <c r="E40" s="923" t="s">
        <v>627</v>
      </c>
      <c r="F40" s="918" t="s">
        <v>12</v>
      </c>
      <c r="G40" s="880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0">
        <v>0.75</v>
      </c>
      <c r="M40" s="886">
        <f>(J40*K40*G40)-'Au Cal Leaching Tank'!$T$15-SUM(M38:M39)</f>
        <v>115.12942664999997</v>
      </c>
      <c r="N40" s="1432">
        <f>SUM(M40:M41)</f>
        <v>194.06992673100001</v>
      </c>
      <c r="O40" s="534">
        <f>IFERROR(M40/P40,"")</f>
        <v>9.594118887499997</v>
      </c>
      <c r="P40" s="936">
        <f t="shared" si="19"/>
        <v>12</v>
      </c>
      <c r="Q40" s="556">
        <f t="shared" si="20"/>
        <v>720</v>
      </c>
      <c r="R40" s="556">
        <f>'Milling Down Time Hours'!G39</f>
        <v>0</v>
      </c>
      <c r="S40" s="1413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0">
        <f t="shared" si="5"/>
        <v>176819611.09662494</v>
      </c>
      <c r="AC40" s="137"/>
      <c r="AE40" s="1">
        <v>60</v>
      </c>
    </row>
    <row r="41" spans="1:33" ht="29.4" thickBot="1" x14ac:dyDescent="0.35">
      <c r="A41" s="1453"/>
      <c r="B41" s="1421"/>
      <c r="C41" s="1422"/>
      <c r="D41" s="948" t="s">
        <v>598</v>
      </c>
      <c r="E41" s="961" t="s">
        <v>641</v>
      </c>
      <c r="F41" s="949" t="s">
        <v>13</v>
      </c>
      <c r="G41" s="939">
        <v>0.34</v>
      </c>
      <c r="H41" s="936">
        <f>J41-'Au Cal Leaching Tank'!$S$15-SUM(H38:H40)</f>
        <v>215.69916000000012</v>
      </c>
      <c r="I41" s="936">
        <f t="shared" ref="I41:I43" si="21">H41/((720-R41)/60)</f>
        <v>17.974930000000011</v>
      </c>
      <c r="J41" s="936">
        <f t="shared" si="18"/>
        <v>970.64621999999997</v>
      </c>
      <c r="K41" s="452">
        <v>1.22</v>
      </c>
      <c r="L41" s="939">
        <v>0.75</v>
      </c>
      <c r="M41" s="886">
        <f>(J41*K41*G41)-'Au Cal Leaching Tank'!$T$15-SUM(M38:M40)</f>
        <v>78.940500081000039</v>
      </c>
      <c r="N41" s="1433"/>
      <c r="O41" s="534">
        <f>IFERROR(M41/P41,"")</f>
        <v>6.5783750067500035</v>
      </c>
      <c r="P41" s="936">
        <f t="shared" si="19"/>
        <v>12</v>
      </c>
      <c r="Q41" s="556">
        <f t="shared" si="20"/>
        <v>720</v>
      </c>
      <c r="R41" s="556">
        <f>'Milling Down Time Hours'!G40</f>
        <v>0</v>
      </c>
      <c r="S41" s="1414"/>
      <c r="T41" s="980">
        <f>AVERAGE('LT Ball Mill'!F85:F87)</f>
        <v>0.68533333333333335</v>
      </c>
      <c r="U41" s="980">
        <f>AVERAGE('LT Ball Mill'!G85:G87)</f>
        <v>0.55000000000000004</v>
      </c>
      <c r="V41" s="980">
        <f>AVERAGE('LT Ball Mill'!H85:H87)</f>
        <v>9.6166666666666671</v>
      </c>
      <c r="W41" s="981">
        <f t="shared" si="3"/>
        <v>54.10055605551203</v>
      </c>
      <c r="X41" s="936">
        <f t="shared" si="6"/>
        <v>43.417275044550024</v>
      </c>
      <c r="Y41" s="936">
        <f t="shared" si="4"/>
        <v>759.14447577895044</v>
      </c>
      <c r="Z41" s="982">
        <v>10.8</v>
      </c>
      <c r="AB41" s="930">
        <f t="shared" si="5"/>
        <v>135251390.13878009</v>
      </c>
      <c r="AC41" s="137"/>
      <c r="AD41" s="137"/>
      <c r="AE41" s="1">
        <v>60</v>
      </c>
    </row>
    <row r="42" spans="1:33" ht="15" thickBot="1" x14ac:dyDescent="0.35">
      <c r="A42" s="1452">
        <v>9</v>
      </c>
      <c r="B42" s="1399">
        <v>46283</v>
      </c>
      <c r="C42" s="1400"/>
      <c r="D42" s="669" t="s">
        <v>646</v>
      </c>
      <c r="E42" s="669" t="s">
        <v>645</v>
      </c>
      <c r="F42" s="963" t="s">
        <v>12</v>
      </c>
      <c r="G42" s="964">
        <v>0.34</v>
      </c>
      <c r="H42" s="967">
        <f>J42-'Au Cal Leaching Tank'!$S$18</f>
        <v>323.54831999999988</v>
      </c>
      <c r="I42" s="967">
        <f t="shared" si="21"/>
        <v>35.619998532110074</v>
      </c>
      <c r="J42" s="967">
        <f t="shared" si="18"/>
        <v>431.3983199999999</v>
      </c>
      <c r="K42" s="965">
        <v>1.22</v>
      </c>
      <c r="L42" s="964">
        <v>0.75</v>
      </c>
      <c r="M42" s="966">
        <f>(J42*K42*G42)-'Au Cal Leaching Tank'!$T$16</f>
        <v>135.87951813599997</v>
      </c>
      <c r="N42" s="1373">
        <f>SUM(M42:M43)</f>
        <v>229.75179256799998</v>
      </c>
      <c r="O42" s="968">
        <f t="shared" si="15"/>
        <v>14.959213005798162</v>
      </c>
      <c r="P42" s="967">
        <f t="shared" si="19"/>
        <v>9.0833333333333339</v>
      </c>
      <c r="Q42" s="979">
        <f t="shared" si="20"/>
        <v>545</v>
      </c>
      <c r="R42" s="967">
        <f>'Milling Down Time Hours'!G41</f>
        <v>175</v>
      </c>
      <c r="S42" s="1373">
        <f>SUM(M42:M45)</f>
        <v>472.85193585999997</v>
      </c>
      <c r="T42" s="1005">
        <f>AVERAGE('LT Ball Mill'!F88:F90)</f>
        <v>0.7679999999999999</v>
      </c>
      <c r="U42" s="1005">
        <f>AVERAGE('LT Ball Mill'!G88:G90)</f>
        <v>0.53666666666666674</v>
      </c>
      <c r="V42" s="1005">
        <f>AVERAGE('LT Ball Mill'!H88:H90)</f>
        <v>12.049999999999999</v>
      </c>
      <c r="W42" s="969">
        <f t="shared" si="3"/>
        <v>104.35546992844796</v>
      </c>
      <c r="X42" s="967">
        <f t="shared" si="6"/>
        <v>72.922008066319989</v>
      </c>
      <c r="Y42" s="967">
        <f t="shared" si="4"/>
        <v>1637.3481935387995</v>
      </c>
      <c r="Z42" s="970">
        <v>4.8</v>
      </c>
      <c r="AB42" s="930">
        <f t="shared" si="5"/>
        <v>260888674.8211199</v>
      </c>
      <c r="AE42" s="1">
        <v>60</v>
      </c>
    </row>
    <row r="43" spans="1:33" ht="15" thickBot="1" x14ac:dyDescent="0.35">
      <c r="A43" s="1452"/>
      <c r="B43" s="1401"/>
      <c r="C43" s="1402"/>
      <c r="D43" s="988" t="s">
        <v>598</v>
      </c>
      <c r="E43" s="978" t="s">
        <v>644</v>
      </c>
      <c r="F43" s="972" t="s">
        <v>13</v>
      </c>
      <c r="G43" s="964">
        <v>0.36</v>
      </c>
      <c r="H43" s="967">
        <f>J43-'Au Cal Leaching Tank'!$S$18-SUM(H42)</f>
        <v>179.74930000000006</v>
      </c>
      <c r="I43" s="967">
        <f t="shared" si="21"/>
        <v>14.979108333333338</v>
      </c>
      <c r="J43" s="967">
        <f>3.14*Z43*((10.7/2)^2)</f>
        <v>611.14761999999996</v>
      </c>
      <c r="K43" s="965">
        <v>1.24</v>
      </c>
      <c r="L43" s="964">
        <v>0.75</v>
      </c>
      <c r="M43" s="966">
        <f>(J43*K43*G43)-'Au Cal Leaching Tank'!$T$16-SUM(M42)</f>
        <v>93.872274432000012</v>
      </c>
      <c r="N43" s="1404"/>
      <c r="O43" s="968">
        <f t="shared" ref="O43:O49" si="22">IFERROR(M43/P43,"")</f>
        <v>7.8226895360000013</v>
      </c>
      <c r="P43" s="967">
        <f t="shared" ref="P43:P45" si="23">(720-R43)/60</f>
        <v>12</v>
      </c>
      <c r="Q43" s="967">
        <f t="shared" si="20"/>
        <v>720</v>
      </c>
      <c r="R43" s="967">
        <f>'Milling Down Time Hours'!G42</f>
        <v>0</v>
      </c>
      <c r="S43" s="1374"/>
      <c r="T43" s="973">
        <f>AVERAGE('LT Ball Mill'!F91:F93)</f>
        <v>0.51666666666666672</v>
      </c>
      <c r="U43" s="973">
        <f>AVERAGE('LT Ball Mill'!G91:G93)</f>
        <v>0.71666666666666667</v>
      </c>
      <c r="V43" s="973">
        <f>AVERAGE('LT Ball Mill'!H91:H93)</f>
        <v>11.409999999999998</v>
      </c>
      <c r="W43" s="969">
        <f t="shared" si="3"/>
        <v>48.500675123200011</v>
      </c>
      <c r="X43" s="967">
        <f t="shared" si="6"/>
        <v>67.275130009600005</v>
      </c>
      <c r="Y43" s="967">
        <f t="shared" si="4"/>
        <v>1071.0826512691199</v>
      </c>
      <c r="Z43" s="970">
        <v>6.8</v>
      </c>
      <c r="AB43" s="930">
        <f t="shared" si="5"/>
        <v>121251687.80800003</v>
      </c>
      <c r="AE43" s="1">
        <v>72</v>
      </c>
    </row>
    <row r="44" spans="1:33" ht="15" thickBot="1" x14ac:dyDescent="0.35">
      <c r="A44" s="1452"/>
      <c r="B44" s="1399">
        <v>46284</v>
      </c>
      <c r="C44" s="1400"/>
      <c r="D44" s="669" t="s">
        <v>646</v>
      </c>
      <c r="E44" s="669" t="s">
        <v>644</v>
      </c>
      <c r="F44" s="963" t="s">
        <v>12</v>
      </c>
      <c r="G44" s="964">
        <v>0.35</v>
      </c>
      <c r="H44" s="967">
        <f>J44-'Au Cal Leaching Tank'!$S$18-SUM(H43)</f>
        <v>575.19733999999971</v>
      </c>
      <c r="I44" s="967">
        <f>H44/((720-R44)/60)</f>
        <v>47.93311166666664</v>
      </c>
      <c r="J44" s="967">
        <f>3.14*Z44*((10.7/2)^2)</f>
        <v>862.7966399999998</v>
      </c>
      <c r="K44" s="965">
        <v>1.23</v>
      </c>
      <c r="L44" s="964">
        <v>0.75</v>
      </c>
      <c r="M44" s="966">
        <f>(J44*K44*G44)-'Au Cal Leaching Tank'!$T$16-SUM(M42:M43)</f>
        <v>98.617655951999893</v>
      </c>
      <c r="N44" s="1373">
        <f>SUM(M44:M45)</f>
        <v>243.10014329199998</v>
      </c>
      <c r="O44" s="968">
        <f t="shared" si="22"/>
        <v>8.2181379959999905</v>
      </c>
      <c r="P44" s="967">
        <f t="shared" si="23"/>
        <v>12</v>
      </c>
      <c r="Q44" s="967">
        <f t="shared" si="20"/>
        <v>720</v>
      </c>
      <c r="R44" s="967">
        <f>'Milling Down Time Hours'!G43</f>
        <v>0</v>
      </c>
      <c r="S44" s="1374"/>
      <c r="T44" s="1005">
        <f>AVERAGE('LT Ball Mill'!F94:F96)</f>
        <v>0.59099999999999997</v>
      </c>
      <c r="U44" s="1005">
        <f>AVERAGE('LT Ball Mill'!G94:G96)</f>
        <v>0.96666666666666679</v>
      </c>
      <c r="V44" s="1005">
        <f>AVERAGE('LT Ball Mill'!H94:H96)</f>
        <v>16.586666666666662</v>
      </c>
      <c r="W44" s="969">
        <f t="shared" si="3"/>
        <v>58.283034667631931</v>
      </c>
      <c r="X44" s="967">
        <f t="shared" si="6"/>
        <v>95.330400753599903</v>
      </c>
      <c r="Y44" s="967">
        <f t="shared" si="4"/>
        <v>1635.7381867238378</v>
      </c>
      <c r="Z44" s="970">
        <v>9.6</v>
      </c>
      <c r="AB44" s="930">
        <f t="shared" si="5"/>
        <v>145707586.66907984</v>
      </c>
      <c r="AE44" s="1">
        <v>72</v>
      </c>
    </row>
    <row r="45" spans="1:33" ht="29.4" thickBot="1" x14ac:dyDescent="0.35">
      <c r="A45" s="1452"/>
      <c r="B45" s="1401"/>
      <c r="C45" s="1402"/>
      <c r="D45" s="988" t="s">
        <v>647</v>
      </c>
      <c r="E45" s="1042" t="s">
        <v>656</v>
      </c>
      <c r="F45" s="972" t="s">
        <v>13</v>
      </c>
      <c r="G45" s="964">
        <v>0.4</v>
      </c>
      <c r="H45" s="967">
        <f>J45-'Au Cal Leaching Tank'!$S$18-SUM(H44)</f>
        <v>332.53620500000022</v>
      </c>
      <c r="I45" s="967">
        <f>H45/((720-R45)/60)</f>
        <v>55.422700833333373</v>
      </c>
      <c r="J45" s="967">
        <f>3.14*Z45*((10.7/2)^2)</f>
        <v>1015.583545</v>
      </c>
      <c r="K45" s="965">
        <v>1.27</v>
      </c>
      <c r="L45" s="964">
        <v>0.75</v>
      </c>
      <c r="M45" s="966">
        <f>(J45*K45*G45)-'Au Cal Leaching Tank'!$T$16-SUM(M42:M44)</f>
        <v>144.48248734000009</v>
      </c>
      <c r="N45" s="1404"/>
      <c r="O45" s="968">
        <f>IFERROR(M45/P45,"")</f>
        <v>24.080414556666682</v>
      </c>
      <c r="P45" s="967">
        <f t="shared" si="23"/>
        <v>6</v>
      </c>
      <c r="Q45" s="967">
        <f t="shared" si="20"/>
        <v>360</v>
      </c>
      <c r="R45" s="967">
        <f>'Milling Down Time Hours'!G44</f>
        <v>360</v>
      </c>
      <c r="S45" s="1375"/>
      <c r="T45" s="973">
        <f>AVERAGE('LT Ball Mill'!F97:F99)</f>
        <v>0.54733333333333334</v>
      </c>
      <c r="U45" s="973">
        <f>AVERAGE('LT Ball Mill'!G97:G99)</f>
        <v>1.2333333333333332</v>
      </c>
      <c r="V45" s="973">
        <f>AVERAGE('LT Ball Mill'!H97:H99)</f>
        <v>18.656666666666666</v>
      </c>
      <c r="W45" s="969">
        <f t="shared" si="3"/>
        <v>79.080081404093377</v>
      </c>
      <c r="X45" s="967">
        <f>M45*U45</f>
        <v>178.19506771933342</v>
      </c>
      <c r="Y45" s="967">
        <f t="shared" si="4"/>
        <v>2695.5616054732682</v>
      </c>
      <c r="Z45" s="970">
        <v>11.3</v>
      </c>
      <c r="AB45" s="930">
        <f t="shared" si="5"/>
        <v>197700203.51023343</v>
      </c>
      <c r="AE45" s="1">
        <v>60</v>
      </c>
    </row>
    <row r="46" spans="1:33" ht="29.4" thickBot="1" x14ac:dyDescent="0.35">
      <c r="A46" s="1451">
        <v>10</v>
      </c>
      <c r="B46" s="1393">
        <v>46285</v>
      </c>
      <c r="C46" s="1394"/>
      <c r="D46" s="453" t="s">
        <v>508</v>
      </c>
      <c r="E46" s="453" t="s">
        <v>655</v>
      </c>
      <c r="F46" s="1037" t="s">
        <v>12</v>
      </c>
      <c r="G46" s="452" t="s">
        <v>684</v>
      </c>
      <c r="H46" s="936" t="s">
        <v>685</v>
      </c>
      <c r="I46" s="936" t="s">
        <v>686</v>
      </c>
      <c r="J46" s="1086" t="s">
        <v>687</v>
      </c>
      <c r="K46" s="452" t="s">
        <v>688</v>
      </c>
      <c r="L46" s="939" t="s">
        <v>689</v>
      </c>
      <c r="M46" s="1038" t="s">
        <v>690</v>
      </c>
      <c r="N46" s="1089" t="s">
        <v>693</v>
      </c>
      <c r="O46" s="1039" t="str">
        <f t="shared" si="22"/>
        <v/>
      </c>
      <c r="P46" s="936">
        <f t="shared" ref="P46" si="24">(720-R46)/60</f>
        <v>0</v>
      </c>
      <c r="Q46" s="936">
        <f t="shared" ref="Q46" si="25">720-R46</f>
        <v>0</v>
      </c>
      <c r="R46" s="936">
        <f>'Milling Down Time Hours'!G45</f>
        <v>720</v>
      </c>
      <c r="S46" s="453"/>
      <c r="T46" s="1040"/>
      <c r="U46" s="1040"/>
      <c r="V46" s="1041"/>
      <c r="W46" s="981" t="e">
        <f t="shared" si="3"/>
        <v>#VALUE!</v>
      </c>
      <c r="X46" s="936" t="e">
        <f t="shared" si="6"/>
        <v>#VALUE!</v>
      </c>
      <c r="Y46" s="936" t="e">
        <f t="shared" si="4"/>
        <v>#VALUE!</v>
      </c>
      <c r="Z46" s="982">
        <v>0</v>
      </c>
      <c r="AB46" s="930" t="e">
        <f>W46*$AC$5</f>
        <v>#VALUE!</v>
      </c>
      <c r="AE46" s="1">
        <v>72</v>
      </c>
    </row>
    <row r="47" spans="1:33" ht="15" customHeight="1" thickBot="1" x14ac:dyDescent="0.35">
      <c r="A47" s="1451"/>
      <c r="B47" s="1395"/>
      <c r="C47" s="1396"/>
      <c r="D47" s="1061" t="s">
        <v>509</v>
      </c>
      <c r="E47" s="1061" t="s">
        <v>655</v>
      </c>
      <c r="F47" s="949" t="s">
        <v>13</v>
      </c>
      <c r="G47" s="936" t="s">
        <v>679</v>
      </c>
      <c r="H47" s="936" t="s">
        <v>679</v>
      </c>
      <c r="I47" s="936" t="s">
        <v>679</v>
      </c>
      <c r="J47" s="936" t="s">
        <v>679</v>
      </c>
      <c r="K47" s="936" t="s">
        <v>679</v>
      </c>
      <c r="L47" s="936" t="s">
        <v>679</v>
      </c>
      <c r="M47" s="936" t="s">
        <v>679</v>
      </c>
      <c r="N47" s="936" t="s">
        <v>679</v>
      </c>
      <c r="O47" s="936" t="s">
        <v>679</v>
      </c>
      <c r="P47" s="936" t="s">
        <v>679</v>
      </c>
      <c r="Q47" s="936" t="s">
        <v>679</v>
      </c>
      <c r="R47" s="936" t="s">
        <v>679</v>
      </c>
      <c r="S47" s="936" t="s">
        <v>679</v>
      </c>
      <c r="T47" s="936" t="s">
        <v>679</v>
      </c>
      <c r="U47" s="936" t="s">
        <v>679</v>
      </c>
      <c r="V47" s="936" t="s">
        <v>679</v>
      </c>
      <c r="W47" s="936" t="s">
        <v>679</v>
      </c>
      <c r="X47" s="936" t="s">
        <v>679</v>
      </c>
      <c r="Y47" s="936" t="s">
        <v>679</v>
      </c>
      <c r="Z47" s="936" t="s">
        <v>679</v>
      </c>
      <c r="AB47" s="930" t="e">
        <f t="shared" si="5"/>
        <v>#VALUE!</v>
      </c>
      <c r="AE47" s="1">
        <v>72</v>
      </c>
    </row>
    <row r="48" spans="1:33" ht="15" customHeight="1" thickBot="1" x14ac:dyDescent="0.35">
      <c r="A48" s="1451"/>
      <c r="B48" s="1393">
        <v>46286</v>
      </c>
      <c r="C48" s="1394"/>
      <c r="D48" s="453" t="s">
        <v>508</v>
      </c>
      <c r="E48" s="453" t="s">
        <v>663</v>
      </c>
      <c r="F48" s="1037" t="s">
        <v>12</v>
      </c>
      <c r="G48" s="939">
        <v>0.3</v>
      </c>
      <c r="H48" s="936">
        <f>J48-'Au Cal Leaching Tank'!$S$18</f>
        <v>62.911834999999996</v>
      </c>
      <c r="I48" s="936">
        <f t="shared" ref="I48:I54" si="26">H48/((720-R48)/60)</f>
        <v>26.032483448275862</v>
      </c>
      <c r="J48" s="936">
        <f t="shared" ref="J48:J51" si="27">3.14*Z48*((10.7/2)^2)</f>
        <v>170.76183499999999</v>
      </c>
      <c r="K48" s="452">
        <v>1.19</v>
      </c>
      <c r="L48" s="939">
        <v>0.72</v>
      </c>
      <c r="M48" s="1038">
        <f>(J48*K48*G48)-'Au Cal Leaching Tank'!$T$17</f>
        <v>14.721287594999986</v>
      </c>
      <c r="N48" s="1376">
        <f>SUM(M48:M49)</f>
        <v>95.832260473499986</v>
      </c>
      <c r="O48" s="1039">
        <f>IFERROR(M48/P48,"")</f>
        <v>6.0915672806896497</v>
      </c>
      <c r="P48" s="936">
        <f t="shared" ref="P48:P49" si="28">(720-R48)/60</f>
        <v>2.4166666666666665</v>
      </c>
      <c r="Q48" s="936">
        <f t="shared" ref="Q48:Q49" si="29">720-R48</f>
        <v>145</v>
      </c>
      <c r="R48" s="936">
        <f>'Milling Down Time Hours'!G47</f>
        <v>575</v>
      </c>
      <c r="S48" s="1376">
        <f>SUM(M48:M54)</f>
        <v>389.3044488509999</v>
      </c>
      <c r="T48" s="1084">
        <f>AVERAGE('LT Ball Mill'!F100:F102)</f>
        <v>0.9860000000000001</v>
      </c>
      <c r="U48" s="1084">
        <f>AVERAGE('LT Ball Mill'!G100:G102)</f>
        <v>1.99</v>
      </c>
      <c r="V48" s="1084">
        <f>AVERAGE('LT Ball Mill'!H100:H102)</f>
        <v>20.026666666666667</v>
      </c>
      <c r="W48" s="936">
        <f>T48*M48</f>
        <v>14.515189568669987</v>
      </c>
      <c r="X48" s="936">
        <f>U48*M48</f>
        <v>29.295362314049971</v>
      </c>
      <c r="Y48" s="936">
        <f>V48*M48</f>
        <v>294.81831956919973</v>
      </c>
      <c r="Z48" s="982">
        <v>1.9</v>
      </c>
      <c r="AB48" s="930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51"/>
      <c r="B49" s="1395"/>
      <c r="C49" s="1396"/>
      <c r="D49" s="1079" t="s">
        <v>541</v>
      </c>
      <c r="E49" s="1085" t="s">
        <v>681</v>
      </c>
      <c r="F49" s="949" t="s">
        <v>13</v>
      </c>
      <c r="G49" s="939">
        <v>0.28999999999999998</v>
      </c>
      <c r="H49" s="936">
        <f>J49-'Au Cal Leaching Tank'!$S$18-SUM(H48)</f>
        <v>242.66155499999991</v>
      </c>
      <c r="I49" s="936">
        <f t="shared" si="26"/>
        <v>21.101004782608687</v>
      </c>
      <c r="J49" s="936">
        <f t="shared" si="27"/>
        <v>413.42338999999993</v>
      </c>
      <c r="K49" s="452">
        <v>1.1850000000000001</v>
      </c>
      <c r="L49" s="939">
        <v>0.67</v>
      </c>
      <c r="M49" s="1038">
        <f>(J49*K49*G49)-'Au Cal Leaching Tank'!$T$17-SUM(M48)</f>
        <v>81.110972878500007</v>
      </c>
      <c r="N49" s="1403"/>
      <c r="O49" s="1039">
        <f t="shared" si="22"/>
        <v>7.0531280763913049</v>
      </c>
      <c r="P49" s="936">
        <f t="shared" si="28"/>
        <v>11.5</v>
      </c>
      <c r="Q49" s="936">
        <f t="shared" si="29"/>
        <v>690</v>
      </c>
      <c r="R49" s="936">
        <f>'Milling Down Time Hours'!G48</f>
        <v>30</v>
      </c>
      <c r="S49" s="1377"/>
      <c r="T49" s="980">
        <f>AVERAGE('LT Ball Mill'!F103:F105)</f>
        <v>0.55333333333333334</v>
      </c>
      <c r="U49" s="980">
        <f>AVERAGE('LT Ball Mill'!G103:G105)</f>
        <v>1.2133333333333332</v>
      </c>
      <c r="V49" s="980">
        <f>AVERAGE('LT Ball Mill'!H103:H105)</f>
        <v>18.866666666666667</v>
      </c>
      <c r="W49" s="936">
        <f>T49*M49</f>
        <v>44.881404992770008</v>
      </c>
      <c r="X49" s="936">
        <f>U49*M49</f>
        <v>98.414647092579997</v>
      </c>
      <c r="Y49" s="936">
        <f>V49*M49</f>
        <v>1530.2936883077002</v>
      </c>
      <c r="Z49" s="982">
        <v>4.5999999999999996</v>
      </c>
      <c r="AB49" s="930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51"/>
      <c r="B50" s="1393">
        <v>46287</v>
      </c>
      <c r="C50" s="1394"/>
      <c r="D50" s="453" t="s">
        <v>682</v>
      </c>
      <c r="E50" s="453" t="s">
        <v>683</v>
      </c>
      <c r="F50" s="1037" t="s">
        <v>12</v>
      </c>
      <c r="G50" s="939">
        <v>0.35</v>
      </c>
      <c r="H50" s="936">
        <f>J50-'Au Cal Leaching Tank'!$S$18-SUM(H48:H49)</f>
        <v>143.79944</v>
      </c>
      <c r="I50" s="936">
        <f t="shared" si="26"/>
        <v>11.983286666666666</v>
      </c>
      <c r="J50" s="936">
        <f t="shared" si="27"/>
        <v>557.22282999999993</v>
      </c>
      <c r="K50" s="452">
        <v>1.2250000000000001</v>
      </c>
      <c r="L50" s="939">
        <v>0.61</v>
      </c>
      <c r="M50" s="1038">
        <f>(J50*K50*G50)-'Au Cal Leaching Tank'!$T$17-SUM(M48:M49)</f>
        <v>96.836340388999986</v>
      </c>
      <c r="N50" s="1376">
        <f>SUM(M50:M51)</f>
        <v>182.93176135649995</v>
      </c>
      <c r="O50" s="1039">
        <f t="shared" ref="O50:O53" si="30">IFERROR(M50/P50,"")</f>
        <v>8.0696950324166661</v>
      </c>
      <c r="P50" s="962">
        <f t="shared" ref="P50:P58" si="31">(720-R50)/60</f>
        <v>12</v>
      </c>
      <c r="Q50" s="962">
        <f t="shared" ref="Q50:Q51" si="32">720-R50</f>
        <v>720</v>
      </c>
      <c r="R50" s="962">
        <f>'Milling Down Time Hours'!G49</f>
        <v>0</v>
      </c>
      <c r="S50" s="1377"/>
      <c r="T50" s="1109">
        <f>AVERAGE('LT Ball Mill'!F106:F108)</f>
        <v>0.82600000000000007</v>
      </c>
      <c r="U50" s="1109">
        <f>AVERAGE('LT Ball Mill'!G106:G108)</f>
        <v>1.1100000000000001</v>
      </c>
      <c r="V50" s="1109">
        <f>AVERAGE('LT Ball Mill'!H106:H108)</f>
        <v>19.606666666666669</v>
      </c>
      <c r="W50" s="1095">
        <f>T50*M50</f>
        <v>79.986817161313994</v>
      </c>
      <c r="X50" s="962">
        <f>U50*M50</f>
        <v>107.48833783178999</v>
      </c>
      <c r="Y50" s="962">
        <f>V50*M50</f>
        <v>1898.6378472269932</v>
      </c>
      <c r="Z50" s="949">
        <v>6.2</v>
      </c>
      <c r="AE50" s="1">
        <v>72</v>
      </c>
      <c r="AG50" s="1">
        <v>69</v>
      </c>
    </row>
    <row r="51" spans="1:33" ht="15" customHeight="1" thickBot="1" x14ac:dyDescent="0.35">
      <c r="A51" s="1451"/>
      <c r="B51" s="1395"/>
      <c r="C51" s="1396"/>
      <c r="D51" s="1092" t="s">
        <v>509</v>
      </c>
      <c r="E51" s="1092" t="s">
        <v>697</v>
      </c>
      <c r="F51" s="949" t="s">
        <v>13</v>
      </c>
      <c r="G51" s="939">
        <v>0.35</v>
      </c>
      <c r="H51" s="936">
        <f>J51-'Au Cal Leaching Tank'!$S$18-SUM(H48:H50)</f>
        <v>197.72422999999992</v>
      </c>
      <c r="I51" s="936">
        <f t="shared" si="26"/>
        <v>21.375592432432423</v>
      </c>
      <c r="J51" s="936">
        <f t="shared" si="27"/>
        <v>754.94705999999985</v>
      </c>
      <c r="K51" s="452">
        <v>1.23</v>
      </c>
      <c r="L51" s="939">
        <v>0.67</v>
      </c>
      <c r="M51" s="1038">
        <f>(J51*K51*G51)-'Au Cal Leaching Tank'!$T$17-SUM(M48:M50)</f>
        <v>86.095420967499962</v>
      </c>
      <c r="N51" s="1403"/>
      <c r="O51" s="1039">
        <f t="shared" si="30"/>
        <v>9.307613077567563</v>
      </c>
      <c r="P51" s="936">
        <f t="shared" si="31"/>
        <v>9.25</v>
      </c>
      <c r="Q51" s="936">
        <f t="shared" si="32"/>
        <v>555</v>
      </c>
      <c r="R51" s="936">
        <f>'Milling Down Time Hours'!G50</f>
        <v>165</v>
      </c>
      <c r="S51" s="1377"/>
      <c r="T51" s="1121">
        <f>AVERAGE('LT Ball Mill'!F109:F111)</f>
        <v>0.749</v>
      </c>
      <c r="U51" s="1121">
        <f>AVERAGE('LT Ball Mill'!G109:G111)</f>
        <v>1.0666666666666667</v>
      </c>
      <c r="V51" s="1121">
        <f>AVERAGE('LT Ball Mill'!H109:H111)</f>
        <v>15.506666666666668</v>
      </c>
      <c r="W51" s="981">
        <f t="shared" ref="W51:W53" si="33">T51*M51</f>
        <v>64.485470304657468</v>
      </c>
      <c r="X51" s="936">
        <f t="shared" ref="X51:X53" si="34">U51*M51</f>
        <v>91.835115698666627</v>
      </c>
      <c r="Y51" s="936">
        <f t="shared" ref="Y51:Y53" si="35">V51*M51</f>
        <v>1335.0529944693662</v>
      </c>
      <c r="Z51" s="982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51"/>
      <c r="B52" s="1393">
        <v>46288</v>
      </c>
      <c r="C52" s="1394"/>
      <c r="D52" s="453" t="s">
        <v>508</v>
      </c>
      <c r="E52" s="453" t="s">
        <v>699</v>
      </c>
      <c r="F52" s="1037" t="s">
        <v>12</v>
      </c>
      <c r="G52" s="939">
        <v>0.36</v>
      </c>
      <c r="H52" s="936">
        <f>J52-'Au Cal Leaching Tank'!$S$18-SUM(H48:H51)</f>
        <v>80.887185000000045</v>
      </c>
      <c r="I52" s="936">
        <f t="shared" si="26"/>
        <v>10.784958000000007</v>
      </c>
      <c r="J52" s="936">
        <f>3.14*Z52*((10.7/2)^2)</f>
        <v>835.8342449999999</v>
      </c>
      <c r="K52" s="452">
        <v>1.2350000000000001</v>
      </c>
      <c r="L52" s="939">
        <v>0.64</v>
      </c>
      <c r="M52" s="1038">
        <f>(J52*K52*G52)-'Au Cal Leaching Tank'!$T$17-SUM(M48:M51)</f>
        <v>46.607195997000019</v>
      </c>
      <c r="N52" s="1376">
        <f>SUM(M52:M53)</f>
        <v>69.643866285000001</v>
      </c>
      <c r="O52" s="1039">
        <f t="shared" si="30"/>
        <v>6.2142927996000026</v>
      </c>
      <c r="P52" s="936">
        <f t="shared" si="31"/>
        <v>7.5</v>
      </c>
      <c r="Q52" s="936">
        <f t="shared" ref="Q52:Q53" si="36">720-R52</f>
        <v>450</v>
      </c>
      <c r="R52" s="936">
        <f>'Milling Down Time Hours'!G51</f>
        <v>270</v>
      </c>
      <c r="S52" s="1377"/>
      <c r="T52" s="1122">
        <f>AVERAGE('LT Ball Mill'!F112:F114)</f>
        <v>1.0543333333333333</v>
      </c>
      <c r="U52" s="1122">
        <f>AVERAGE('LT Ball Mill'!G112:G114)</f>
        <v>0.93333333333333324</v>
      </c>
      <c r="V52" s="1122">
        <f>AVERAGE('LT Ball Mill'!H112:H114)</f>
        <v>18.046666666666667</v>
      </c>
      <c r="W52" s="1096">
        <f t="shared" si="33"/>
        <v>49.139520312837021</v>
      </c>
      <c r="X52" s="1039">
        <f t="shared" si="34"/>
        <v>43.500049597200011</v>
      </c>
      <c r="Y52" s="1039">
        <f t="shared" si="35"/>
        <v>841.10453042586039</v>
      </c>
      <c r="Z52" s="1097">
        <v>9.3000000000000007</v>
      </c>
      <c r="AE52" s="1">
        <v>72</v>
      </c>
      <c r="AG52" s="1">
        <v>76</v>
      </c>
    </row>
    <row r="53" spans="1:33" ht="15" thickBot="1" x14ac:dyDescent="0.35">
      <c r="A53" s="1451"/>
      <c r="B53" s="1395"/>
      <c r="C53" s="1396"/>
      <c r="D53" s="1104" t="s">
        <v>509</v>
      </c>
      <c r="E53" s="1108" t="s">
        <v>702</v>
      </c>
      <c r="F53" s="949" t="s">
        <v>13</v>
      </c>
      <c r="G53" s="939">
        <v>0.35</v>
      </c>
      <c r="H53" s="936">
        <f>J53-'Au Cal Leaching Tank'!$S$18-SUM(H48:H52)</f>
        <v>80.887184999999931</v>
      </c>
      <c r="I53" s="936">
        <f t="shared" si="26"/>
        <v>6.740598749999994</v>
      </c>
      <c r="J53" s="936">
        <f>3.14*Z53*((10.7/2)^2)</f>
        <v>916.72142999999983</v>
      </c>
      <c r="K53" s="452">
        <v>1.23</v>
      </c>
      <c r="L53" s="939">
        <v>0.69</v>
      </c>
      <c r="M53" s="1038">
        <f>(J53*K53*G53)-'Au Cal Leaching Tank'!$T$17-SUM(M48:M52)</f>
        <v>23.036670287999982</v>
      </c>
      <c r="N53" s="1403"/>
      <c r="O53" s="1039">
        <f t="shared" si="30"/>
        <v>1.9197225239999984</v>
      </c>
      <c r="P53" s="936">
        <f t="shared" si="31"/>
        <v>12</v>
      </c>
      <c r="Q53" s="936">
        <f t="shared" si="36"/>
        <v>720</v>
      </c>
      <c r="R53" s="936">
        <f>'Milling Down Time Hours'!G52</f>
        <v>0</v>
      </c>
      <c r="S53" s="1377"/>
      <c r="T53" s="980">
        <f>AVERAGE('LT Ball Mill'!F115:F117)</f>
        <v>0.73499999999999999</v>
      </c>
      <c r="U53" s="980">
        <f>AVERAGE('LT Ball Mill'!G115:G117)</f>
        <v>0.64666666666666661</v>
      </c>
      <c r="V53" s="980">
        <f>AVERAGE('LT Ball Mill'!H115:H117)</f>
        <v>16.513333333333332</v>
      </c>
      <c r="W53" s="981">
        <f t="shared" si="33"/>
        <v>16.931952661679986</v>
      </c>
      <c r="X53" s="936">
        <f t="shared" si="34"/>
        <v>14.897046786239986</v>
      </c>
      <c r="Y53" s="936">
        <f t="shared" si="35"/>
        <v>380.41221535583969</v>
      </c>
      <c r="Z53" s="982">
        <v>10.199999999999999</v>
      </c>
      <c r="AE53" s="1">
        <v>72</v>
      </c>
      <c r="AG53" s="1">
        <v>74</v>
      </c>
    </row>
    <row r="54" spans="1:33" ht="15" thickBot="1" x14ac:dyDescent="0.35">
      <c r="B54" s="1389">
        <v>46289</v>
      </c>
      <c r="C54" s="1390"/>
      <c r="D54" s="453" t="s">
        <v>508</v>
      </c>
      <c r="E54" s="453" t="s">
        <v>703</v>
      </c>
      <c r="F54" s="1037" t="s">
        <v>12</v>
      </c>
      <c r="G54" s="939">
        <v>0.36</v>
      </c>
      <c r="H54" s="936">
        <f>J54-'Au Cal Leaching Tank'!$S$18-SUM(H48:H53)</f>
        <v>62.912254999999959</v>
      </c>
      <c r="I54" s="936">
        <f t="shared" si="26"/>
        <v>5.2426879166666636</v>
      </c>
      <c r="J54" s="936">
        <f>3.14*Z54*((10.7/2)^2)</f>
        <v>979.63368499999979</v>
      </c>
      <c r="K54" s="452">
        <v>1.2350000000000001</v>
      </c>
      <c r="L54" s="939">
        <v>0.74</v>
      </c>
      <c r="M54" s="1038">
        <f>(J54*K54*G54)-'Au Cal Leaching Tank'!$T$17-SUM(M48:M53)</f>
        <v>40.896560735999969</v>
      </c>
      <c r="N54" s="1376">
        <f>SUM(M54:M56)</f>
        <v>299.60957198599993</v>
      </c>
      <c r="O54" s="1376">
        <f>(N54)/24</f>
        <v>12.48373216608333</v>
      </c>
      <c r="P54" s="936">
        <f t="shared" si="31"/>
        <v>12</v>
      </c>
      <c r="Q54" s="936">
        <f t="shared" ref="Q54" si="37">720-R54</f>
        <v>720</v>
      </c>
      <c r="R54" s="936">
        <f>'Milling Down Time Hours'!G53</f>
        <v>0</v>
      </c>
      <c r="S54" s="1378"/>
      <c r="T54" s="1084">
        <f>AVERAGE('LT Ball Mill'!F118:F120)</f>
        <v>0.87766666666666671</v>
      </c>
      <c r="U54" s="1084">
        <f>AVERAGE('LT Ball Mill'!G118:G120)</f>
        <v>1.0133333333333334</v>
      </c>
      <c r="V54" s="1084">
        <f>AVERAGE('LT Ball Mill'!H118:H120)</f>
        <v>16.686666666666667</v>
      </c>
      <c r="W54" s="981">
        <f t="shared" ref="W54" si="38">T54*M54</f>
        <v>35.893548139295973</v>
      </c>
      <c r="X54" s="936">
        <f t="shared" ref="X54" si="39">U54*M54</f>
        <v>41.441848212479975</v>
      </c>
      <c r="Y54" s="936">
        <f t="shared" ref="Y54" si="40">V54*M54</f>
        <v>682.42727681471956</v>
      </c>
      <c r="Z54" s="982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397"/>
      <c r="C55" s="1398"/>
      <c r="D55" s="669" t="s">
        <v>508</v>
      </c>
      <c r="E55" s="669" t="s">
        <v>748</v>
      </c>
      <c r="F55" s="1148" t="s">
        <v>12</v>
      </c>
      <c r="G55" s="964">
        <v>0.36</v>
      </c>
      <c r="H55" s="967">
        <f>J55-108</f>
        <v>152.63648499999994</v>
      </c>
      <c r="I55" s="967"/>
      <c r="J55" s="967">
        <f>3.14*Z55*((10.7/2)^2)</f>
        <v>260.63648499999994</v>
      </c>
      <c r="K55" s="965">
        <v>1.24</v>
      </c>
      <c r="L55" s="964">
        <v>0.74</v>
      </c>
      <c r="M55" s="966">
        <f>(J55*G55*K55)-'Au Cal Leaching Tank'!$T$18</f>
        <v>76.227926903999972</v>
      </c>
      <c r="N55" s="1377"/>
      <c r="O55" s="1377"/>
      <c r="P55" s="967"/>
      <c r="Q55" s="967"/>
      <c r="R55" s="967"/>
      <c r="S55" s="1149"/>
      <c r="T55" s="1150">
        <f>T54</f>
        <v>0.87766666666666671</v>
      </c>
      <c r="U55" s="1150">
        <f t="shared" ref="U55:V55" si="41">U54</f>
        <v>1.0133333333333334</v>
      </c>
      <c r="V55" s="1150">
        <f t="shared" si="41"/>
        <v>16.686666666666667</v>
      </c>
      <c r="W55" s="967">
        <f>T55*$M$55</f>
        <v>66.90271051274398</v>
      </c>
      <c r="X55" s="967">
        <f t="shared" ref="X55:Y55" si="42">U55*$M$55</f>
        <v>77.244299262719977</v>
      </c>
      <c r="Y55" s="967">
        <f t="shared" si="42"/>
        <v>1271.9900069380797</v>
      </c>
      <c r="Z55" s="970">
        <v>2.9</v>
      </c>
      <c r="AA55" s="11"/>
      <c r="AE55" s="1">
        <v>82</v>
      </c>
    </row>
    <row r="56" spans="1:33" ht="15" thickBot="1" x14ac:dyDescent="0.35">
      <c r="A56" s="1445">
        <v>11</v>
      </c>
      <c r="B56" s="1391"/>
      <c r="C56" s="1392"/>
      <c r="D56" s="1120" t="s">
        <v>541</v>
      </c>
      <c r="E56" s="1126" t="s">
        <v>707</v>
      </c>
      <c r="F56" s="972" t="s">
        <v>13</v>
      </c>
      <c r="G56" s="964">
        <v>0.38</v>
      </c>
      <c r="H56" s="967">
        <f>J56-'Au Cal Leaching Tank'!$S$18</f>
        <v>521.27254999999991</v>
      </c>
      <c r="I56" s="967">
        <f>H56/((720-R56)/60)</f>
        <v>43.439379166666662</v>
      </c>
      <c r="J56" s="967">
        <f>3.14*Z56*((10.7/2)^2)</f>
        <v>629.12254999999993</v>
      </c>
      <c r="K56" s="1125">
        <v>1.25</v>
      </c>
      <c r="L56" s="964">
        <v>0.77</v>
      </c>
      <c r="M56" s="966">
        <f>(J56*G56*K56)-'Au Cal Leaching Tank'!$T$18-SUM(M55)</f>
        <v>182.48508434600001</v>
      </c>
      <c r="N56" s="1403"/>
      <c r="O56" s="1378"/>
      <c r="P56" s="967">
        <f t="shared" si="31"/>
        <v>12</v>
      </c>
      <c r="Q56" s="967">
        <f>720-R56</f>
        <v>720</v>
      </c>
      <c r="R56" s="967">
        <f>'Milling Down Time Hours'!G54</f>
        <v>0</v>
      </c>
      <c r="S56" s="1373">
        <f>SUM(M55:M59)</f>
        <v>354.52837561499985</v>
      </c>
      <c r="T56" s="973">
        <f>AVERAGE('LT Ball Mill'!F121:F123)</f>
        <v>0.57966666666666666</v>
      </c>
      <c r="U56" s="973">
        <f>AVERAGE('LT Ball Mill'!G121:G123)</f>
        <v>1.8533333333333333</v>
      </c>
      <c r="V56" s="973">
        <f>AVERAGE('LT Ball Mill'!H121:H123)</f>
        <v>17.643333333333334</v>
      </c>
      <c r="W56" s="967">
        <f>T56*$M$56</f>
        <v>105.78052055923133</v>
      </c>
      <c r="X56" s="967">
        <f t="shared" ref="X56:Y56" si="43">U56*$M$56</f>
        <v>338.20568965458665</v>
      </c>
      <c r="Y56" s="967">
        <f t="shared" si="43"/>
        <v>3219.6451714779269</v>
      </c>
      <c r="Z56" s="970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45"/>
      <c r="B57" s="1399">
        <v>46290</v>
      </c>
      <c r="C57" s="1400"/>
      <c r="D57" s="669" t="s">
        <v>682</v>
      </c>
      <c r="E57" s="669" t="s">
        <v>708</v>
      </c>
      <c r="F57" s="963" t="s">
        <v>12</v>
      </c>
      <c r="G57" s="964">
        <v>0.35</v>
      </c>
      <c r="H57" s="967">
        <f>J57-'Au Cal Leaching Tank'!$S$18-SUM(H56)</f>
        <v>251.64901999999995</v>
      </c>
      <c r="I57" s="967">
        <f>H57/((720-R57)/60)</f>
        <v>27.010628264758491</v>
      </c>
      <c r="J57" s="967">
        <f t="shared" ref="J57:J64" si="44">3.14*Z57*((10.7/2)^2)</f>
        <v>880.77156999999988</v>
      </c>
      <c r="K57" s="965">
        <v>1.23</v>
      </c>
      <c r="L57" s="964">
        <v>0.77</v>
      </c>
      <c r="M57" s="966">
        <f>(J57*G57*K57)-'Au Cal Leaching Tank'!$T$18-SUM(M55:M56)</f>
        <v>80.338949634999892</v>
      </c>
      <c r="N57" s="1373">
        <f>SUM(M57:M58)</f>
        <v>91.946260682499883</v>
      </c>
      <c r="O57" s="1110"/>
      <c r="P57" s="967">
        <f t="shared" si="31"/>
        <v>9.3166666666666664</v>
      </c>
      <c r="Q57" s="967">
        <f t="shared" ref="Q57:Q58" si="45">720-R57</f>
        <v>559</v>
      </c>
      <c r="R57" s="967">
        <f>'Milling Down Time Hours'!G55</f>
        <v>161</v>
      </c>
      <c r="S57" s="1374"/>
      <c r="T57" s="1005">
        <f>AVERAGE('LT Ball Mill'!F124:F126)</f>
        <v>0.73</v>
      </c>
      <c r="U57" s="1005">
        <f>AVERAGE('LT Ball Mill'!G124:G126)</f>
        <v>1.2166666666666668</v>
      </c>
      <c r="V57" s="1005">
        <f>AVERAGE('LT Ball Mill'!H124:H126)</f>
        <v>20.023333333333337</v>
      </c>
      <c r="W57" s="969">
        <f>T57*$M$57</f>
        <v>58.647433233549918</v>
      </c>
      <c r="X57" s="969">
        <f t="shared" ref="X57:Y57" si="46">U57*$M$57</f>
        <v>97.745722055916545</v>
      </c>
      <c r="Y57" s="969">
        <f t="shared" si="46"/>
        <v>1608.6535681914816</v>
      </c>
      <c r="Z57" s="970">
        <v>9.8000000000000007</v>
      </c>
      <c r="AE57" s="1">
        <v>80</v>
      </c>
      <c r="AG57" s="1">
        <v>82</v>
      </c>
    </row>
    <row r="58" spans="1:33" ht="15" thickBot="1" x14ac:dyDescent="0.35">
      <c r="A58" s="1445"/>
      <c r="B58" s="1401"/>
      <c r="C58" s="1402"/>
      <c r="D58" s="1120" t="s">
        <v>541</v>
      </c>
      <c r="E58" s="1140" t="s">
        <v>746</v>
      </c>
      <c r="F58" s="972" t="s">
        <v>13</v>
      </c>
      <c r="G58" s="964">
        <v>0.35</v>
      </c>
      <c r="H58" s="967">
        <f>J58-'Au Cal Leaching Tank'!$S$18-SUM(H56:H57)</f>
        <v>26.962394999999901</v>
      </c>
      <c r="I58" s="967"/>
      <c r="J58" s="967">
        <f t="shared" si="44"/>
        <v>907.73396499999978</v>
      </c>
      <c r="K58" s="965">
        <v>1.23</v>
      </c>
      <c r="L58" s="964">
        <v>0.77</v>
      </c>
      <c r="M58" s="966">
        <f>(J58*G58*K58)-'Au Cal Leaching Tank'!$T$18-SUM(M55:M57)</f>
        <v>11.607311047499991</v>
      </c>
      <c r="N58" s="1404"/>
      <c r="O58" s="1110"/>
      <c r="P58" s="967">
        <f t="shared" si="31"/>
        <v>0</v>
      </c>
      <c r="Q58" s="967">
        <f t="shared" si="45"/>
        <v>0</v>
      </c>
      <c r="R58" s="967">
        <f>'Milling Down Time Hours'!G56</f>
        <v>720</v>
      </c>
      <c r="S58" s="1375"/>
      <c r="T58" s="973">
        <f>T57</f>
        <v>0.73</v>
      </c>
      <c r="U58" s="973">
        <f t="shared" ref="U58:V59" si="47">U57</f>
        <v>1.2166666666666668</v>
      </c>
      <c r="V58" s="973">
        <f t="shared" si="47"/>
        <v>20.023333333333337</v>
      </c>
      <c r="W58" s="969">
        <f>T58*$M$58</f>
        <v>8.4733370646749933</v>
      </c>
      <c r="X58" s="969">
        <f t="shared" ref="X58:Y58" si="48">U58*$M$58</f>
        <v>14.122228441124991</v>
      </c>
      <c r="Y58" s="969">
        <f t="shared" si="48"/>
        <v>232.41705820777486</v>
      </c>
      <c r="Z58" s="970">
        <v>10.1</v>
      </c>
      <c r="AG58" s="1">
        <v>83</v>
      </c>
    </row>
    <row r="59" spans="1:33" ht="15" thickBot="1" x14ac:dyDescent="0.35">
      <c r="A59" s="1444">
        <v>12</v>
      </c>
      <c r="B59" s="1393">
        <v>46291</v>
      </c>
      <c r="C59" s="1394"/>
      <c r="D59" s="669"/>
      <c r="E59" s="669"/>
      <c r="F59" s="963" t="s">
        <v>12</v>
      </c>
      <c r="G59" s="964">
        <v>0.35</v>
      </c>
      <c r="H59" s="967"/>
      <c r="I59" s="967"/>
      <c r="J59" s="967">
        <f t="shared" si="44"/>
        <v>916.72142999999983</v>
      </c>
      <c r="K59" s="965">
        <v>1.23</v>
      </c>
      <c r="L59" s="965"/>
      <c r="M59" s="966">
        <f>(J59*G59*K59)-'Au Cal Leaching Tank'!$T$18-SUM(M55:M58)</f>
        <v>3.8691036824999969</v>
      </c>
      <c r="N59" s="965"/>
      <c r="O59" s="1110"/>
      <c r="P59" s="967">
        <f t="shared" ref="P59:P61" si="49">(720-R59)/60</f>
        <v>0</v>
      </c>
      <c r="Q59" s="967">
        <f t="shared" ref="Q59:Q61" si="50">720-R59</f>
        <v>0</v>
      </c>
      <c r="R59" s="967">
        <f>'Milling Down Time Hours'!G57</f>
        <v>720</v>
      </c>
      <c r="S59" s="669"/>
      <c r="T59" s="1005">
        <f>T58</f>
        <v>0.73</v>
      </c>
      <c r="U59" s="1005">
        <f t="shared" si="47"/>
        <v>1.2166666666666668</v>
      </c>
      <c r="V59" s="1005">
        <f t="shared" si="47"/>
        <v>20.023333333333337</v>
      </c>
      <c r="W59" s="969">
        <f>T59*$M$59</f>
        <v>2.8244456882249978</v>
      </c>
      <c r="X59" s="969">
        <f t="shared" ref="X59:Y59" si="51">U59*$M$59</f>
        <v>4.7074094803749968</v>
      </c>
      <c r="Y59" s="969">
        <f t="shared" si="51"/>
        <v>77.472352735924957</v>
      </c>
      <c r="Z59" s="970">
        <v>10.199999999999999</v>
      </c>
      <c r="AG59" s="1">
        <v>80</v>
      </c>
    </row>
    <row r="60" spans="1:33" ht="15" thickBot="1" x14ac:dyDescent="0.35">
      <c r="A60" s="1444"/>
      <c r="B60" s="1395"/>
      <c r="C60" s="1396"/>
      <c r="D60" s="912"/>
      <c r="E60" s="912"/>
      <c r="F60" s="949" t="s">
        <v>13</v>
      </c>
      <c r="G60" s="452"/>
      <c r="H60" s="936"/>
      <c r="I60" s="936"/>
      <c r="J60" s="936">
        <f>3.14*Z60*((10.7/2)^2)</f>
        <v>0</v>
      </c>
      <c r="K60" s="452"/>
      <c r="L60" s="452"/>
      <c r="M60" s="1038">
        <f t="shared" si="7"/>
        <v>0</v>
      </c>
      <c r="N60" s="452"/>
      <c r="O60" s="1141"/>
      <c r="P60" s="936">
        <f t="shared" si="49"/>
        <v>0</v>
      </c>
      <c r="Q60" s="936">
        <f t="shared" si="50"/>
        <v>0</v>
      </c>
      <c r="R60" s="936">
        <f>'Milling Down Time Hours'!G58</f>
        <v>720</v>
      </c>
      <c r="S60" s="453"/>
      <c r="T60" s="1142"/>
      <c r="U60" s="1142"/>
      <c r="V60" s="1143"/>
      <c r="W60" s="981"/>
      <c r="X60" s="936"/>
      <c r="Y60" s="936"/>
      <c r="Z60" s="982"/>
      <c r="AG60" s="1">
        <v>80</v>
      </c>
    </row>
    <row r="61" spans="1:33" ht="15" thickBot="1" x14ac:dyDescent="0.35">
      <c r="A61" s="1444"/>
      <c r="B61" s="1393">
        <v>46292</v>
      </c>
      <c r="C61" s="1394"/>
      <c r="D61" s="453" t="s">
        <v>508</v>
      </c>
      <c r="E61" s="453" t="s">
        <v>753</v>
      </c>
      <c r="F61" s="1037" t="s">
        <v>12</v>
      </c>
      <c r="G61" s="939">
        <v>0.34</v>
      </c>
      <c r="H61" s="936">
        <f>J61-'Au Cal Leaching Tank'!$S$19</f>
        <v>17.824509999999975</v>
      </c>
      <c r="I61" s="936">
        <f t="shared" ref="I61:I62" si="52">H61/((720-R61)/60)</f>
        <v>2.2280637499999969</v>
      </c>
      <c r="J61" s="936">
        <f t="shared" si="44"/>
        <v>125.82450999999998</v>
      </c>
      <c r="K61" s="452">
        <v>1.22</v>
      </c>
      <c r="L61" s="939">
        <v>0.75</v>
      </c>
      <c r="M61" s="1038">
        <f>(J61*K61*G61)-'Au Cal Leaching Tank'!$T$19</f>
        <v>5.6980067479999974</v>
      </c>
      <c r="N61" s="1376">
        <f>SUM(M61:M62)</f>
        <v>100.53193993499997</v>
      </c>
      <c r="O61" s="936">
        <f>(M61/P61)</f>
        <v>0.71225084349999968</v>
      </c>
      <c r="P61" s="936">
        <f t="shared" si="49"/>
        <v>8</v>
      </c>
      <c r="Q61" s="936">
        <f t="shared" si="50"/>
        <v>480</v>
      </c>
      <c r="R61" s="936">
        <f>'Milling Down Time Hours'!G59</f>
        <v>240</v>
      </c>
      <c r="S61" s="1579">
        <f>SUM(M61:M65)</f>
        <v>385.05530941200004</v>
      </c>
      <c r="T61" s="1084">
        <f>AVERAGE('LT Ball Mill'!F130:F132)</f>
        <v>0.52033333333333331</v>
      </c>
      <c r="U61" s="1084">
        <f>AVERAGE('LT Ball Mill'!G130:G132)</f>
        <v>1.1033333333333333</v>
      </c>
      <c r="V61" s="1084">
        <f>AVERAGE('LT Ball Mill'!H130:H132)</f>
        <v>13.643333333333333</v>
      </c>
      <c r="W61" s="981">
        <f>M61*T61</f>
        <v>2.9648628445426652</v>
      </c>
      <c r="X61" s="981">
        <f>M61*U61</f>
        <v>6.2868007786266631</v>
      </c>
      <c r="Y61" s="936">
        <f>M61*V61</f>
        <v>77.739805398546622</v>
      </c>
      <c r="Z61" s="982">
        <v>1.4</v>
      </c>
      <c r="AG61" s="1">
        <v>78</v>
      </c>
    </row>
    <row r="62" spans="1:33" ht="15" thickBot="1" x14ac:dyDescent="0.35">
      <c r="A62" s="1444"/>
      <c r="B62" s="1395"/>
      <c r="C62" s="1396"/>
      <c r="D62" s="1172" t="s">
        <v>508</v>
      </c>
      <c r="E62" s="1172" t="s">
        <v>754</v>
      </c>
      <c r="F62" s="949" t="s">
        <v>13</v>
      </c>
      <c r="G62" s="939">
        <v>0.35</v>
      </c>
      <c r="H62" s="936">
        <f>(J62)-'Au Cal Leaching Tank'!$S$19-SUM(H61)</f>
        <v>215.69916000000001</v>
      </c>
      <c r="I62" s="936">
        <f t="shared" si="52"/>
        <v>19.609014545454546</v>
      </c>
      <c r="J62" s="936">
        <f t="shared" si="44"/>
        <v>341.52366999999998</v>
      </c>
      <c r="K62" s="452">
        <v>1.23</v>
      </c>
      <c r="L62" s="939">
        <v>0.72</v>
      </c>
      <c r="M62" s="1038">
        <f>(J62*K62*G62)-'Au Cal Leaching Tank'!$T$19-SUM(M61)</f>
        <v>94.833933186999971</v>
      </c>
      <c r="N62" s="1403"/>
      <c r="O62" s="936">
        <f>(M62/P62)</f>
        <v>8.6212666533636337</v>
      </c>
      <c r="P62" s="936">
        <f t="shared" ref="P62:P63" si="53">(720-R62)/60</f>
        <v>11</v>
      </c>
      <c r="Q62" s="936">
        <f t="shared" ref="Q62:Q63" si="54">720-R62</f>
        <v>660</v>
      </c>
      <c r="R62" s="936">
        <f>'Milling Down Time Hours'!G60</f>
        <v>60.000000000000007</v>
      </c>
      <c r="S62" s="1577"/>
      <c r="T62" s="980">
        <f>AVERAGE('LT Ball Mill'!F133:F135)</f>
        <v>0.74766666666666659</v>
      </c>
      <c r="U62" s="980">
        <f>AVERAGE('LT Ball Mill'!G133:G135)</f>
        <v>1.4400000000000002</v>
      </c>
      <c r="V62" s="980">
        <f>AVERAGE('LT Ball Mill'!H133:H135)</f>
        <v>15.363333333333335</v>
      </c>
      <c r="W62" s="981">
        <f>M62*T62</f>
        <v>70.904170712813638</v>
      </c>
      <c r="X62" s="936">
        <f>M62*U62</f>
        <v>136.56086378927998</v>
      </c>
      <c r="Y62" s="936">
        <f>M62*V62</f>
        <v>1456.9653268629431</v>
      </c>
      <c r="Z62" s="982">
        <v>3.8</v>
      </c>
      <c r="AG62" s="1">
        <v>67</v>
      </c>
    </row>
    <row r="63" spans="1:33" ht="15" thickBot="1" x14ac:dyDescent="0.35">
      <c r="A63" s="1444"/>
      <c r="B63" s="1393">
        <v>46293</v>
      </c>
      <c r="C63" s="1394"/>
      <c r="D63" s="453" t="s">
        <v>541</v>
      </c>
      <c r="E63" s="453" t="s">
        <v>755</v>
      </c>
      <c r="F63" s="1037" t="s">
        <v>12</v>
      </c>
      <c r="G63" s="939">
        <v>0.35</v>
      </c>
      <c r="H63" s="936">
        <f>(J63)-'Au Cal Leaching Tank'!$S$19-SUM(H61:H62)</f>
        <v>188.73676500000005</v>
      </c>
      <c r="I63" s="936">
        <f t="shared" ref="I63" si="55">H63/((720-R63)/60)</f>
        <v>15.728063750000004</v>
      </c>
      <c r="J63" s="936">
        <f t="shared" si="44"/>
        <v>530.26043500000003</v>
      </c>
      <c r="K63" s="452">
        <v>1.23</v>
      </c>
      <c r="L63" s="939">
        <v>0.71</v>
      </c>
      <c r="M63" s="1038">
        <f>(J63*K63*G63)-'Au Cal Leaching Tank'!$T$19-SUM(M61:M62)</f>
        <v>81.251177332500021</v>
      </c>
      <c r="N63" s="1376">
        <f>SUM(M63:M64)</f>
        <v>158.63325098249993</v>
      </c>
      <c r="O63" s="936">
        <f t="shared" ref="O63:O66" si="56">(M63/P63)</f>
        <v>6.7709314443750017</v>
      </c>
      <c r="P63" s="936">
        <f t="shared" si="53"/>
        <v>12</v>
      </c>
      <c r="Q63" s="936">
        <f t="shared" si="54"/>
        <v>720</v>
      </c>
      <c r="R63" s="936">
        <f>'Milling Down Time Hours'!G61</f>
        <v>0</v>
      </c>
      <c r="S63" s="1577"/>
      <c r="T63" s="1084">
        <f>AVERAGE('LT Ball Mill'!F136:F138)</f>
        <v>0.58499999999999996</v>
      </c>
      <c r="U63" s="1084">
        <f>AVERAGE('LT Ball Mill'!G136:G138)</f>
        <v>1.0999999999999999</v>
      </c>
      <c r="V63" s="1084">
        <f>AVERAGE('LT Ball Mill'!H136:H138)</f>
        <v>14.276666666666666</v>
      </c>
      <c r="W63" s="981">
        <f>M63*T63</f>
        <v>47.531938739512512</v>
      </c>
      <c r="X63" s="981">
        <f>M63*U63</f>
        <v>89.376295065750014</v>
      </c>
      <c r="Y63" s="936">
        <f>M63*V63</f>
        <v>1159.9959750503251</v>
      </c>
      <c r="Z63" s="982">
        <v>5.9</v>
      </c>
      <c r="AG63" s="1">
        <v>72</v>
      </c>
    </row>
    <row r="64" spans="1:33" ht="15" thickBot="1" x14ac:dyDescent="0.35">
      <c r="A64" s="1444"/>
      <c r="B64" s="1395"/>
      <c r="C64" s="1396"/>
      <c r="D64" s="1173" t="s">
        <v>756</v>
      </c>
      <c r="E64" s="1173" t="s">
        <v>755</v>
      </c>
      <c r="F64" s="949" t="s">
        <v>13</v>
      </c>
      <c r="G64" s="939">
        <v>0.35</v>
      </c>
      <c r="H64" s="936">
        <f>(J64)-'Au Cal Leaching Tank'!$S$19-SUM(H61:H63)</f>
        <v>179.74929999999983</v>
      </c>
      <c r="I64" s="936">
        <f t="shared" ref="I64:I65" si="57">H64/((720-R64)/60)</f>
        <v>14.97910833333332</v>
      </c>
      <c r="J64" s="936">
        <f t="shared" si="44"/>
        <v>710.00973499999986</v>
      </c>
      <c r="K64" s="452">
        <v>1.23</v>
      </c>
      <c r="L64" s="939">
        <v>0.71</v>
      </c>
      <c r="M64" s="1038">
        <f>(J64*K64*G64)-'Au Cal Leaching Tank'!$T$19-SUM(M61:M63)</f>
        <v>77.38207364999991</v>
      </c>
      <c r="N64" s="1403"/>
      <c r="O64" s="936">
        <f t="shared" si="56"/>
        <v>6.4485061374999928</v>
      </c>
      <c r="P64" s="936">
        <f t="shared" ref="P64" si="58">(720-R64)/60</f>
        <v>12</v>
      </c>
      <c r="Q64" s="936">
        <f t="shared" ref="Q64" si="59">720-R64</f>
        <v>720</v>
      </c>
      <c r="R64" s="936">
        <f>'Milling Down Time Hours'!G62</f>
        <v>0</v>
      </c>
      <c r="S64" s="1577"/>
      <c r="T64" s="1170"/>
      <c r="U64" s="1170"/>
      <c r="V64" s="1171"/>
      <c r="W64" s="981">
        <f t="shared" ref="W64:W99" si="60">T64*M64</f>
        <v>0</v>
      </c>
      <c r="X64" s="936">
        <f t="shared" ref="X64:X99" si="61">M64*U64</f>
        <v>0</v>
      </c>
      <c r="Y64" s="936">
        <f t="shared" ref="Y64:Y99" si="62">M64*V64</f>
        <v>0</v>
      </c>
      <c r="Z64" s="982">
        <v>7.9</v>
      </c>
      <c r="AG64" s="1">
        <v>78</v>
      </c>
    </row>
    <row r="65" spans="1:30" ht="15" thickBot="1" x14ac:dyDescent="0.35">
      <c r="A65" s="678"/>
      <c r="B65" s="1399">
        <v>46294</v>
      </c>
      <c r="C65" s="1400"/>
      <c r="D65" s="453" t="s">
        <v>542</v>
      </c>
      <c r="E65" s="453" t="s">
        <v>760</v>
      </c>
      <c r="F65" s="1037" t="s">
        <v>12</v>
      </c>
      <c r="G65" s="939">
        <v>0.36</v>
      </c>
      <c r="H65" s="936">
        <f>(J65)-'Au Cal Leaching Tank'!$S$19-SUM(H61:H64)</f>
        <v>260.63648500000011</v>
      </c>
      <c r="I65" s="936">
        <f t="shared" si="57"/>
        <v>22.340270142857154</v>
      </c>
      <c r="J65" s="936">
        <f>3.14*Z65*((10.7/2)^2)</f>
        <v>970.64621999999997</v>
      </c>
      <c r="K65" s="452">
        <v>1.2350000000000001</v>
      </c>
      <c r="L65" s="939">
        <v>0.71</v>
      </c>
      <c r="M65" s="1038">
        <f>(J65*K65*G65)-'Au Cal Leaching Tank'!$T$19-SUM(M61:M64)</f>
        <v>125.89011849450014</v>
      </c>
      <c r="N65" s="1373">
        <f>SUM(M65:M66)</f>
        <v>125.89011849450014</v>
      </c>
      <c r="O65" s="936">
        <f t="shared" si="56"/>
        <v>10.790581585242871</v>
      </c>
      <c r="P65" s="936">
        <f t="shared" ref="P65:P66" si="63">(720-R65)/60</f>
        <v>11.666666666666666</v>
      </c>
      <c r="Q65" s="936">
        <f t="shared" ref="Q65:Q66" si="64">720-R65</f>
        <v>700</v>
      </c>
      <c r="R65" s="936">
        <f>'Milling Down Time Hours'!G63</f>
        <v>20</v>
      </c>
      <c r="S65" s="1578"/>
      <c r="T65" s="1177"/>
      <c r="U65" s="1177"/>
      <c r="V65" s="1178"/>
      <c r="W65" s="981">
        <f t="shared" si="60"/>
        <v>0</v>
      </c>
      <c r="X65" s="936">
        <f t="shared" si="61"/>
        <v>0</v>
      </c>
      <c r="Y65" s="936">
        <f t="shared" si="62"/>
        <v>0</v>
      </c>
      <c r="Z65" s="982">
        <v>10.8</v>
      </c>
    </row>
    <row r="66" spans="1:30" ht="15" thickBot="1" x14ac:dyDescent="0.35">
      <c r="A66" s="678"/>
      <c r="B66" s="1401"/>
      <c r="C66" s="1402"/>
      <c r="D66" s="971"/>
      <c r="E66" s="1191" t="s">
        <v>766</v>
      </c>
      <c r="F66" s="972" t="s">
        <v>13</v>
      </c>
      <c r="G66" s="965"/>
      <c r="H66" s="965"/>
      <c r="I66" s="1110"/>
      <c r="J66" s="965"/>
      <c r="K66" s="965"/>
      <c r="L66" s="965"/>
      <c r="M66" s="966">
        <f t="shared" si="7"/>
        <v>0</v>
      </c>
      <c r="N66" s="1375"/>
      <c r="O66" s="967">
        <f t="shared" si="56"/>
        <v>0</v>
      </c>
      <c r="P66" s="967">
        <f t="shared" si="63"/>
        <v>12</v>
      </c>
      <c r="Q66" s="967">
        <f t="shared" si="64"/>
        <v>720</v>
      </c>
      <c r="R66" s="967">
        <f>'Milling Down Time Hours'!G64</f>
        <v>0</v>
      </c>
      <c r="S66" s="669"/>
      <c r="T66" s="1189"/>
      <c r="U66" s="1189"/>
      <c r="V66" s="1190"/>
      <c r="W66" s="969">
        <f t="shared" si="60"/>
        <v>0</v>
      </c>
      <c r="X66" s="967">
        <f t="shared" si="61"/>
        <v>0</v>
      </c>
      <c r="Y66" s="967">
        <f t="shared" si="62"/>
        <v>0</v>
      </c>
      <c r="Z66" s="970"/>
    </row>
    <row r="67" spans="1:30" ht="15" thickBot="1" x14ac:dyDescent="0.35">
      <c r="B67" s="1389">
        <v>46295</v>
      </c>
      <c r="C67" s="1390"/>
      <c r="D67" s="14"/>
      <c r="E67" s="14"/>
      <c r="F67" s="919" t="s">
        <v>12</v>
      </c>
      <c r="G67" s="234"/>
      <c r="H67" s="234"/>
      <c r="I67" s="874"/>
      <c r="J67" s="234"/>
      <c r="K67" s="234"/>
      <c r="L67" s="234"/>
      <c r="M67" s="887">
        <f t="shared" si="7"/>
        <v>0</v>
      </c>
      <c r="N67" s="234"/>
      <c r="O67" s="874"/>
      <c r="P67" s="891"/>
      <c r="Q67" s="869"/>
      <c r="R67" s="891"/>
      <c r="S67" s="14"/>
      <c r="T67" s="991"/>
      <c r="U67" s="991"/>
      <c r="V67" s="996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391"/>
      <c r="C68" s="1392"/>
      <c r="D68" s="37"/>
      <c r="E68" s="37"/>
      <c r="F68" s="910" t="s">
        <v>13</v>
      </c>
      <c r="G68" s="234"/>
      <c r="H68" s="234"/>
      <c r="I68" s="874"/>
      <c r="J68" s="234"/>
      <c r="K68" s="234"/>
      <c r="L68" s="234"/>
      <c r="M68" s="887">
        <f t="shared" si="7"/>
        <v>0</v>
      </c>
      <c r="N68" s="234"/>
      <c r="O68" s="874"/>
      <c r="P68" s="933"/>
      <c r="Q68" s="892"/>
      <c r="R68" s="1381">
        <f>'Milling Down Time Hours'!L73</f>
        <v>0</v>
      </c>
      <c r="S68" s="14"/>
      <c r="T68" s="990"/>
      <c r="U68" s="990"/>
      <c r="V68" s="995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389">
        <v>46296</v>
      </c>
      <c r="C69" s="1390"/>
      <c r="D69" s="14"/>
      <c r="E69" s="14"/>
      <c r="F69" s="919" t="s">
        <v>12</v>
      </c>
      <c r="G69" s="234"/>
      <c r="H69" s="234"/>
      <c r="I69" s="874"/>
      <c r="J69" s="234"/>
      <c r="K69" s="234"/>
      <c r="L69" s="234"/>
      <c r="M69" s="887">
        <f t="shared" si="7"/>
        <v>0</v>
      </c>
      <c r="N69" s="234"/>
      <c r="O69" s="874"/>
      <c r="P69" s="934"/>
      <c r="Q69" s="893"/>
      <c r="R69" s="1387"/>
      <c r="S69" s="14"/>
      <c r="T69" s="991"/>
      <c r="U69" s="991"/>
      <c r="V69" s="996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391"/>
      <c r="C70" s="1392"/>
      <c r="D70" s="37"/>
      <c r="E70" s="37"/>
      <c r="F70" s="910" t="s">
        <v>13</v>
      </c>
      <c r="G70" s="234"/>
      <c r="H70" s="234"/>
      <c r="I70" s="874"/>
      <c r="J70" s="234"/>
      <c r="K70" s="234"/>
      <c r="L70" s="234"/>
      <c r="M70" s="887">
        <f t="shared" si="7"/>
        <v>0</v>
      </c>
      <c r="N70" s="234"/>
      <c r="O70" s="874"/>
      <c r="P70" s="932"/>
      <c r="Q70" s="868"/>
      <c r="R70" s="1381">
        <f>'Milling Down Time Hours'!L75</f>
        <v>0</v>
      </c>
      <c r="S70" s="14"/>
      <c r="T70" s="990"/>
      <c r="U70" s="990"/>
      <c r="V70" s="993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389">
        <v>46297</v>
      </c>
      <c r="C71" s="1390"/>
      <c r="D71" s="14"/>
      <c r="E71" s="14"/>
      <c r="F71" s="919" t="s">
        <v>12</v>
      </c>
      <c r="G71" s="234"/>
      <c r="H71" s="14"/>
      <c r="I71" s="874"/>
      <c r="J71" s="234"/>
      <c r="K71" s="234"/>
      <c r="L71" s="234"/>
      <c r="M71" s="887">
        <f t="shared" si="7"/>
        <v>0</v>
      </c>
      <c r="N71" s="234"/>
      <c r="O71" s="874"/>
      <c r="P71" s="891"/>
      <c r="Q71" s="869"/>
      <c r="R71" s="1387"/>
      <c r="S71" s="14"/>
      <c r="T71" s="991"/>
      <c r="U71" s="991"/>
      <c r="V71" s="994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391"/>
      <c r="C72" s="1392"/>
      <c r="D72" s="37"/>
      <c r="E72" s="37"/>
      <c r="F72" s="910" t="s">
        <v>13</v>
      </c>
      <c r="G72" s="884"/>
      <c r="H72" s="14"/>
      <c r="I72" s="874"/>
      <c r="J72" s="234"/>
      <c r="K72" s="234"/>
      <c r="L72" s="884"/>
      <c r="M72" s="887">
        <f t="shared" si="7"/>
        <v>0</v>
      </c>
      <c r="N72" s="884"/>
      <c r="O72" s="874"/>
      <c r="P72" s="932"/>
      <c r="Q72" s="868"/>
      <c r="R72" s="1381">
        <f>'Milling Down Time Hours'!L77</f>
        <v>0</v>
      </c>
      <c r="S72" s="14"/>
      <c r="T72" s="990"/>
      <c r="U72" s="990"/>
      <c r="V72" s="993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389">
        <v>46298</v>
      </c>
      <c r="C73" s="1390"/>
      <c r="D73" s="14"/>
      <c r="E73" s="14"/>
      <c r="F73" s="919" t="s">
        <v>12</v>
      </c>
      <c r="G73" s="234"/>
      <c r="H73" s="14"/>
      <c r="I73" s="874"/>
      <c r="J73" s="234"/>
      <c r="K73" s="234"/>
      <c r="L73" s="234"/>
      <c r="M73" s="887">
        <f t="shared" si="7"/>
        <v>0</v>
      </c>
      <c r="N73" s="234"/>
      <c r="O73" s="874"/>
      <c r="P73" s="891"/>
      <c r="Q73" s="869"/>
      <c r="R73" s="1387"/>
      <c r="S73" s="14"/>
      <c r="T73" s="991"/>
      <c r="U73" s="991"/>
      <c r="V73" s="994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391"/>
      <c r="C74" s="1392"/>
      <c r="D74" s="37"/>
      <c r="E74" s="37"/>
      <c r="F74" s="910" t="s">
        <v>13</v>
      </c>
      <c r="G74" s="884"/>
      <c r="H74" s="14"/>
      <c r="I74" s="874"/>
      <c r="J74" s="234"/>
      <c r="K74" s="234"/>
      <c r="L74" s="884"/>
      <c r="M74" s="887">
        <f t="shared" si="7"/>
        <v>0</v>
      </c>
      <c r="N74" s="884"/>
      <c r="O74" s="874"/>
      <c r="P74" s="932"/>
      <c r="Q74" s="868"/>
      <c r="R74" s="1381">
        <f>'Milling Down Time Hours'!L79</f>
        <v>0</v>
      </c>
      <c r="S74" s="14"/>
      <c r="T74" s="990"/>
      <c r="U74" s="990"/>
      <c r="V74" s="993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389">
        <v>46299</v>
      </c>
      <c r="C75" s="1390"/>
      <c r="D75" s="14"/>
      <c r="E75" s="14"/>
      <c r="F75" s="919" t="s">
        <v>12</v>
      </c>
      <c r="G75" s="234"/>
      <c r="H75" s="14"/>
      <c r="I75" s="874"/>
      <c r="J75" s="234"/>
      <c r="K75" s="234"/>
      <c r="L75" s="234"/>
      <c r="M75" s="887">
        <f t="shared" si="7"/>
        <v>0</v>
      </c>
      <c r="N75" s="234"/>
      <c r="O75" s="874"/>
      <c r="P75" s="891"/>
      <c r="Q75" s="869"/>
      <c r="R75" s="1387"/>
      <c r="S75" s="14"/>
      <c r="T75" s="991"/>
      <c r="U75" s="991"/>
      <c r="V75" s="994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391"/>
      <c r="C76" s="1392"/>
      <c r="D76" s="37"/>
      <c r="E76" s="37"/>
      <c r="F76" s="910" t="s">
        <v>13</v>
      </c>
      <c r="G76" s="234"/>
      <c r="H76" s="14"/>
      <c r="I76" s="874"/>
      <c r="J76" s="234"/>
      <c r="K76" s="234"/>
      <c r="L76" s="234"/>
      <c r="M76" s="887">
        <f t="shared" si="7"/>
        <v>0</v>
      </c>
      <c r="N76" s="234"/>
      <c r="O76" s="874"/>
      <c r="P76" s="932"/>
      <c r="Q76" s="868"/>
      <c r="R76" s="1381">
        <f>'Milling Down Time Hours'!L81</f>
        <v>0</v>
      </c>
      <c r="S76" s="14"/>
      <c r="T76" s="989"/>
      <c r="U76" s="989"/>
      <c r="V76" s="992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389">
        <v>46300</v>
      </c>
      <c r="C77" s="1390"/>
      <c r="D77" s="14"/>
      <c r="E77" s="14"/>
      <c r="F77" s="919" t="s">
        <v>12</v>
      </c>
      <c r="G77" s="234"/>
      <c r="H77" s="14"/>
      <c r="I77" s="874"/>
      <c r="J77" s="234"/>
      <c r="K77" s="234"/>
      <c r="L77" s="234"/>
      <c r="M77" s="887">
        <f t="shared" ref="M77:M99" si="65">H77*K77*G77</f>
        <v>0</v>
      </c>
      <c r="N77" s="234"/>
      <c r="O77" s="874"/>
      <c r="P77" s="891"/>
      <c r="Q77" s="869"/>
      <c r="R77" s="1387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391"/>
      <c r="C78" s="1392"/>
      <c r="D78" s="37"/>
      <c r="E78" s="37"/>
      <c r="F78" s="910" t="s">
        <v>13</v>
      </c>
      <c r="G78" s="884"/>
      <c r="H78" s="14"/>
      <c r="I78" s="874"/>
      <c r="J78" s="234"/>
      <c r="K78" s="234"/>
      <c r="L78" s="884"/>
      <c r="M78" s="887">
        <f t="shared" si="65"/>
        <v>0</v>
      </c>
      <c r="N78" s="884"/>
      <c r="O78" s="874"/>
      <c r="P78" s="932"/>
      <c r="Q78" s="868"/>
      <c r="R78" s="1381">
        <f>'Milling Down Time Hours'!L83</f>
        <v>0</v>
      </c>
      <c r="S78" s="14"/>
      <c r="T78" s="990"/>
      <c r="U78" s="990"/>
      <c r="V78" s="993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389">
        <v>46301</v>
      </c>
      <c r="C79" s="1390"/>
      <c r="D79" s="14"/>
      <c r="E79" s="14"/>
      <c r="F79" s="919" t="s">
        <v>12</v>
      </c>
      <c r="G79" s="234"/>
      <c r="H79" s="14"/>
      <c r="I79" s="874"/>
      <c r="J79" s="234"/>
      <c r="K79" s="234"/>
      <c r="L79" s="234"/>
      <c r="M79" s="887">
        <f t="shared" si="65"/>
        <v>0</v>
      </c>
      <c r="N79" s="234"/>
      <c r="O79" s="874"/>
      <c r="P79" s="891"/>
      <c r="Q79" s="869"/>
      <c r="R79" s="1387"/>
      <c r="S79" s="14"/>
      <c r="T79" s="991"/>
      <c r="U79" s="991"/>
      <c r="V79" s="994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397"/>
      <c r="C80" s="1398"/>
      <c r="D80" s="37"/>
      <c r="E80" s="37"/>
      <c r="F80" s="910" t="s">
        <v>13</v>
      </c>
      <c r="G80" s="884"/>
      <c r="H80" s="14"/>
      <c r="I80" s="874"/>
      <c r="J80" s="234"/>
      <c r="K80" s="234"/>
      <c r="L80" s="234"/>
      <c r="M80" s="887">
        <f t="shared" si="65"/>
        <v>0</v>
      </c>
      <c r="N80" s="234"/>
      <c r="O80" s="874"/>
      <c r="P80" s="1381">
        <f>'Milling Down Time Hours'!Q43</f>
        <v>0</v>
      </c>
      <c r="Q80" s="868"/>
      <c r="R80" s="1381">
        <f>'Milling Down Time Hours'!L85</f>
        <v>0</v>
      </c>
      <c r="S80" s="14"/>
      <c r="T80" s="1408">
        <v>0.35699999999999998</v>
      </c>
      <c r="U80" s="1408">
        <v>1.056</v>
      </c>
      <c r="V80" s="1410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397"/>
      <c r="C81" s="1398"/>
      <c r="D81" s="14"/>
      <c r="E81" s="14"/>
      <c r="F81" s="919" t="s">
        <v>12</v>
      </c>
      <c r="G81" s="234"/>
      <c r="H81" s="14"/>
      <c r="I81" s="874"/>
      <c r="J81" s="234"/>
      <c r="K81" s="234"/>
      <c r="L81" s="234"/>
      <c r="M81" s="887">
        <f t="shared" si="65"/>
        <v>0</v>
      </c>
      <c r="N81" s="234"/>
      <c r="O81" s="874"/>
      <c r="P81" s="1387"/>
      <c r="Q81" s="869"/>
      <c r="R81" s="1387"/>
      <c r="S81" s="14"/>
      <c r="T81" s="1409"/>
      <c r="U81" s="1409"/>
      <c r="V81" s="1411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397"/>
      <c r="C82" s="1398"/>
      <c r="D82" s="37"/>
      <c r="E82" s="37"/>
      <c r="F82" s="910" t="s">
        <v>13</v>
      </c>
      <c r="G82" s="234"/>
      <c r="H82" s="14"/>
      <c r="I82" s="874"/>
      <c r="J82" s="234"/>
      <c r="K82" s="234"/>
      <c r="L82" s="234"/>
      <c r="M82" s="887">
        <f t="shared" si="65"/>
        <v>0</v>
      </c>
      <c r="N82" s="234"/>
      <c r="O82" s="874"/>
      <c r="P82" s="1381">
        <f>'Milling Down Time Hours'!M87</f>
        <v>0</v>
      </c>
      <c r="Q82" s="868"/>
      <c r="R82" s="1381">
        <f>'Milling Down Time Hours'!L87</f>
        <v>0</v>
      </c>
      <c r="S82" s="14"/>
      <c r="T82" s="1384" t="e">
        <f>SUM(#REF!)</f>
        <v>#REF!</v>
      </c>
      <c r="U82" s="1384" t="e">
        <f t="shared" ref="U82:V82" si="66">SUM(T82:T84)</f>
        <v>#REF!</v>
      </c>
      <c r="V82" s="1379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397"/>
      <c r="C83" s="1398"/>
      <c r="D83" s="14"/>
      <c r="E83" s="14"/>
      <c r="F83" s="919" t="s">
        <v>12</v>
      </c>
      <c r="G83" s="234"/>
      <c r="H83" s="14"/>
      <c r="I83" s="874"/>
      <c r="J83" s="234"/>
      <c r="K83" s="234"/>
      <c r="L83" s="234"/>
      <c r="M83" s="887">
        <f t="shared" si="65"/>
        <v>0</v>
      </c>
      <c r="N83" s="234"/>
      <c r="O83" s="874"/>
      <c r="P83" s="1387"/>
      <c r="Q83" s="869"/>
      <c r="R83" s="1387"/>
      <c r="S83" s="14"/>
      <c r="T83" s="1388"/>
      <c r="U83" s="1388"/>
      <c r="V83" s="1380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397"/>
      <c r="C84" s="1398"/>
      <c r="D84" s="37"/>
      <c r="E84" s="37"/>
      <c r="F84" s="910" t="s">
        <v>13</v>
      </c>
      <c r="G84" s="234"/>
      <c r="H84" s="14"/>
      <c r="I84" s="874"/>
      <c r="J84" s="234"/>
      <c r="K84" s="234"/>
      <c r="L84" s="234"/>
      <c r="M84" s="887">
        <f t="shared" si="65"/>
        <v>0</v>
      </c>
      <c r="N84" s="234"/>
      <c r="O84" s="874"/>
      <c r="P84" s="1381">
        <f>'Milling Down Time Hours'!M89</f>
        <v>0</v>
      </c>
      <c r="Q84" s="868"/>
      <c r="R84" s="1381">
        <f>'Milling Down Time Hours'!L89</f>
        <v>0</v>
      </c>
      <c r="S84" s="14"/>
      <c r="T84" s="1384" t="e">
        <f>SUM(#REF!)</f>
        <v>#REF!</v>
      </c>
      <c r="U84" s="1384" t="e">
        <f t="shared" ref="U84:V84" si="67">SUM(T84:T86)</f>
        <v>#REF!</v>
      </c>
      <c r="V84" s="1379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397"/>
      <c r="C85" s="1398"/>
      <c r="D85" s="14"/>
      <c r="E85" s="14"/>
      <c r="F85" s="919" t="s">
        <v>12</v>
      </c>
      <c r="G85" s="234"/>
      <c r="H85" s="14"/>
      <c r="I85" s="874"/>
      <c r="J85" s="234"/>
      <c r="K85" s="234"/>
      <c r="L85" s="234"/>
      <c r="M85" s="887">
        <f t="shared" si="65"/>
        <v>0</v>
      </c>
      <c r="N85" s="234"/>
      <c r="O85" s="874"/>
      <c r="P85" s="1387"/>
      <c r="Q85" s="869"/>
      <c r="R85" s="1387"/>
      <c r="S85" s="14"/>
      <c r="T85" s="1388"/>
      <c r="U85" s="1388"/>
      <c r="V85" s="1380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397"/>
      <c r="C86" s="1398"/>
      <c r="D86" s="37"/>
      <c r="E86" s="37"/>
      <c r="F86" s="910" t="s">
        <v>13</v>
      </c>
      <c r="G86" s="234"/>
      <c r="H86" s="14"/>
      <c r="I86" s="874"/>
      <c r="J86" s="234"/>
      <c r="K86" s="234"/>
      <c r="L86" s="234"/>
      <c r="M86" s="887">
        <f t="shared" si="65"/>
        <v>0</v>
      </c>
      <c r="N86" s="234"/>
      <c r="O86" s="874"/>
      <c r="P86" s="1381">
        <f>'Milling Down Time Hours'!M91</f>
        <v>0</v>
      </c>
      <c r="Q86" s="868"/>
      <c r="R86" s="1381">
        <f>'Milling Down Time Hours'!L91</f>
        <v>0</v>
      </c>
      <c r="S86" s="14"/>
      <c r="T86" s="1384" t="e">
        <f>SUM(#REF!)</f>
        <v>#REF!</v>
      </c>
      <c r="U86" s="1384" t="e">
        <f t="shared" ref="U86:V86" si="68">SUM(T86:T88)</f>
        <v>#REF!</v>
      </c>
      <c r="V86" s="1379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397"/>
      <c r="C87" s="1398"/>
      <c r="D87" s="14"/>
      <c r="E87" s="14"/>
      <c r="F87" s="919" t="s">
        <v>12</v>
      </c>
      <c r="G87" s="234"/>
      <c r="H87" s="14"/>
      <c r="I87" s="874"/>
      <c r="J87" s="234"/>
      <c r="K87" s="234"/>
      <c r="L87" s="234"/>
      <c r="M87" s="887">
        <f t="shared" si="65"/>
        <v>0</v>
      </c>
      <c r="N87" s="234"/>
      <c r="O87" s="874"/>
      <c r="P87" s="1387"/>
      <c r="Q87" s="869"/>
      <c r="R87" s="1387"/>
      <c r="S87" s="14"/>
      <c r="T87" s="1388"/>
      <c r="U87" s="1388"/>
      <c r="V87" s="1380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397"/>
      <c r="C88" s="1398"/>
      <c r="D88" s="37"/>
      <c r="E88" s="37"/>
      <c r="F88" s="910" t="s">
        <v>13</v>
      </c>
      <c r="G88" s="234"/>
      <c r="H88" s="14"/>
      <c r="I88" s="874"/>
      <c r="J88" s="234"/>
      <c r="K88" s="234"/>
      <c r="L88" s="234"/>
      <c r="M88" s="887">
        <f t="shared" si="65"/>
        <v>0</v>
      </c>
      <c r="N88" s="234"/>
      <c r="O88" s="874"/>
      <c r="P88" s="1381">
        <f>'Milling Down Time Hours'!M93</f>
        <v>0</v>
      </c>
      <c r="Q88" s="868"/>
      <c r="R88" s="1381">
        <f>'Milling Down Time Hours'!L93</f>
        <v>0</v>
      </c>
      <c r="S88" s="14"/>
      <c r="T88" s="1384" t="e">
        <f>SUM(#REF!)</f>
        <v>#REF!</v>
      </c>
      <c r="U88" s="1384" t="e">
        <f t="shared" ref="U88:V88" si="69">SUM(T88:T90)</f>
        <v>#REF!</v>
      </c>
      <c r="V88" s="1379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397"/>
      <c r="C89" s="1398"/>
      <c r="D89" s="14"/>
      <c r="E89" s="14"/>
      <c r="F89" s="919" t="s">
        <v>12</v>
      </c>
      <c r="G89" s="234"/>
      <c r="H89" s="14"/>
      <c r="I89" s="874"/>
      <c r="J89" s="234"/>
      <c r="K89" s="234"/>
      <c r="L89" s="234"/>
      <c r="M89" s="887">
        <f t="shared" si="65"/>
        <v>0</v>
      </c>
      <c r="N89" s="234"/>
      <c r="O89" s="874"/>
      <c r="P89" s="1387"/>
      <c r="Q89" s="869"/>
      <c r="R89" s="1387"/>
      <c r="S89" s="14"/>
      <c r="T89" s="1388"/>
      <c r="U89" s="1388"/>
      <c r="V89" s="1380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397"/>
      <c r="C90" s="1398"/>
      <c r="D90" s="37"/>
      <c r="E90" s="37"/>
      <c r="F90" s="910" t="s">
        <v>13</v>
      </c>
      <c r="G90" s="234"/>
      <c r="H90" s="14"/>
      <c r="I90" s="874"/>
      <c r="J90" s="234"/>
      <c r="K90" s="234"/>
      <c r="L90" s="234"/>
      <c r="M90" s="887">
        <f t="shared" si="65"/>
        <v>0</v>
      </c>
      <c r="N90" s="234"/>
      <c r="O90" s="874"/>
      <c r="P90" s="1381">
        <f>'Milling Down Time Hours'!M95</f>
        <v>0</v>
      </c>
      <c r="Q90" s="868"/>
      <c r="R90" s="1381">
        <f>'Milling Down Time Hours'!L95</f>
        <v>0</v>
      </c>
      <c r="S90" s="14"/>
      <c r="T90" s="1384" t="e">
        <f>SUM(#REF!)</f>
        <v>#REF!</v>
      </c>
      <c r="U90" s="1384" t="e">
        <f t="shared" ref="U90:V90" si="70">SUM(T90:T92)</f>
        <v>#REF!</v>
      </c>
      <c r="V90" s="1379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397"/>
      <c r="C91" s="1398"/>
      <c r="D91" s="14"/>
      <c r="E91" s="14"/>
      <c r="F91" s="919" t="s">
        <v>12</v>
      </c>
      <c r="G91" s="234"/>
      <c r="H91" s="14"/>
      <c r="I91" s="874"/>
      <c r="J91" s="234"/>
      <c r="K91" s="234"/>
      <c r="L91" s="234"/>
      <c r="M91" s="887">
        <f t="shared" si="65"/>
        <v>0</v>
      </c>
      <c r="N91" s="234"/>
      <c r="O91" s="874"/>
      <c r="P91" s="1387"/>
      <c r="Q91" s="869"/>
      <c r="R91" s="1387"/>
      <c r="S91" s="14"/>
      <c r="T91" s="1388"/>
      <c r="U91" s="1388"/>
      <c r="V91" s="1380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397"/>
      <c r="C92" s="1398"/>
      <c r="D92" s="37"/>
      <c r="E92" s="37"/>
      <c r="F92" s="910" t="s">
        <v>13</v>
      </c>
      <c r="G92" s="234"/>
      <c r="H92" s="14"/>
      <c r="I92" s="874"/>
      <c r="J92" s="234"/>
      <c r="K92" s="234"/>
      <c r="L92" s="234"/>
      <c r="M92" s="887">
        <f t="shared" si="65"/>
        <v>0</v>
      </c>
      <c r="N92" s="234"/>
      <c r="O92" s="874"/>
      <c r="P92" s="1381">
        <f>'Milling Down Time Hours'!M97</f>
        <v>0</v>
      </c>
      <c r="Q92" s="868"/>
      <c r="R92" s="1381">
        <f>'Milling Down Time Hours'!L97</f>
        <v>0</v>
      </c>
      <c r="S92" s="14"/>
      <c r="T92" s="1384" t="e">
        <f>SUM(#REF!)</f>
        <v>#REF!</v>
      </c>
      <c r="U92" s="1384" t="e">
        <f t="shared" ref="U92:V92" si="71">SUM(T92:T94)</f>
        <v>#REF!</v>
      </c>
      <c r="V92" s="1379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397"/>
      <c r="C93" s="1398"/>
      <c r="D93" s="14"/>
      <c r="E93" s="14"/>
      <c r="F93" s="919" t="s">
        <v>12</v>
      </c>
      <c r="G93" s="234"/>
      <c r="H93" s="14"/>
      <c r="I93" s="874"/>
      <c r="J93" s="234"/>
      <c r="K93" s="234"/>
      <c r="L93" s="234"/>
      <c r="M93" s="887">
        <f t="shared" si="65"/>
        <v>0</v>
      </c>
      <c r="N93" s="234"/>
      <c r="O93" s="874"/>
      <c r="P93" s="1387"/>
      <c r="Q93" s="869"/>
      <c r="R93" s="1387"/>
      <c r="S93" s="14"/>
      <c r="T93" s="1388"/>
      <c r="U93" s="1388"/>
      <c r="V93" s="1380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397"/>
      <c r="C94" s="1398"/>
      <c r="D94" s="37"/>
      <c r="E94" s="37"/>
      <c r="F94" s="910" t="s">
        <v>13</v>
      </c>
      <c r="G94" s="234"/>
      <c r="H94" s="14"/>
      <c r="I94" s="874"/>
      <c r="J94" s="234"/>
      <c r="K94" s="234"/>
      <c r="L94" s="234"/>
      <c r="M94" s="887">
        <f t="shared" si="65"/>
        <v>0</v>
      </c>
      <c r="N94" s="234"/>
      <c r="O94" s="874"/>
      <c r="P94" s="1381">
        <f>'Milling Down Time Hours'!M99</f>
        <v>0</v>
      </c>
      <c r="Q94" s="868"/>
      <c r="R94" s="1381">
        <f>'Milling Down Time Hours'!L99</f>
        <v>0</v>
      </c>
      <c r="S94" s="14"/>
      <c r="T94" s="1384" t="e">
        <f>SUM(#REF!)</f>
        <v>#REF!</v>
      </c>
      <c r="U94" s="1384" t="e">
        <f t="shared" ref="U94:V94" si="72">SUM(T94:T96)</f>
        <v>#REF!</v>
      </c>
      <c r="V94" s="1379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397"/>
      <c r="C95" s="1398"/>
      <c r="D95" s="14"/>
      <c r="E95" s="14"/>
      <c r="F95" s="919" t="s">
        <v>12</v>
      </c>
      <c r="G95" s="234"/>
      <c r="H95" s="14"/>
      <c r="I95" s="874"/>
      <c r="J95" s="234"/>
      <c r="K95" s="234"/>
      <c r="L95" s="234"/>
      <c r="M95" s="887">
        <f t="shared" si="65"/>
        <v>0</v>
      </c>
      <c r="N95" s="234"/>
      <c r="O95" s="874"/>
      <c r="P95" s="1387"/>
      <c r="Q95" s="869"/>
      <c r="R95" s="1387"/>
      <c r="S95" s="14"/>
      <c r="T95" s="1388"/>
      <c r="U95" s="1388"/>
      <c r="V95" s="1380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397"/>
      <c r="C96" s="1398"/>
      <c r="D96" s="37"/>
      <c r="E96" s="37"/>
      <c r="F96" s="910" t="s">
        <v>13</v>
      </c>
      <c r="G96" s="234"/>
      <c r="H96" s="14"/>
      <c r="I96" s="874"/>
      <c r="J96" s="234"/>
      <c r="K96" s="234"/>
      <c r="L96" s="234"/>
      <c r="M96" s="887">
        <f t="shared" si="65"/>
        <v>0</v>
      </c>
      <c r="N96" s="234"/>
      <c r="O96" s="874"/>
      <c r="P96" s="1381">
        <f>'Milling Down Time Hours'!M101</f>
        <v>0</v>
      </c>
      <c r="Q96" s="868"/>
      <c r="R96" s="1381">
        <f>'Milling Down Time Hours'!L101</f>
        <v>0</v>
      </c>
      <c r="S96" s="14"/>
      <c r="T96" s="1384" t="e">
        <f>SUM(#REF!)</f>
        <v>#REF!</v>
      </c>
      <c r="U96" s="1384" t="e">
        <f>SUM(T96:T100)</f>
        <v>#REF!</v>
      </c>
      <c r="V96" s="1379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397"/>
      <c r="C97" s="1398"/>
      <c r="D97" s="96"/>
      <c r="E97" s="96"/>
      <c r="F97" s="919" t="s">
        <v>12</v>
      </c>
      <c r="G97" s="866"/>
      <c r="H97" s="96"/>
      <c r="I97" s="875"/>
      <c r="J97" s="866"/>
      <c r="K97" s="866"/>
      <c r="L97" s="866"/>
      <c r="M97" s="887">
        <f t="shared" si="65"/>
        <v>0</v>
      </c>
      <c r="N97" s="866"/>
      <c r="O97" s="875"/>
      <c r="P97" s="1382"/>
      <c r="Q97" s="460"/>
      <c r="R97" s="1383"/>
      <c r="S97" s="96"/>
      <c r="T97" s="1385"/>
      <c r="U97" s="1385"/>
      <c r="V97" s="1386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391"/>
      <c r="C98" s="1392"/>
      <c r="D98" s="514"/>
      <c r="E98" s="514"/>
      <c r="F98" s="910" t="s">
        <v>13</v>
      </c>
      <c r="G98" s="884"/>
      <c r="H98" s="14"/>
      <c r="I98" s="874"/>
      <c r="J98" s="234"/>
      <c r="K98" s="234"/>
      <c r="L98" s="884"/>
      <c r="M98" s="887">
        <f t="shared" si="65"/>
        <v>0</v>
      </c>
      <c r="N98" s="884"/>
      <c r="O98" s="874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19" t="s">
        <v>12</v>
      </c>
      <c r="G99" s="234"/>
      <c r="H99" s="14"/>
      <c r="I99" s="874"/>
      <c r="J99" s="234"/>
      <c r="K99" s="234"/>
      <c r="L99" s="234"/>
      <c r="M99" s="887">
        <f t="shared" si="65"/>
        <v>0</v>
      </c>
      <c r="N99" s="234"/>
      <c r="O99" s="874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7"/>
      <c r="G100" s="877"/>
      <c r="H100" s="467"/>
      <c r="I100" s="876"/>
      <c r="J100" s="877"/>
      <c r="K100" s="877"/>
      <c r="L100" s="885">
        <f>AVERAGE(L5:L99)</f>
        <v>0.72469387755102033</v>
      </c>
      <c r="M100" s="888">
        <f>SUM(M5:M99)</f>
        <v>3993.9387882510005</v>
      </c>
      <c r="N100" s="885"/>
      <c r="O100" s="935">
        <f>AVERAGE(O5:O99)</f>
        <v>8.2608080133720563</v>
      </c>
      <c r="P100" s="935">
        <f>SUM(P5:P99)</f>
        <v>478.4</v>
      </c>
      <c r="Q100" s="935">
        <f>SUM(Q5:Q99)</f>
        <v>28704</v>
      </c>
      <c r="R100" s="935">
        <f>SUM(R5:R99)</f>
        <v>12396</v>
      </c>
      <c r="S100" s="1100">
        <f>SUM(S5:S99)</f>
        <v>3993.9387882509996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89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3"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5" zoomScale="77" zoomScaleNormal="55" workbookViewId="0">
      <selection activeCell="I38" sqref="I3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58" t="s">
        <v>664</v>
      </c>
      <c r="C2" s="1459"/>
      <c r="D2" s="1459"/>
      <c r="E2" s="1459"/>
      <c r="F2" s="1459"/>
      <c r="G2" s="1459"/>
      <c r="H2" s="1459"/>
      <c r="I2" s="1459"/>
      <c r="J2" s="1459"/>
      <c r="K2" s="1459"/>
      <c r="L2" s="1459"/>
      <c r="M2" s="1460"/>
      <c r="AD2" s="14">
        <v>2</v>
      </c>
      <c r="AE2" s="14">
        <v>9.9000000000000005E-2</v>
      </c>
    </row>
    <row r="3" spans="2:31" ht="15" thickBot="1" x14ac:dyDescent="0.35">
      <c r="B3" s="1458" t="s">
        <v>197</v>
      </c>
      <c r="C3" s="1459"/>
      <c r="D3" s="1459"/>
      <c r="E3" s="1459"/>
      <c r="F3" s="1459"/>
      <c r="G3" s="1459"/>
      <c r="H3" s="1459"/>
      <c r="I3" s="1459"/>
      <c r="J3" s="1459"/>
      <c r="K3" s="1459"/>
      <c r="L3" s="1459"/>
      <c r="M3" s="1460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3" t="s">
        <v>70</v>
      </c>
      <c r="C7" s="1123" t="s">
        <v>0</v>
      </c>
      <c r="D7" s="1124" t="s">
        <v>178</v>
      </c>
      <c r="E7" s="1124" t="s">
        <v>179</v>
      </c>
      <c r="F7" s="1124" t="s">
        <v>180</v>
      </c>
      <c r="G7" s="1124" t="s">
        <v>181</v>
      </c>
      <c r="H7" s="1124" t="s">
        <v>182</v>
      </c>
      <c r="I7" s="1124" t="s">
        <v>183</v>
      </c>
      <c r="J7" s="1124" t="s">
        <v>662</v>
      </c>
      <c r="K7" s="1124" t="s">
        <v>371</v>
      </c>
      <c r="L7" s="1124" t="s">
        <v>185</v>
      </c>
      <c r="M7" s="1124" t="s">
        <v>195</v>
      </c>
      <c r="Q7" s="1200" t="s">
        <v>337</v>
      </c>
      <c r="R7" s="1200"/>
      <c r="S7" s="1200"/>
      <c r="T7" s="1200"/>
      <c r="U7" s="1200"/>
      <c r="V7" s="120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19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61"/>
      <c r="AH34" s="1446"/>
      <c r="AI34" s="1446"/>
      <c r="AJ34" s="1446"/>
      <c r="AK34" s="1446"/>
      <c r="AL34" s="1462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4"/>
      <c r="O35" s="1119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5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63" t="s">
        <v>422</v>
      </c>
      <c r="C106" s="1463"/>
      <c r="D106" s="1463"/>
      <c r="E106" s="1463"/>
      <c r="F106" s="1463"/>
      <c r="G106" s="1463"/>
      <c r="H106" s="1463"/>
      <c r="I106" s="1463"/>
      <c r="J106" s="1463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63"/>
      <c r="C107" s="1463"/>
      <c r="D107" s="1463"/>
      <c r="E107" s="1463"/>
      <c r="F107" s="1463"/>
      <c r="G107" s="1463"/>
      <c r="H107" s="1463"/>
      <c r="I107" s="1463"/>
      <c r="J107" s="1463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8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27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8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4" t="s">
        <v>714</v>
      </c>
      <c r="C8" s="1134">
        <v>1</v>
      </c>
      <c r="D8" s="1134"/>
      <c r="E8" s="1134">
        <v>20</v>
      </c>
      <c r="F8" s="1134">
        <v>1.3</v>
      </c>
      <c r="G8" s="1135">
        <f t="shared" si="0"/>
        <v>26</v>
      </c>
      <c r="H8" s="1134">
        <v>0.92100000000000004</v>
      </c>
      <c r="I8" s="1135">
        <f t="shared" si="1"/>
        <v>23.946000000000002</v>
      </c>
    </row>
    <row r="9" spans="1:12" x14ac:dyDescent="0.3">
      <c r="A9" s="1">
        <v>2</v>
      </c>
      <c r="B9" s="1134" t="s">
        <v>714</v>
      </c>
      <c r="C9" s="1134">
        <v>1</v>
      </c>
      <c r="D9" s="1134"/>
      <c r="E9" s="1134">
        <v>132</v>
      </c>
      <c r="F9" s="1134">
        <v>1.3</v>
      </c>
      <c r="G9" s="1135">
        <f t="shared" si="0"/>
        <v>171.6</v>
      </c>
      <c r="H9" s="1134">
        <v>0.92100000000000004</v>
      </c>
      <c r="I9" s="1135">
        <f t="shared" si="1"/>
        <v>158.0436</v>
      </c>
      <c r="K9" s="11"/>
    </row>
    <row r="10" spans="1:12" x14ac:dyDescent="0.3">
      <c r="A10" s="1">
        <v>3</v>
      </c>
      <c r="B10" s="1131" t="s">
        <v>715</v>
      </c>
      <c r="C10" s="1131">
        <v>1</v>
      </c>
      <c r="D10" s="1131"/>
      <c r="E10" s="1131">
        <v>31</v>
      </c>
      <c r="F10" s="1131">
        <v>1.3</v>
      </c>
      <c r="G10" s="461">
        <f t="shared" si="0"/>
        <v>40.300000000000004</v>
      </c>
      <c r="H10" s="1131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4" t="s">
        <v>717</v>
      </c>
      <c r="C12" s="1134">
        <v>1</v>
      </c>
      <c r="D12" s="1134"/>
      <c r="E12" s="1134">
        <v>24</v>
      </c>
      <c r="F12" s="1134">
        <v>1.3</v>
      </c>
      <c r="G12" s="1135">
        <f t="shared" si="0"/>
        <v>31.200000000000003</v>
      </c>
      <c r="H12" s="1134">
        <v>0.88700000000000001</v>
      </c>
      <c r="I12" s="1135">
        <f t="shared" si="1"/>
        <v>27.674400000000002</v>
      </c>
    </row>
    <row r="13" spans="1:12" x14ac:dyDescent="0.3">
      <c r="A13" s="1">
        <v>6</v>
      </c>
      <c r="B13" s="1134" t="s">
        <v>717</v>
      </c>
      <c r="C13" s="1134">
        <v>1</v>
      </c>
      <c r="D13" s="1134"/>
      <c r="E13" s="1134">
        <v>54</v>
      </c>
      <c r="F13" s="1134">
        <v>1.3</v>
      </c>
      <c r="G13" s="1135">
        <f t="shared" si="0"/>
        <v>70.2</v>
      </c>
      <c r="H13" s="1134">
        <v>0.88700000000000001</v>
      </c>
      <c r="I13" s="1135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1" t="s">
        <v>724</v>
      </c>
      <c r="C17" s="1131">
        <v>1</v>
      </c>
      <c r="D17" s="1131"/>
      <c r="E17" s="1131">
        <v>476</v>
      </c>
      <c r="F17" s="1131">
        <v>1.3</v>
      </c>
      <c r="G17" s="461">
        <f t="shared" si="0"/>
        <v>618.80000000000007</v>
      </c>
      <c r="H17" s="1131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2"/>
    </row>
    <row r="28" spans="1:9" x14ac:dyDescent="0.3">
      <c r="B28" s="6"/>
      <c r="C28" s="6"/>
      <c r="D28" s="6" t="s">
        <v>731</v>
      </c>
      <c r="E28" s="6" t="s">
        <v>735</v>
      </c>
      <c r="F28" s="1133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3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66" t="s">
        <v>270</v>
      </c>
      <c r="B3" s="1267"/>
      <c r="C3" s="1267"/>
      <c r="D3" s="1267"/>
      <c r="E3" s="1267"/>
      <c r="F3" s="1267"/>
      <c r="G3" s="1268"/>
      <c r="I3" s="1">
        <f>I2/2</f>
        <v>720</v>
      </c>
    </row>
    <row r="4" spans="1:14" ht="15" thickBot="1" x14ac:dyDescent="0.35">
      <c r="A4" s="1269" t="s">
        <v>0</v>
      </c>
      <c r="B4" s="1270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64">
        <v>46268</v>
      </c>
      <c r="B5" s="1262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64">
        <v>46269</v>
      </c>
      <c r="B6" s="1262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64">
        <v>46270</v>
      </c>
      <c r="B7" s="1262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64">
        <v>46271</v>
      </c>
      <c r="B8" s="1262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64">
        <v>46272</v>
      </c>
      <c r="B9" s="1262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64">
        <v>46273</v>
      </c>
      <c r="B10" s="1262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64">
        <v>46274</v>
      </c>
      <c r="B11" s="1262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64">
        <v>46275</v>
      </c>
      <c r="B12" s="126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64">
        <v>46276</v>
      </c>
      <c r="B13" s="126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64">
        <v>46277</v>
      </c>
      <c r="B14" s="126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64">
        <v>46278</v>
      </c>
      <c r="B15" s="126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64">
        <v>46279</v>
      </c>
      <c r="B16" s="126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64">
        <v>46280</v>
      </c>
      <c r="B17" s="126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64">
        <v>46281</v>
      </c>
      <c r="B18" s="126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64">
        <v>46282</v>
      </c>
      <c r="B19" s="126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64">
        <v>46283</v>
      </c>
      <c r="B20" s="126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64">
        <v>46284</v>
      </c>
      <c r="B21" s="126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64">
        <v>46285</v>
      </c>
      <c r="B22" s="126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64">
        <v>46286</v>
      </c>
      <c r="B23" s="126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64">
        <v>46287</v>
      </c>
      <c r="B24" s="126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64">
        <v>46288</v>
      </c>
      <c r="B25" s="126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64">
        <v>46289</v>
      </c>
      <c r="B26" s="126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64">
        <v>46290</v>
      </c>
      <c r="B27" s="126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64">
        <v>46291</v>
      </c>
      <c r="B28" s="126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64">
        <v>46292</v>
      </c>
      <c r="B29" s="126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64">
        <v>46293</v>
      </c>
      <c r="B30" s="126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64">
        <v>46294</v>
      </c>
      <c r="B31" s="126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64">
        <v>46295</v>
      </c>
      <c r="B32" s="126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64">
        <v>46296</v>
      </c>
      <c r="B33" s="126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64">
        <v>46297</v>
      </c>
      <c r="B34" s="126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64">
        <v>46298</v>
      </c>
      <c r="B35" s="126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64">
        <v>46299</v>
      </c>
      <c r="B36" s="126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64">
        <v>46300</v>
      </c>
      <c r="B37" s="126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64">
        <v>46301</v>
      </c>
      <c r="B38" s="126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64">
        <v>46302</v>
      </c>
      <c r="B39" s="126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64">
        <v>46303</v>
      </c>
      <c r="B40" s="126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64">
        <v>46304</v>
      </c>
      <c r="B41" s="126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64">
        <v>46305</v>
      </c>
      <c r="B42" s="126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64">
        <v>46306</v>
      </c>
      <c r="B43" s="126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64">
        <v>46307</v>
      </c>
      <c r="B44" s="126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64">
        <v>46308</v>
      </c>
      <c r="B45" s="126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64">
        <v>46309</v>
      </c>
      <c r="B46" s="126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64">
        <v>46310</v>
      </c>
      <c r="B47" s="126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64">
        <v>46311</v>
      </c>
      <c r="B48" s="126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64">
        <v>46312</v>
      </c>
      <c r="B49" s="126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64">
        <v>46313</v>
      </c>
      <c r="B50" s="126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64">
        <v>46314</v>
      </c>
      <c r="B51" s="126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64">
        <v>46315</v>
      </c>
      <c r="B52" s="126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64">
        <v>46316</v>
      </c>
      <c r="B53" s="126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64">
        <v>46317</v>
      </c>
      <c r="B54" s="126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64">
        <v>46318</v>
      </c>
      <c r="B55" s="126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64">
        <v>46319</v>
      </c>
      <c r="B56" s="126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64">
        <v>46320</v>
      </c>
      <c r="B57" s="1262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64">
        <v>46321</v>
      </c>
      <c r="B58" s="1262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64">
        <v>46322</v>
      </c>
      <c r="B59" s="1262"/>
      <c r="C59" s="65"/>
      <c r="D59" s="68"/>
      <c r="E59" s="68"/>
      <c r="F59" s="62">
        <f t="shared" si="5"/>
        <v>0</v>
      </c>
      <c r="G59" s="66"/>
    </row>
    <row r="60" spans="1:18" x14ac:dyDescent="0.3">
      <c r="A60" s="1464">
        <v>46323</v>
      </c>
      <c r="B60" s="1262"/>
      <c r="C60" s="65"/>
      <c r="D60" s="68"/>
      <c r="E60" s="68"/>
      <c r="F60" s="62">
        <f t="shared" si="5"/>
        <v>0</v>
      </c>
      <c r="G60" s="66"/>
    </row>
    <row r="61" spans="1:18" x14ac:dyDescent="0.3">
      <c r="A61" s="1464">
        <v>46324</v>
      </c>
      <c r="B61" s="1262"/>
      <c r="C61" s="65"/>
      <c r="D61" s="68"/>
      <c r="E61" s="68"/>
      <c r="F61" s="62">
        <f t="shared" si="5"/>
        <v>0</v>
      </c>
      <c r="G61" s="66"/>
    </row>
    <row r="62" spans="1:18" x14ac:dyDescent="0.3">
      <c r="A62" s="1464">
        <v>46325</v>
      </c>
      <c r="B62" s="1262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O102"/>
  <sheetViews>
    <sheetView tabSelected="1" zoomScale="81" zoomScaleNormal="100" workbookViewId="0">
      <pane ySplit="9" topLeftCell="A10" activePane="bottomLeft" state="frozen"/>
      <selection pane="bottomLeft" activeCell="AZ16" sqref="AZ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7.77734375" style="1" customWidth="1"/>
    <col min="59" max="60" width="8.88671875" style="1"/>
    <col min="61" max="61" width="9.33203125" style="1" bestFit="1" customWidth="1"/>
    <col min="62" max="66" width="8.88671875" style="1"/>
    <col min="67" max="67" width="21.77734375" style="1" bestFit="1" customWidth="1"/>
    <col min="68" max="16384" width="8.88671875" style="1"/>
  </cols>
  <sheetData>
    <row r="1" spans="1:67" ht="15" thickBot="1" x14ac:dyDescent="0.35"/>
    <row r="2" spans="1:67" ht="24" thickBot="1" x14ac:dyDescent="0.5">
      <c r="E2" s="1482" t="s">
        <v>243</v>
      </c>
      <c r="F2" s="1483"/>
      <c r="G2" s="1483"/>
      <c r="H2" s="1483"/>
      <c r="I2" s="1483"/>
      <c r="J2" s="1483"/>
      <c r="K2" s="1483"/>
      <c r="L2" s="1483"/>
      <c r="M2" s="1483"/>
      <c r="N2" s="1483"/>
      <c r="O2" s="1483"/>
      <c r="P2" s="1483"/>
      <c r="Q2" s="1483"/>
      <c r="R2" s="1483"/>
      <c r="S2" s="1483"/>
      <c r="T2" s="1483"/>
      <c r="U2" s="1483"/>
      <c r="V2" s="1483"/>
      <c r="W2" s="1483"/>
      <c r="X2" s="1483"/>
      <c r="Y2" s="1483"/>
      <c r="Z2" s="1483"/>
      <c r="AA2" s="1483"/>
      <c r="AB2" s="1483"/>
      <c r="AC2" s="1483"/>
      <c r="AD2" s="1483"/>
      <c r="AE2" s="1484"/>
    </row>
    <row r="3" spans="1:67" ht="24" thickBot="1" x14ac:dyDescent="0.5">
      <c r="E3" s="1482" t="s">
        <v>197</v>
      </c>
      <c r="F3" s="1483"/>
      <c r="G3" s="1483"/>
      <c r="H3" s="1483"/>
      <c r="I3" s="1483"/>
      <c r="J3" s="1483"/>
      <c r="K3" s="1483"/>
      <c r="L3" s="1483"/>
      <c r="M3" s="1483"/>
      <c r="N3" s="1483"/>
      <c r="O3" s="1483"/>
      <c r="P3" s="1483"/>
      <c r="Q3" s="1483"/>
      <c r="R3" s="1483"/>
      <c r="S3" s="1483"/>
      <c r="T3" s="1483"/>
      <c r="U3" s="1483"/>
      <c r="V3" s="1483"/>
      <c r="W3" s="1483"/>
      <c r="X3" s="1483"/>
      <c r="Y3" s="1483"/>
      <c r="Z3" s="1483"/>
      <c r="AA3" s="1483"/>
      <c r="AB3" s="1483"/>
      <c r="AC3" s="1483"/>
      <c r="AD3" s="1483"/>
      <c r="AE3" s="1484"/>
      <c r="AI3" s="137"/>
    </row>
    <row r="4" spans="1:67" ht="24" thickBot="1" x14ac:dyDescent="0.5">
      <c r="E4" s="1486" t="s">
        <v>537</v>
      </c>
      <c r="F4" s="1487"/>
      <c r="G4" s="1487"/>
      <c r="H4" s="1487"/>
      <c r="I4" s="1487"/>
      <c r="J4" s="1487"/>
      <c r="K4" s="1487"/>
      <c r="L4" s="1487"/>
      <c r="M4" s="1487"/>
      <c r="N4" s="1487"/>
      <c r="O4" s="1487"/>
      <c r="P4" s="1487"/>
      <c r="Q4" s="1487"/>
      <c r="R4" s="1487"/>
      <c r="S4" s="1487"/>
      <c r="T4" s="1487"/>
      <c r="U4" s="1487"/>
      <c r="V4" s="1487"/>
      <c r="W4" s="1487"/>
      <c r="X4" s="1487"/>
      <c r="Y4" s="1487"/>
      <c r="Z4" s="1487"/>
      <c r="AA4" s="1487"/>
      <c r="AB4" s="1487"/>
      <c r="AC4" s="1487"/>
      <c r="AD4" s="1487"/>
      <c r="AE4" s="1488"/>
      <c r="AG4" s="424"/>
      <c r="AH4" s="2"/>
      <c r="AL4" s="2"/>
    </row>
    <row r="5" spans="1:67" x14ac:dyDescent="0.3">
      <c r="C5" s="11">
        <f>SUM(M10:M11,N12:N19)</f>
        <v>3254.4426052499998</v>
      </c>
      <c r="G5" s="137"/>
      <c r="N5" s="11"/>
      <c r="AI5" s="2"/>
      <c r="AR5" s="2"/>
    </row>
    <row r="6" spans="1:67" x14ac:dyDescent="0.3">
      <c r="N6" s="11"/>
      <c r="U6" s="2"/>
      <c r="V6" s="11"/>
      <c r="AC6" s="1114"/>
      <c r="AD6" s="1152"/>
      <c r="AF6" s="2"/>
      <c r="AH6" s="11"/>
      <c r="AK6" s="44"/>
    </row>
    <row r="7" spans="1:67" x14ac:dyDescent="0.3">
      <c r="B7" s="1369" t="s">
        <v>259</v>
      </c>
      <c r="C7" s="206" t="s">
        <v>325</v>
      </c>
      <c r="D7" s="206" t="s">
        <v>706</v>
      </c>
      <c r="E7" s="1369" t="s">
        <v>244</v>
      </c>
      <c r="F7" s="1369" t="s">
        <v>245</v>
      </c>
      <c r="G7" s="1369" t="s">
        <v>246</v>
      </c>
      <c r="H7" s="1369" t="s">
        <v>247</v>
      </c>
      <c r="I7" s="1369" t="s">
        <v>248</v>
      </c>
      <c r="J7" s="1485" t="s">
        <v>144</v>
      </c>
      <c r="K7" s="1477" t="s">
        <v>680</v>
      </c>
      <c r="L7" s="1369" t="s">
        <v>250</v>
      </c>
      <c r="M7" s="1357" t="s">
        <v>249</v>
      </c>
      <c r="N7" s="225" t="s">
        <v>249</v>
      </c>
      <c r="O7" s="1357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369" t="s">
        <v>251</v>
      </c>
      <c r="V7" s="206" t="s">
        <v>303</v>
      </c>
      <c r="W7" s="1369" t="s">
        <v>260</v>
      </c>
      <c r="X7" s="1369"/>
      <c r="Y7" s="1369"/>
      <c r="Z7" s="1223" t="s">
        <v>262</v>
      </c>
      <c r="AA7" s="1223"/>
      <c r="AB7" s="1223"/>
      <c r="AC7" s="1369" t="s">
        <v>269</v>
      </c>
      <c r="AD7" s="1369" t="s">
        <v>290</v>
      </c>
      <c r="AE7" s="1223" t="s">
        <v>256</v>
      </c>
      <c r="AF7" s="1223"/>
      <c r="AG7" s="1223"/>
      <c r="AH7" s="1223"/>
      <c r="AI7" s="1223"/>
      <c r="AJ7" s="1223"/>
      <c r="AK7" s="1223" t="s">
        <v>266</v>
      </c>
      <c r="AL7" s="1223"/>
      <c r="AM7" s="1223"/>
      <c r="AN7" s="1223" t="s">
        <v>267</v>
      </c>
      <c r="AO7" s="1223"/>
      <c r="AP7" s="1223"/>
      <c r="AQ7" s="132"/>
      <c r="AR7" s="248" t="s">
        <v>331</v>
      </c>
      <c r="AS7" s="1471" t="s">
        <v>273</v>
      </c>
      <c r="AT7" s="1472"/>
      <c r="AU7" s="1473"/>
      <c r="AV7" s="227"/>
      <c r="AW7" s="1155"/>
      <c r="AX7" s="1357" t="s">
        <v>301</v>
      </c>
      <c r="AY7" s="1223" t="s">
        <v>661</v>
      </c>
      <c r="AZ7" s="1223"/>
      <c r="BA7" s="1223"/>
      <c r="BB7" s="132" t="s">
        <v>293</v>
      </c>
      <c r="BC7" s="1223" t="s">
        <v>277</v>
      </c>
      <c r="BD7" s="1223"/>
      <c r="BE7" s="1223"/>
      <c r="BF7" s="1223" t="s">
        <v>761</v>
      </c>
      <c r="BG7" s="1223"/>
      <c r="BH7" s="1223"/>
      <c r="BI7" s="1223" t="s">
        <v>763</v>
      </c>
      <c r="BJ7" s="1223"/>
      <c r="BK7" s="1223"/>
    </row>
    <row r="8" spans="1:67" x14ac:dyDescent="0.3">
      <c r="B8" s="1369"/>
      <c r="C8" s="206" t="s">
        <v>296</v>
      </c>
      <c r="D8" s="206" t="s">
        <v>36</v>
      </c>
      <c r="E8" s="1369"/>
      <c r="F8" s="1369"/>
      <c r="G8" s="1369"/>
      <c r="H8" s="1369"/>
      <c r="I8" s="1369"/>
      <c r="J8" s="1485"/>
      <c r="K8" s="1478"/>
      <c r="L8" s="1369"/>
      <c r="M8" s="1358"/>
      <c r="N8" s="226" t="s">
        <v>316</v>
      </c>
      <c r="O8" s="1358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369"/>
      <c r="V8" s="206" t="s">
        <v>184</v>
      </c>
      <c r="W8" s="1369" t="s">
        <v>261</v>
      </c>
      <c r="X8" s="1369"/>
      <c r="Y8" s="1369"/>
      <c r="Z8" s="1223" t="s">
        <v>466</v>
      </c>
      <c r="AA8" s="1223"/>
      <c r="AB8" s="1223"/>
      <c r="AC8" s="1369"/>
      <c r="AD8" s="1369"/>
      <c r="AE8" s="1223" t="s">
        <v>263</v>
      </c>
      <c r="AF8" s="1223"/>
      <c r="AG8" s="1223"/>
      <c r="AH8" s="1223" t="s">
        <v>264</v>
      </c>
      <c r="AI8" s="1223"/>
      <c r="AJ8" s="1223"/>
      <c r="AK8" s="1223" t="s">
        <v>265</v>
      </c>
      <c r="AL8" s="1223"/>
      <c r="AM8" s="1223"/>
      <c r="AN8" s="1223" t="s">
        <v>257</v>
      </c>
      <c r="AO8" s="1223"/>
      <c r="AP8" s="1223"/>
      <c r="AQ8" s="132" t="s">
        <v>258</v>
      </c>
      <c r="AR8" s="249" t="s">
        <v>294</v>
      </c>
      <c r="AS8" s="1474"/>
      <c r="AT8" s="1475"/>
      <c r="AU8" s="1476"/>
      <c r="AV8" s="227" t="s">
        <v>300</v>
      </c>
      <c r="AW8" s="1156"/>
      <c r="AX8" s="1359"/>
      <c r="AY8" s="1223" t="s">
        <v>261</v>
      </c>
      <c r="AZ8" s="1223"/>
      <c r="BA8" s="1223"/>
      <c r="BB8" s="132" t="s">
        <v>294</v>
      </c>
      <c r="BC8" s="1223" t="s">
        <v>40</v>
      </c>
      <c r="BD8" s="1223"/>
      <c r="BE8" s="1223"/>
      <c r="BF8" s="1223" t="s">
        <v>762</v>
      </c>
      <c r="BG8" s="1223"/>
      <c r="BH8" s="1223"/>
      <c r="BI8" s="1223" t="s">
        <v>40</v>
      </c>
      <c r="BJ8" s="1223"/>
      <c r="BK8" s="1223"/>
    </row>
    <row r="9" spans="1:67" x14ac:dyDescent="0.3">
      <c r="B9" s="1369"/>
      <c r="C9" s="206" t="s">
        <v>297</v>
      </c>
      <c r="D9" s="206" t="s">
        <v>743</v>
      </c>
      <c r="E9" s="1369"/>
      <c r="F9" s="1369"/>
      <c r="G9" s="1369"/>
      <c r="H9" s="1369"/>
      <c r="I9" s="1369"/>
      <c r="J9" s="1485"/>
      <c r="K9" s="1479"/>
      <c r="L9" s="1369"/>
      <c r="M9" s="1359"/>
      <c r="N9" s="205" t="s">
        <v>315</v>
      </c>
      <c r="O9" s="1359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369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369"/>
      <c r="AD9" s="1369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F9" s="253" t="s">
        <v>253</v>
      </c>
      <c r="BG9" s="132" t="s">
        <v>254</v>
      </c>
      <c r="BH9" s="132" t="s">
        <v>255</v>
      </c>
      <c r="BI9" s="132" t="s">
        <v>764</v>
      </c>
      <c r="BJ9" s="132" t="s">
        <v>254</v>
      </c>
      <c r="BK9" s="253" t="s">
        <v>255</v>
      </c>
      <c r="BO9" s="13" t="s">
        <v>765</v>
      </c>
    </row>
    <row r="10" spans="1:67" s="622" customFormat="1" x14ac:dyDescent="0.3">
      <c r="A10" s="824">
        <f>J10/S10</f>
        <v>5.1645804357904499</v>
      </c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098">
        <f>(AX10*1000)/J10</f>
        <v>1.7953321364452424</v>
      </c>
      <c r="L10" s="488">
        <v>0.41</v>
      </c>
      <c r="M10" s="473">
        <f t="shared" ref="M10:M21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F10" s="619">
        <v>229</v>
      </c>
      <c r="BG10" s="487">
        <v>231</v>
      </c>
      <c r="BH10" s="1183">
        <v>133</v>
      </c>
      <c r="BI10" s="1183">
        <f>BF10*$AX$10</f>
        <v>229</v>
      </c>
      <c r="BJ10" s="1183">
        <f t="shared" ref="BJ10:BK10" si="6">BG10*$AX$10</f>
        <v>231</v>
      </c>
      <c r="BK10" s="1183">
        <f t="shared" si="6"/>
        <v>133</v>
      </c>
      <c r="BL10" s="1184">
        <f>(BI10+AQ10+AN10)/M10</f>
        <v>0.86793570740465043</v>
      </c>
      <c r="BM10" s="826">
        <f>BL10*M10</f>
        <v>253.70941119999998</v>
      </c>
      <c r="BN10" s="1187">
        <f>BI10/BM10</f>
        <v>0.9026074315370135</v>
      </c>
      <c r="BO10" s="1188">
        <f>BL10-W10</f>
        <v>0.15993570740465046</v>
      </c>
    </row>
    <row r="11" spans="1:67" x14ac:dyDescent="0.3">
      <c r="A11" s="44">
        <f>J11/S11</f>
        <v>4.9976819656930926</v>
      </c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099">
        <f t="shared" ref="K11:K20" si="7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8">Y11*$M11</f>
        <v>2716.6199487777781</v>
      </c>
      <c r="AN11" s="40">
        <f t="shared" ref="AN11:AP11" si="9">AE11*$M11</f>
        <v>16.732924862499999</v>
      </c>
      <c r="AO11" s="40">
        <f t="shared" si="9"/>
        <v>75.035537500000004</v>
      </c>
      <c r="AP11" s="40">
        <f t="shared" si="9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10">(AK11-AN11-AQ11)</f>
        <v>177.02628308750002</v>
      </c>
      <c r="BD11" s="40">
        <f t="shared" ref="BD11" si="11">(AL11-AO11)</f>
        <v>163.07723483333334</v>
      </c>
      <c r="BE11" s="40">
        <f>(AM11-AP11)</f>
        <v>209.68264090277808</v>
      </c>
      <c r="BF11" s="234">
        <v>311</v>
      </c>
      <c r="BG11" s="234">
        <v>316</v>
      </c>
      <c r="BH11" s="234">
        <v>177</v>
      </c>
      <c r="BI11" s="230">
        <f>BF11*$AX$11</f>
        <v>311</v>
      </c>
      <c r="BJ11" s="230">
        <f t="shared" ref="BJ11:BK11" si="12">BG11*$AX$11</f>
        <v>316</v>
      </c>
      <c r="BK11" s="230">
        <f t="shared" si="12"/>
        <v>177</v>
      </c>
      <c r="BL11" s="118">
        <f>(BI11+AQ11+AN11)/M11</f>
        <v>1.1303675525496835</v>
      </c>
      <c r="BM11" s="11">
        <f>BL11*M11</f>
        <v>339.27094751250002</v>
      </c>
      <c r="BN11" s="2">
        <f t="shared" ref="BN11:BN15" si="13">BI11/BM11</f>
        <v>0.91667147535095561</v>
      </c>
      <c r="BO11" s="245">
        <f t="shared" ref="BO11:BO15" si="14">BL11-W11</f>
        <v>0.44636755254968341</v>
      </c>
    </row>
    <row r="12" spans="1:67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098">
        <f t="shared" si="7"/>
        <v>1.545595054095827</v>
      </c>
      <c r="L12" s="488">
        <v>0.45</v>
      </c>
      <c r="M12" s="473">
        <f t="shared" si="0"/>
        <v>381.40650000000005</v>
      </c>
      <c r="N12" s="473">
        <f t="shared" ref="N12:N17" si="15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6">$N12*X12</f>
        <v>215.43744704250003</v>
      </c>
      <c r="AM12" s="473">
        <f t="shared" si="16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7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0">
        <v>1</v>
      </c>
      <c r="AY12" s="473">
        <f>(BC10+BC12)/AX12</f>
        <v>445.00162651187497</v>
      </c>
      <c r="AZ12" s="473">
        <f>(BD10+BD12)/AX12</f>
        <v>255.0278987478267</v>
      </c>
      <c r="BA12" s="825">
        <f>(BA10+BE12)/AX12</f>
        <v>293.6144642121883</v>
      </c>
      <c r="BB12" s="825">
        <v>3</v>
      </c>
      <c r="BC12" s="473">
        <f>(AK12-AN12-AQ12)</f>
        <v>262.75300891187504</v>
      </c>
      <c r="BD12" s="473">
        <f t="shared" ref="BD12:BD13" si="18">(AL12-AO12)</f>
        <v>139.14425331750002</v>
      </c>
      <c r="BE12" s="473">
        <f t="shared" ref="BE12" si="19">(AM12-AP12)</f>
        <v>34.513587637501132</v>
      </c>
      <c r="BF12" s="619">
        <v>489</v>
      </c>
      <c r="BG12" s="487">
        <v>482</v>
      </c>
      <c r="BH12" s="487">
        <v>280</v>
      </c>
      <c r="BI12" s="487">
        <f>BF12*$AX$12</f>
        <v>489</v>
      </c>
      <c r="BJ12" s="487">
        <f t="shared" ref="BJ12:BK12" si="20">BG12*$AX$12</f>
        <v>482</v>
      </c>
      <c r="BK12" s="487">
        <f t="shared" si="20"/>
        <v>280</v>
      </c>
      <c r="BL12" s="1185">
        <f>(BI12+AQ12+AN12)/N12</f>
        <v>1.6265041031221315</v>
      </c>
      <c r="BM12" s="826">
        <f>BL12*N12</f>
        <v>531.81939700287501</v>
      </c>
      <c r="BN12" s="1187">
        <f t="shared" si="13"/>
        <v>0.91948507849809857</v>
      </c>
      <c r="BO12" s="1188">
        <f t="shared" si="14"/>
        <v>0.69194854756657598</v>
      </c>
    </row>
    <row r="13" spans="1:67" x14ac:dyDescent="0.3">
      <c r="A13" s="44">
        <f t="shared" ref="A13:A19" si="21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099">
        <f t="shared" si="7"/>
        <v>1.545595054095827</v>
      </c>
      <c r="L13" s="41">
        <v>0.44</v>
      </c>
      <c r="M13" s="40">
        <f t="shared" si="0"/>
        <v>371.50740000000002</v>
      </c>
      <c r="N13" s="40">
        <f t="shared" si="15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22">$N13*W13</f>
        <v>294.40648242500004</v>
      </c>
      <c r="AL13" s="40">
        <f t="shared" ref="AL13:AL14" si="23">$N13*X13</f>
        <v>232.15510725000001</v>
      </c>
      <c r="AM13" s="40">
        <f t="shared" ref="AM13:AM14" si="24">$N13*Y13</f>
        <v>2900.2221077500008</v>
      </c>
      <c r="AN13" s="40">
        <f>AE13*$N13</f>
        <v>34.598770250000008</v>
      </c>
      <c r="AO13" s="40">
        <f t="shared" ref="AO13:AP14" si="25">AF13*$N13</f>
        <v>76.064472000000009</v>
      </c>
      <c r="AP13" s="40">
        <f t="shared" si="25"/>
        <v>1636.4425990000002</v>
      </c>
      <c r="AQ13" s="40">
        <f>AH13*U13</f>
        <v>15.603310800000003</v>
      </c>
      <c r="AR13" s="40">
        <v>4</v>
      </c>
      <c r="AS13" s="39">
        <f t="shared" ref="AS13:AS59" si="26">IFERROR(((AK13-(AN13+AQ13))/AK13),"")</f>
        <v>0.82948038155787218</v>
      </c>
      <c r="AT13" s="39">
        <f t="shared" ref="AT13:AT59" si="27">IFERROR((AL13-AO13)/AL13,"")</f>
        <v>0.67235494880546065</v>
      </c>
      <c r="AU13" s="39">
        <f t="shared" ref="AU13:AU59" si="28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10"/>
        <v>244.204401375</v>
      </c>
      <c r="BD13" s="40">
        <f t="shared" si="18"/>
        <v>156.09063524999999</v>
      </c>
      <c r="BE13" s="40">
        <f>(AM13-AP13)</f>
        <v>1263.7795087500006</v>
      </c>
      <c r="BF13" s="234">
        <v>676</v>
      </c>
      <c r="BG13" s="155">
        <v>671</v>
      </c>
      <c r="BH13" s="155">
        <v>362</v>
      </c>
      <c r="BI13" s="155">
        <f>BF13*$AX$13</f>
        <v>676</v>
      </c>
      <c r="BJ13" s="155">
        <f t="shared" ref="BJ13:BK13" si="29">BG13*$AX$13</f>
        <v>671</v>
      </c>
      <c r="BK13" s="155">
        <f t="shared" si="29"/>
        <v>362</v>
      </c>
      <c r="BL13" s="118">
        <f>(BI13+AQ13+AN13)/N13</f>
        <v>2.291325961639489</v>
      </c>
      <c r="BM13" s="11">
        <f>BL13*N13</f>
        <v>726.20208105000006</v>
      </c>
      <c r="BN13" s="2">
        <f t="shared" si="13"/>
        <v>0.93087037016278729</v>
      </c>
      <c r="BO13" s="245">
        <f t="shared" si="14"/>
        <v>1.3624092949728224</v>
      </c>
    </row>
    <row r="14" spans="1:67" s="689" customFormat="1" x14ac:dyDescent="0.3">
      <c r="A14" s="824">
        <f t="shared" si="21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098">
        <f t="shared" si="7"/>
        <v>2.3183925811437405</v>
      </c>
      <c r="L14" s="488">
        <v>0.4</v>
      </c>
      <c r="M14" s="473">
        <f t="shared" si="0"/>
        <v>328.67600000000004</v>
      </c>
      <c r="N14" s="473">
        <f t="shared" si="15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22"/>
        <v>156.80965986666669</v>
      </c>
      <c r="AL14" s="473">
        <f t="shared" si="23"/>
        <v>132.60294733333336</v>
      </c>
      <c r="AM14" s="473">
        <f t="shared" si="24"/>
        <v>2413.8482828888887</v>
      </c>
      <c r="AN14" s="473">
        <f>AE14*$N14</f>
        <v>33.284229733333341</v>
      </c>
      <c r="AO14" s="473">
        <f t="shared" si="25"/>
        <v>101.00962766666669</v>
      </c>
      <c r="AP14" s="473">
        <f t="shared" si="25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7"/>
        <v>0.23825503355704697</v>
      </c>
      <c r="AU14" s="822">
        <f t="shared" si="28"/>
        <v>0.16842816762934718</v>
      </c>
      <c r="AV14" s="823">
        <v>2</v>
      </c>
      <c r="AW14" s="823"/>
      <c r="AX14" s="1161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10"/>
        <v>110.70706613333334</v>
      </c>
      <c r="BD14" s="473">
        <f t="shared" ref="BD14" si="30">(AL14-AO14)</f>
        <v>31.593319666666673</v>
      </c>
      <c r="BE14" s="473">
        <f t="shared" ref="BE14" si="31">(AM14-AP14)</f>
        <v>406.56004322222157</v>
      </c>
      <c r="BF14" s="619">
        <v>532</v>
      </c>
      <c r="BG14" s="487">
        <v>537</v>
      </c>
      <c r="BH14" s="487">
        <v>303</v>
      </c>
      <c r="BI14" s="487">
        <f>BF14*$AX$14</f>
        <v>798</v>
      </c>
      <c r="BJ14" s="487">
        <f t="shared" ref="BJ14:BK14" si="32">BG14*$AX$14</f>
        <v>805.5</v>
      </c>
      <c r="BK14" s="487">
        <f t="shared" si="32"/>
        <v>454.5</v>
      </c>
      <c r="BL14" s="1185">
        <f>(BI14+AQ14+AN14)/N14</f>
        <v>3.161601080407022</v>
      </c>
      <c r="BM14" s="826">
        <f>BL14*N14</f>
        <v>844.10259373333326</v>
      </c>
      <c r="BN14" s="1187">
        <f t="shared" si="13"/>
        <v>0.9453827128649982</v>
      </c>
      <c r="BO14" s="1188">
        <f t="shared" si="14"/>
        <v>2.5742677470736886</v>
      </c>
    </row>
    <row r="15" spans="1:67" x14ac:dyDescent="0.3">
      <c r="A15" s="44">
        <f t="shared" si="21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099">
        <f t="shared" si="7"/>
        <v>1.7964071856287425</v>
      </c>
      <c r="L15" s="41">
        <v>0.33</v>
      </c>
      <c r="M15" s="40">
        <f t="shared" si="0"/>
        <v>333.41550000000001</v>
      </c>
      <c r="N15" s="40">
        <f t="shared" si="15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33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34">$N15*W15</f>
        <v>159.59634800937499</v>
      </c>
      <c r="AL15" s="40">
        <f t="shared" ref="AL15" si="35">$N15*X15</f>
        <v>185.15300318750002</v>
      </c>
      <c r="AM15" s="40">
        <f t="shared" ref="AM15" si="36">$N15*Y15</f>
        <v>2099.9397967500004</v>
      </c>
      <c r="AN15" s="40">
        <f>AE15*$N15</f>
        <v>12.051105693750003</v>
      </c>
      <c r="AO15" s="40">
        <f t="shared" ref="AO15" si="37">AF15*$N15</f>
        <v>65.934785175000002</v>
      </c>
      <c r="AP15" s="40">
        <f t="shared" ref="AP15" si="38">AG15*$N15</f>
        <v>2050.0731525000001</v>
      </c>
      <c r="AQ15" s="40">
        <f t="shared" si="17"/>
        <v>12.184820999999996</v>
      </c>
      <c r="AR15" s="40">
        <v>6</v>
      </c>
      <c r="AS15" s="39">
        <f t="shared" si="26"/>
        <v>0.84814234789178045</v>
      </c>
      <c r="AT15" s="39">
        <f t="shared" si="27"/>
        <v>0.64389027431421453</v>
      </c>
      <c r="AU15" s="39">
        <f t="shared" si="28"/>
        <v>2.3746701846965819E-2</v>
      </c>
      <c r="AV15" s="232">
        <v>3</v>
      </c>
      <c r="AW15" s="232"/>
      <c r="AX15" s="1162">
        <v>1.5</v>
      </c>
      <c r="AY15" s="40">
        <f>(BC11+BC13+BC15)/$AX$15</f>
        <v>371.06073718541666</v>
      </c>
      <c r="AZ15" s="40">
        <f t="shared" ref="AZ15:BA15" si="39">(BD11+BD13+BD15)/$AX$15</f>
        <v>292.25739206388891</v>
      </c>
      <c r="BA15" s="40">
        <f t="shared" si="39"/>
        <v>1015.5525292685193</v>
      </c>
      <c r="BB15" s="40">
        <v>6</v>
      </c>
      <c r="BC15" s="40">
        <f t="shared" si="10"/>
        <v>135.36042131562499</v>
      </c>
      <c r="BD15" s="40">
        <f t="shared" ref="BD15" si="40">(AL15-AO15)</f>
        <v>119.21821801250002</v>
      </c>
      <c r="BE15" s="40">
        <f t="shared" ref="BE15" si="41">(AM15-AP15)</f>
        <v>49.866644250000263</v>
      </c>
      <c r="BF15" s="234">
        <v>595</v>
      </c>
      <c r="BG15" s="234">
        <v>594</v>
      </c>
      <c r="BH15" s="234">
        <v>349</v>
      </c>
      <c r="BI15" s="1186">
        <f>BF15*$AX$15</f>
        <v>892.5</v>
      </c>
      <c r="BJ15" s="1186">
        <f t="shared" ref="BJ15:BK15" si="42">BG15*$AX$15</f>
        <v>891</v>
      </c>
      <c r="BK15" s="1186">
        <f t="shared" si="42"/>
        <v>523.5</v>
      </c>
      <c r="BL15" s="118">
        <f>(BI15+AQ15+AN15)/N15</f>
        <v>3.3090750197187164</v>
      </c>
      <c r="BM15" s="11">
        <f t="shared" ref="BM15" si="43">BL15*N15</f>
        <v>916.73592669374989</v>
      </c>
      <c r="BN15" s="2">
        <f t="shared" si="13"/>
        <v>0.9735628047423015</v>
      </c>
      <c r="BO15" s="245">
        <f t="shared" si="14"/>
        <v>2.7329916863853834</v>
      </c>
    </row>
    <row r="16" spans="1:67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 t="shared" ref="D16:D21" si="44"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098">
        <f t="shared" si="7"/>
        <v>1.9870181480990861</v>
      </c>
      <c r="L16" s="488">
        <v>0.33</v>
      </c>
      <c r="M16" s="473">
        <f t="shared" si="0"/>
        <v>302.67715500000003</v>
      </c>
      <c r="N16" s="473">
        <f t="shared" si="15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4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33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46">$N16*X16</f>
        <v>131.78815883333334</v>
      </c>
      <c r="AM16" s="675">
        <f t="shared" ref="AM16:AM17" si="47">$N16*Y16</f>
        <v>2415.1137074166668</v>
      </c>
      <c r="AN16" s="675">
        <f t="shared" ref="AN16:AN18" si="48">AE16*$N16</f>
        <v>24.648760412500003</v>
      </c>
      <c r="AO16" s="675">
        <f>AF16*$N16</f>
        <v>36.091363000000008</v>
      </c>
      <c r="AP16" s="675">
        <f t="shared" ref="AP16:AP18" si="49">AG16*$N16</f>
        <v>2009.6327125</v>
      </c>
      <c r="AQ16" s="675">
        <f t="shared" si="17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8"/>
        <v>0.16789312804256767</v>
      </c>
      <c r="AV16" s="983">
        <v>2</v>
      </c>
      <c r="AW16" s="983"/>
      <c r="AX16" s="489">
        <v>1.5</v>
      </c>
      <c r="AY16" s="675">
        <f>(BC12+BC14+BC16+BC10)/AX16</f>
        <v>432.88567431736118</v>
      </c>
      <c r="AZ16" s="675">
        <f t="shared" ref="AZ16" si="50">(BD12+BD14+BD16)/AX16</f>
        <v>177.62291254500005</v>
      </c>
      <c r="BA16" s="675">
        <f t="shared" ref="BA16" si="51">(BE12+BE14+BE16)/AX16</f>
        <v>564.36975051759293</v>
      </c>
      <c r="BB16" s="827">
        <v>7</v>
      </c>
      <c r="BC16" s="675">
        <f t="shared" ref="BC16" si="52">(AK16-AN16-AQ16)</f>
        <v>93.619818830833353</v>
      </c>
      <c r="BD16" s="675">
        <f t="shared" ref="BD16:BD18" si="53">(AL16-AO16)</f>
        <v>95.69679583333334</v>
      </c>
      <c r="BE16" s="675">
        <f t="shared" ref="BE16:BE17" si="54">(AM16-AP16)</f>
        <v>405.48099491666676</v>
      </c>
      <c r="BF16" s="620"/>
      <c r="BG16" s="620"/>
      <c r="BH16" s="620"/>
      <c r="BI16" s="620"/>
      <c r="BJ16" s="620"/>
      <c r="BK16" s="620"/>
      <c r="BM16" s="689"/>
    </row>
    <row r="17" spans="1:65" x14ac:dyDescent="0.3">
      <c r="A17" s="44">
        <f t="shared" si="21"/>
        <v>8.99397311080204</v>
      </c>
      <c r="B17" s="14">
        <v>8</v>
      </c>
      <c r="C17" s="40">
        <f>SUM('Milling and Leach Feed'!P38:P41)</f>
        <v>46.933333333333337</v>
      </c>
      <c r="D17" s="40">
        <f t="shared" si="44"/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099">
        <f t="shared" si="7"/>
        <v>1.5463917525773196</v>
      </c>
      <c r="L17" s="41">
        <v>0.34</v>
      </c>
      <c r="M17" s="40">
        <f t="shared" si="0"/>
        <v>402.35599999999999</v>
      </c>
      <c r="N17" s="40">
        <f t="shared" si="15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55">$S$10</f>
        <v>107.85</v>
      </c>
      <c r="T17" s="40">
        <f>S17*R17*Q17</f>
        <v>46.2406875</v>
      </c>
      <c r="U17" s="40">
        <f t="shared" si="4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33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56">$N17*W17</f>
        <v>213.72718376166662</v>
      </c>
      <c r="AL17" s="40">
        <f t="shared" si="46"/>
        <v>215.00625781666668</v>
      </c>
      <c r="AM17" s="40">
        <f t="shared" si="47"/>
        <v>3792.4545730749996</v>
      </c>
      <c r="AN17" s="40">
        <f t="shared" si="48"/>
        <v>21.520928544444445</v>
      </c>
      <c r="AO17" s="40">
        <f t="shared" ref="AO17:AO18" si="57">AF17*$N17</f>
        <v>141.71328418888888</v>
      </c>
      <c r="AP17" s="40">
        <f t="shared" si="4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7"/>
        <v>0.3408876298394713</v>
      </c>
      <c r="AU17" s="39">
        <f t="shared" si="28"/>
        <v>1.710431221392425E-2</v>
      </c>
      <c r="AV17" s="984">
        <v>3</v>
      </c>
      <c r="AW17" s="984"/>
      <c r="AX17" s="14">
        <v>1.5</v>
      </c>
      <c r="AY17" s="40">
        <f>(BC13+BC15+BC17+BC11)/$AX$17</f>
        <v>485.13944866356474</v>
      </c>
      <c r="AZ17" s="40">
        <f t="shared" ref="AZ17:BA17" si="58">(BD13+BD15+BD17+BD11)/$AX$17</f>
        <v>341.11937448240747</v>
      </c>
      <c r="BA17" s="40">
        <f t="shared" si="58"/>
        <v>1058.7974139851856</v>
      </c>
      <c r="BB17" s="940">
        <v>8</v>
      </c>
      <c r="BC17" s="40">
        <f>(AK17-AN17-AQ17)</f>
        <v>171.11806721722218</v>
      </c>
      <c r="BD17" s="40">
        <f t="shared" si="53"/>
        <v>73.292973627777798</v>
      </c>
      <c r="BE17" s="40">
        <f t="shared" si="54"/>
        <v>64.867327074999594</v>
      </c>
      <c r="BF17" s="6"/>
      <c r="BG17" s="6"/>
      <c r="BH17" s="6"/>
      <c r="BI17" s="6"/>
      <c r="BJ17" s="6"/>
      <c r="BK17" s="6"/>
      <c r="BM17" s="13"/>
    </row>
    <row r="18" spans="1:65" s="622" customFormat="1" x14ac:dyDescent="0.3">
      <c r="A18" s="824">
        <f t="shared" si="21"/>
        <v>9.4204914232730648</v>
      </c>
      <c r="B18" s="489">
        <v>9</v>
      </c>
      <c r="C18" s="473">
        <f>SUM('Milling and Leach Feed'!P42:P45)</f>
        <v>39.083333333333336</v>
      </c>
      <c r="D18" s="473">
        <f t="shared" si="44"/>
        <v>12.103970021321961</v>
      </c>
      <c r="E18" s="489">
        <v>2</v>
      </c>
      <c r="F18" s="640">
        <v>46285</v>
      </c>
      <c r="G18" s="819">
        <v>0.1388888888888889</v>
      </c>
      <c r="H18" s="899">
        <v>46286</v>
      </c>
      <c r="I18" s="819">
        <v>0.33333333333333331</v>
      </c>
      <c r="J18" s="489">
        <v>1016</v>
      </c>
      <c r="K18" s="1098">
        <f t="shared" si="7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55"/>
        <v>107.85</v>
      </c>
      <c r="T18" s="473">
        <f>S18*R18*Q18</f>
        <v>40.120199999999997</v>
      </c>
      <c r="U18" s="675">
        <f t="shared" si="4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0">
        <f t="shared" si="33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56"/>
        <v>286.55821209625003</v>
      </c>
      <c r="AL18" s="675">
        <f t="shared" si="46"/>
        <v>408.41148401666669</v>
      </c>
      <c r="AM18" s="675">
        <f>$N18*AB18</f>
        <v>7039.7306370050255</v>
      </c>
      <c r="AN18" s="675">
        <f t="shared" si="48"/>
        <v>48.630927286000009</v>
      </c>
      <c r="AO18" s="675">
        <f t="shared" si="57"/>
        <v>192.53684246500003</v>
      </c>
      <c r="AP18" s="675">
        <f t="shared" si="4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7"/>
        <v>0.52857142857142847</v>
      </c>
      <c r="AU18" s="822">
        <f t="shared" si="28"/>
        <v>8.6790193993868392E-3</v>
      </c>
      <c r="AV18" s="983">
        <v>2</v>
      </c>
      <c r="AW18" s="983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5">
        <v>9</v>
      </c>
      <c r="BC18" s="675">
        <f>IFERROR((AK18-AN18-AQ18),"")</f>
        <v>224.76602081025004</v>
      </c>
      <c r="BD18" s="675">
        <f t="shared" si="53"/>
        <v>215.87464155166666</v>
      </c>
      <c r="BE18" s="675">
        <f>(AM18-AP18)</f>
        <v>61.097958765024487</v>
      </c>
      <c r="BF18" s="620"/>
      <c r="BG18" s="620"/>
      <c r="BH18" s="620"/>
      <c r="BI18" s="620"/>
      <c r="BJ18" s="620"/>
      <c r="BK18" s="620"/>
    </row>
    <row r="19" spans="1:65" x14ac:dyDescent="0.3">
      <c r="A19" s="44">
        <f t="shared" si="21"/>
        <v>9.0740740740740744</v>
      </c>
      <c r="B19" s="14">
        <v>10</v>
      </c>
      <c r="C19" s="40">
        <f>SUM('Milling and Leach Feed'!P48:P54)-6.5</f>
        <v>60.166666666666657</v>
      </c>
      <c r="D19" s="40">
        <f t="shared" si="44"/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099">
        <f t="shared" si="7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33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59">$N19*W19</f>
        <v>321.66290800000007</v>
      </c>
      <c r="AL19" s="40">
        <f t="shared" ref="AL19" si="60">$N19*X19</f>
        <v>443.62181500000008</v>
      </c>
      <c r="AM19" s="40">
        <f>$N19*AB19</f>
        <v>6962.7468721696796</v>
      </c>
      <c r="AN19" s="40">
        <f t="shared" ref="AN19:AN20" si="61">AE19*$N19</f>
        <v>51.366411104166673</v>
      </c>
      <c r="AO19" s="40">
        <f t="shared" ref="AO19:AO20" si="62">AF19*$N19</f>
        <v>182.61689541666667</v>
      </c>
      <c r="AP19" s="40">
        <f t="shared" ref="AP19:AP20" si="6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7"/>
        <v>0.58835005574136012</v>
      </c>
      <c r="AU19" s="39">
        <f t="shared" si="28"/>
        <v>2.1992366898816812E-2</v>
      </c>
      <c r="AV19" s="984">
        <v>3</v>
      </c>
      <c r="AW19" s="984"/>
      <c r="AX19" s="14">
        <v>1.5</v>
      </c>
      <c r="AY19" s="40">
        <f>(BC11+BC13+BC15+BC17+BC19)/$AX$19</f>
        <v>654.49282526078707</v>
      </c>
      <c r="AZ19" s="40">
        <f t="shared" ref="AZ19" si="64">(BD11+BD13+BD15+BD17+BD19)/$AX$19</f>
        <v>515.12265420462973</v>
      </c>
      <c r="BA19" s="40">
        <f>(BE11+BE13+BE15+BE17+BE19)/$AX$19</f>
        <v>1160.8822698760821</v>
      </c>
      <c r="BB19" s="940">
        <v>10</v>
      </c>
      <c r="BC19" s="40">
        <f>IFERROR((AK19-AN19-AQ19),"")</f>
        <v>254.03006489583339</v>
      </c>
      <c r="BD19" s="40">
        <f t="shared" ref="BD19" si="65">(AL19-AO19)</f>
        <v>261.00491958333339</v>
      </c>
      <c r="BE19" s="40">
        <f>(AM19-AP19)</f>
        <v>153.12728383634476</v>
      </c>
      <c r="BF19" s="6"/>
      <c r="BG19" s="6"/>
      <c r="BH19" s="6"/>
      <c r="BI19" s="6"/>
      <c r="BJ19" s="6"/>
      <c r="BK19" s="6"/>
    </row>
    <row r="20" spans="1:65" s="956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 t="shared" si="44"/>
        <v>13.224921068986946</v>
      </c>
      <c r="E20" s="453">
        <v>2</v>
      </c>
      <c r="F20" s="1144">
        <v>46291</v>
      </c>
      <c r="G20" s="1145">
        <v>0.52083333333333337</v>
      </c>
      <c r="H20" s="957">
        <v>46292</v>
      </c>
      <c r="I20" s="1145">
        <v>0.625</v>
      </c>
      <c r="J20" s="453">
        <v>917</v>
      </c>
      <c r="K20" s="1146">
        <f t="shared" si="7"/>
        <v>1.6357688113413305</v>
      </c>
      <c r="L20" s="1147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45"/>
        <v>733.14150000000006</v>
      </c>
      <c r="V20" s="675">
        <f>V19+N20</f>
        <v>3609.0909052499997</v>
      </c>
      <c r="W20" s="1151">
        <f>AVERAGE('Milling and Leach Feed'!T55:T59)</f>
        <v>0.7294666666666666</v>
      </c>
      <c r="X20" s="1151">
        <f>AVERAGE('Milling and Leach Feed'!U55:U59)</f>
        <v>1.3033333333333335</v>
      </c>
      <c r="Y20" s="1151">
        <f>AVERAGE('Milling and Leach Feed'!V55:V59)</f>
        <v>18.880000000000003</v>
      </c>
      <c r="Z20" s="1151">
        <f>SUM('Milling and Leach Feed'!W55:W59)/'Au Cal Leaching Tank'!$N$20</f>
        <v>0.68413819284746402</v>
      </c>
      <c r="AA20" s="1151">
        <f>SUM('Milling and Leach Feed'!X55:X58)/'Au Cal Leaching Tank'!$N$20</f>
        <v>1.4868757002764379</v>
      </c>
      <c r="AB20" s="1151">
        <f>SUM('Milling and Leach Feed'!Y55:Y58)/'Au Cal Leaching Tank'!$N$20</f>
        <v>17.856298210974828</v>
      </c>
      <c r="AC20" s="1151">
        <f>W20-Z20</f>
        <v>4.5328473819202575E-2</v>
      </c>
      <c r="AD20" s="1030">
        <f t="shared" si="33"/>
        <v>1.6032936472354233E-2</v>
      </c>
      <c r="AE20" s="1151">
        <f>'LT Floculation'!G16</f>
        <v>0.13308333333333333</v>
      </c>
      <c r="AF20" s="1151">
        <f>'LT Floculation'!H16</f>
        <v>0.56500000000000006</v>
      </c>
      <c r="AG20" s="1151">
        <f>'LT Floculation'!I16</f>
        <v>14.185833333333335</v>
      </c>
      <c r="AH20" s="454">
        <v>3.6999999999999998E-2</v>
      </c>
      <c r="AI20" s="454"/>
      <c r="AJ20" s="454"/>
      <c r="AK20" s="675">
        <f t="shared" si="59"/>
        <v>258.70411323999991</v>
      </c>
      <c r="AL20" s="675">
        <f t="shared" ref="AL20" si="66">$N20*X20</f>
        <v>462.22495099999998</v>
      </c>
      <c r="AM20" s="675">
        <f>$N20*AB20</f>
        <v>6332.705804815263</v>
      </c>
      <c r="AN20" s="675">
        <f t="shared" si="61"/>
        <v>47.19777792499999</v>
      </c>
      <c r="AO20" s="675">
        <f t="shared" si="62"/>
        <v>200.37628949999998</v>
      </c>
      <c r="AP20" s="675">
        <f t="shared" si="63"/>
        <v>5030.9816757500002</v>
      </c>
      <c r="AQ20" s="675">
        <f>IFERROR(AH20*U20,"")</f>
        <v>27.1262355</v>
      </c>
      <c r="AR20" s="675">
        <v>11</v>
      </c>
      <c r="AS20" s="1030">
        <f t="shared" si="26"/>
        <v>0.71270648736825626</v>
      </c>
      <c r="AT20" s="1030">
        <f>IFERROR((AL20-AO20)/AL20,"")</f>
        <v>0.56649616368286448</v>
      </c>
      <c r="AU20" s="1030">
        <f t="shared" ref="AU20" si="67">IFERROR((AM20-AP20)/AM20,"")</f>
        <v>0.20555575597329309</v>
      </c>
      <c r="AV20" s="1031">
        <v>2</v>
      </c>
      <c r="AW20" s="1031"/>
      <c r="AX20" s="453">
        <v>1.5</v>
      </c>
      <c r="AY20" s="675">
        <f>(BC10+BC12+BC14++BC16+BC18+BC20)/$AX$20</f>
        <v>705.64975473419452</v>
      </c>
      <c r="AZ20" s="675">
        <f t="shared" ref="AZ20:BA20" si="68">(BD10+BD12+BD14++BD16+BD18+BD20)/$AX$20</f>
        <v>573.36087819966224</v>
      </c>
      <c r="BA20" s="675">
        <f t="shared" si="68"/>
        <v>1645.6517267875759</v>
      </c>
      <c r="BB20" s="1130">
        <v>11</v>
      </c>
      <c r="BC20" s="675">
        <f>IFERROR((AK20-AN20-AQ20),"")</f>
        <v>184.38009981499991</v>
      </c>
      <c r="BD20" s="675">
        <f t="shared" ref="BD20:BD59" si="69">(AL20-AO20)</f>
        <v>261.84866149999999</v>
      </c>
      <c r="BE20" s="675">
        <f>(AM20-AP20)</f>
        <v>1301.7241290652628</v>
      </c>
      <c r="BF20" s="454"/>
      <c r="BG20" s="454"/>
      <c r="BH20" s="675"/>
      <c r="BI20" s="675"/>
      <c r="BJ20" s="675"/>
      <c r="BK20" s="454"/>
    </row>
    <row r="21" spans="1:65" x14ac:dyDescent="0.3">
      <c r="A21" s="44">
        <f>J21/S21</f>
        <v>8.9907407407407405</v>
      </c>
      <c r="B21" s="14">
        <v>12</v>
      </c>
      <c r="C21" s="40">
        <f>SUM('Milling and Leach Feed'!P61:P65)</f>
        <v>54.666666666666664</v>
      </c>
      <c r="D21" s="40">
        <f t="shared" si="44"/>
        <v>7.046571951219514</v>
      </c>
      <c r="E21" s="14">
        <v>3</v>
      </c>
      <c r="F21" s="74">
        <v>46294</v>
      </c>
      <c r="G21" s="103">
        <v>0.77083333333333337</v>
      </c>
      <c r="H21" s="6"/>
      <c r="I21" s="6"/>
      <c r="J21" s="14">
        <v>971</v>
      </c>
      <c r="K21" s="14">
        <v>1.2</v>
      </c>
      <c r="L21" s="41">
        <v>0.36</v>
      </c>
      <c r="M21" s="40">
        <f t="shared" si="0"/>
        <v>431.70660000000004</v>
      </c>
      <c r="N21" s="40">
        <f>M21-T19</f>
        <v>385.21260000000007</v>
      </c>
      <c r="O21" s="14">
        <v>1.2350000000000001</v>
      </c>
      <c r="P21" s="14">
        <v>3</v>
      </c>
      <c r="Q21" s="14"/>
      <c r="R21" s="14"/>
      <c r="S21" s="14">
        <v>108</v>
      </c>
      <c r="T21" s="6"/>
      <c r="U21" s="40">
        <f t="shared" si="45"/>
        <v>767.47840000000008</v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6"/>
        <v/>
      </c>
      <c r="AT21" s="39" t="str">
        <f t="shared" si="27"/>
        <v/>
      </c>
      <c r="AU21" s="39" t="str">
        <f t="shared" si="28"/>
        <v/>
      </c>
      <c r="AV21" s="984">
        <v>3</v>
      </c>
      <c r="AW21" s="984"/>
      <c r="AX21" s="14">
        <v>1.5</v>
      </c>
      <c r="AY21" s="6"/>
      <c r="AZ21" s="6"/>
      <c r="BA21" s="216"/>
      <c r="BB21" s="940">
        <v>12</v>
      </c>
      <c r="BC21" s="40">
        <f t="shared" ref="BC21:BC59" si="70">IFERROR((AK21-AN21-AQ21),"")</f>
        <v>0</v>
      </c>
      <c r="BD21" s="40">
        <f t="shared" si="69"/>
        <v>0</v>
      </c>
      <c r="BE21" s="40">
        <f t="shared" ref="BE20:BE59" si="71">(AM21-AP21)</f>
        <v>0</v>
      </c>
      <c r="BF21" s="6"/>
      <c r="BG21" s="6"/>
      <c r="BH21" s="6"/>
      <c r="BI21" s="6"/>
      <c r="BJ21" s="6"/>
      <c r="BK21" s="6"/>
    </row>
    <row r="22" spans="1:65" s="956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3">
        <v>108</v>
      </c>
      <c r="T22" s="454"/>
      <c r="U22" s="675" t="str">
        <f t="shared" si="4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0" t="str">
        <f t="shared" si="26"/>
        <v/>
      </c>
      <c r="AT22" s="1030" t="str">
        <f t="shared" si="27"/>
        <v/>
      </c>
      <c r="AU22" s="1030" t="str">
        <f t="shared" si="28"/>
        <v/>
      </c>
      <c r="AV22" s="1031">
        <v>2</v>
      </c>
      <c r="AW22" s="1031"/>
      <c r="AX22" s="453">
        <v>1.5</v>
      </c>
      <c r="AY22" s="454"/>
      <c r="AZ22" s="454"/>
      <c r="BA22" s="1032"/>
      <c r="BB22" s="1032"/>
      <c r="BC22" s="675">
        <f t="shared" si="70"/>
        <v>0</v>
      </c>
      <c r="BD22" s="675">
        <f t="shared" si="69"/>
        <v>0</v>
      </c>
      <c r="BE22" s="675">
        <f t="shared" si="71"/>
        <v>0</v>
      </c>
      <c r="BF22" s="454"/>
      <c r="BG22" s="454"/>
      <c r="BH22" s="1182"/>
      <c r="BI22" s="454"/>
      <c r="BJ22" s="454"/>
      <c r="BK22" s="454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14">
        <v>108</v>
      </c>
      <c r="T23" s="6"/>
      <c r="U23" s="40" t="str">
        <f t="shared" si="4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6"/>
        <v/>
      </c>
      <c r="AT23" s="39" t="str">
        <f t="shared" si="27"/>
        <v/>
      </c>
      <c r="AU23" s="39" t="str">
        <f t="shared" si="28"/>
        <v/>
      </c>
      <c r="AV23" s="984">
        <v>3</v>
      </c>
      <c r="AW23" s="984"/>
      <c r="AX23" s="14">
        <v>1.5</v>
      </c>
      <c r="AY23" s="6"/>
      <c r="AZ23" s="6"/>
      <c r="BA23" s="216"/>
      <c r="BB23" s="216"/>
      <c r="BC23" s="40">
        <f t="shared" si="70"/>
        <v>0</v>
      </c>
      <c r="BD23" s="40">
        <f t="shared" si="69"/>
        <v>0</v>
      </c>
      <c r="BE23" s="40">
        <f t="shared" si="71"/>
        <v>0</v>
      </c>
      <c r="BF23" s="6"/>
      <c r="BG23" s="6"/>
      <c r="BH23" s="6"/>
      <c r="BI23" s="6"/>
      <c r="BJ23" s="6"/>
      <c r="BK23" s="6"/>
    </row>
    <row r="24" spans="1:65" s="956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3">
        <v>108</v>
      </c>
      <c r="T24" s="454"/>
      <c r="U24" s="675" t="str">
        <f t="shared" si="4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0" t="str">
        <f t="shared" si="26"/>
        <v/>
      </c>
      <c r="AT24" s="1030" t="str">
        <f t="shared" si="27"/>
        <v/>
      </c>
      <c r="AU24" s="1030" t="str">
        <f t="shared" si="28"/>
        <v/>
      </c>
      <c r="AV24" s="1033"/>
      <c r="AW24" s="1033"/>
      <c r="AX24" s="453"/>
      <c r="AY24" s="454"/>
      <c r="AZ24" s="454"/>
      <c r="BA24" s="1032"/>
      <c r="BB24" s="1032"/>
      <c r="BC24" s="675">
        <f t="shared" si="70"/>
        <v>0</v>
      </c>
      <c r="BD24" s="675">
        <f t="shared" si="69"/>
        <v>0</v>
      </c>
      <c r="BE24" s="675">
        <f t="shared" si="71"/>
        <v>0</v>
      </c>
      <c r="BF24" s="454"/>
      <c r="BG24" s="454"/>
      <c r="BH24" s="454"/>
      <c r="BI24" s="454"/>
      <c r="BJ24" s="454"/>
      <c r="BK24" s="454"/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14">
        <v>108</v>
      </c>
      <c r="T25" s="6"/>
      <c r="U25" s="40" t="str">
        <f t="shared" si="4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6"/>
        <v/>
      </c>
      <c r="AT25" s="39" t="str">
        <f t="shared" si="27"/>
        <v/>
      </c>
      <c r="AU25" s="39" t="str">
        <f t="shared" si="28"/>
        <v/>
      </c>
      <c r="AV25" s="228"/>
      <c r="AW25" s="228"/>
      <c r="AX25" s="14"/>
      <c r="AY25" s="6"/>
      <c r="AZ25" s="6"/>
      <c r="BA25" s="216"/>
      <c r="BB25" s="216"/>
      <c r="BC25" s="40">
        <f t="shared" si="70"/>
        <v>0</v>
      </c>
      <c r="BD25" s="40">
        <f t="shared" si="69"/>
        <v>0</v>
      </c>
      <c r="BE25" s="40">
        <f t="shared" si="71"/>
        <v>0</v>
      </c>
      <c r="BF25" s="6"/>
      <c r="BG25" s="6"/>
      <c r="BH25" s="6"/>
      <c r="BI25" s="6"/>
      <c r="BJ25" s="6"/>
      <c r="BK25" s="6"/>
    </row>
    <row r="26" spans="1:65" s="956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3">
        <v>108</v>
      </c>
      <c r="T26" s="454"/>
      <c r="U26" s="675" t="str">
        <f t="shared" si="4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0" t="str">
        <f t="shared" si="26"/>
        <v/>
      </c>
      <c r="AT26" s="1030" t="str">
        <f t="shared" si="27"/>
        <v/>
      </c>
      <c r="AU26" s="1030" t="str">
        <f t="shared" si="28"/>
        <v/>
      </c>
      <c r="AV26" s="1033"/>
      <c r="AW26" s="1033"/>
      <c r="AX26" s="453"/>
      <c r="AY26" s="454"/>
      <c r="AZ26" s="454"/>
      <c r="BA26" s="1032"/>
      <c r="BB26" s="1032"/>
      <c r="BC26" s="675">
        <f t="shared" si="70"/>
        <v>0</v>
      </c>
      <c r="BD26" s="675">
        <f t="shared" si="69"/>
        <v>0</v>
      </c>
      <c r="BE26" s="675">
        <f t="shared" si="71"/>
        <v>0</v>
      </c>
      <c r="BF26" s="454"/>
      <c r="BG26" s="454"/>
      <c r="BH26" s="454"/>
      <c r="BI26" s="454"/>
      <c r="BJ26" s="454"/>
      <c r="BK26" s="454"/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14">
        <v>108</v>
      </c>
      <c r="T27" s="6"/>
      <c r="U27" s="40" t="str">
        <f t="shared" si="4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6"/>
        <v/>
      </c>
      <c r="AT27" s="39" t="str">
        <f t="shared" si="27"/>
        <v/>
      </c>
      <c r="AU27" s="39" t="str">
        <f t="shared" si="28"/>
        <v/>
      </c>
      <c r="AV27" s="228"/>
      <c r="AW27" s="228"/>
      <c r="AX27" s="14"/>
      <c r="AY27" s="6"/>
      <c r="AZ27" s="6"/>
      <c r="BA27" s="216"/>
      <c r="BB27" s="216"/>
      <c r="BC27" s="40">
        <f t="shared" si="70"/>
        <v>0</v>
      </c>
      <c r="BD27" s="40">
        <f t="shared" si="69"/>
        <v>0</v>
      </c>
      <c r="BE27" s="40">
        <f t="shared" si="71"/>
        <v>0</v>
      </c>
      <c r="BF27" s="6"/>
      <c r="BG27" s="6"/>
      <c r="BH27" s="6"/>
      <c r="BI27" s="6"/>
      <c r="BJ27" s="6"/>
      <c r="BK27" s="6"/>
    </row>
    <row r="28" spans="1:65" s="956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3">
        <v>108</v>
      </c>
      <c r="T28" s="454"/>
      <c r="U28" s="675" t="str">
        <f t="shared" si="4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0" t="str">
        <f t="shared" si="26"/>
        <v/>
      </c>
      <c r="AT28" s="1030" t="str">
        <f t="shared" si="27"/>
        <v/>
      </c>
      <c r="AU28" s="1030" t="str">
        <f t="shared" si="28"/>
        <v/>
      </c>
      <c r="AV28" s="1033"/>
      <c r="AW28" s="1033"/>
      <c r="AX28" s="453"/>
      <c r="AY28" s="454"/>
      <c r="AZ28" s="454"/>
      <c r="BA28" s="1032"/>
      <c r="BB28" s="1032"/>
      <c r="BC28" s="675">
        <f t="shared" si="70"/>
        <v>0</v>
      </c>
      <c r="BD28" s="675">
        <f t="shared" si="69"/>
        <v>0</v>
      </c>
      <c r="BE28" s="675">
        <f t="shared" si="71"/>
        <v>0</v>
      </c>
      <c r="BF28" s="454"/>
      <c r="BG28" s="454"/>
      <c r="BH28" s="454"/>
      <c r="BI28" s="454"/>
      <c r="BJ28" s="454"/>
      <c r="BK28" s="454"/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14">
        <v>108</v>
      </c>
      <c r="T29" s="6"/>
      <c r="U29" s="40" t="str">
        <f t="shared" si="4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6"/>
        <v/>
      </c>
      <c r="AT29" s="39" t="str">
        <f t="shared" si="27"/>
        <v/>
      </c>
      <c r="AU29" s="39" t="str">
        <f t="shared" si="28"/>
        <v/>
      </c>
      <c r="AV29" s="228"/>
      <c r="AW29" s="228"/>
      <c r="AX29" s="14"/>
      <c r="AY29" s="6"/>
      <c r="AZ29" s="6"/>
      <c r="BA29" s="216"/>
      <c r="BB29" s="216"/>
      <c r="BC29" s="40">
        <f t="shared" si="70"/>
        <v>0</v>
      </c>
      <c r="BD29" s="40">
        <f t="shared" si="69"/>
        <v>0</v>
      </c>
      <c r="BE29" s="40">
        <f t="shared" si="71"/>
        <v>0</v>
      </c>
      <c r="BF29" s="6"/>
      <c r="BG29" s="6"/>
      <c r="BH29" s="6"/>
      <c r="BI29" s="6"/>
      <c r="BJ29" s="6"/>
      <c r="BK29" s="6"/>
    </row>
    <row r="30" spans="1:65" s="956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3">
        <v>108</v>
      </c>
      <c r="T30" s="454"/>
      <c r="U30" s="675" t="str">
        <f t="shared" si="4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0" t="str">
        <f t="shared" si="26"/>
        <v/>
      </c>
      <c r="AT30" s="1030" t="str">
        <f t="shared" si="27"/>
        <v/>
      </c>
      <c r="AU30" s="1030" t="str">
        <f t="shared" si="28"/>
        <v/>
      </c>
      <c r="AV30" s="1033"/>
      <c r="AW30" s="1033"/>
      <c r="AX30" s="453"/>
      <c r="AY30" s="454"/>
      <c r="AZ30" s="454"/>
      <c r="BA30" s="1032"/>
      <c r="BB30" s="1032"/>
      <c r="BC30" s="675">
        <f t="shared" si="70"/>
        <v>0</v>
      </c>
      <c r="BD30" s="675">
        <f t="shared" si="69"/>
        <v>0</v>
      </c>
      <c r="BE30" s="675">
        <f t="shared" si="71"/>
        <v>0</v>
      </c>
      <c r="BF30" s="454"/>
      <c r="BG30" s="454"/>
      <c r="BH30" s="454"/>
      <c r="BI30" s="454"/>
      <c r="BJ30" s="454"/>
      <c r="BK30" s="454"/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14">
        <v>108</v>
      </c>
      <c r="T31" s="6"/>
      <c r="U31" s="40" t="str">
        <f t="shared" si="4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6"/>
        <v/>
      </c>
      <c r="AT31" s="39" t="str">
        <f t="shared" si="27"/>
        <v/>
      </c>
      <c r="AU31" s="39" t="str">
        <f t="shared" si="28"/>
        <v/>
      </c>
      <c r="AV31" s="228"/>
      <c r="AW31" s="228"/>
      <c r="AX31" s="14"/>
      <c r="AY31" s="6"/>
      <c r="AZ31" s="6"/>
      <c r="BA31" s="216"/>
      <c r="BB31" s="216"/>
      <c r="BC31" s="40">
        <f t="shared" si="70"/>
        <v>0</v>
      </c>
      <c r="BD31" s="40">
        <f t="shared" si="69"/>
        <v>0</v>
      </c>
      <c r="BE31" s="40">
        <f t="shared" si="71"/>
        <v>0</v>
      </c>
      <c r="BF31" s="6"/>
      <c r="BG31" s="6"/>
      <c r="BH31" s="6"/>
      <c r="BI31" s="6"/>
      <c r="BJ31" s="6"/>
      <c r="BK31" s="6"/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453">
        <v>108</v>
      </c>
      <c r="T32" s="6"/>
      <c r="U32" s="40" t="str">
        <f t="shared" si="4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6"/>
        <v/>
      </c>
      <c r="AT32" s="39" t="str">
        <f t="shared" si="27"/>
        <v/>
      </c>
      <c r="AU32" s="39" t="str">
        <f t="shared" si="28"/>
        <v/>
      </c>
      <c r="AV32" s="228"/>
      <c r="AW32" s="228"/>
      <c r="AX32" s="14"/>
      <c r="AY32" s="6"/>
      <c r="AZ32" s="6"/>
      <c r="BA32" s="216"/>
      <c r="BB32" s="216"/>
      <c r="BC32" s="675">
        <f t="shared" si="70"/>
        <v>0</v>
      </c>
      <c r="BD32" s="675">
        <f t="shared" si="69"/>
        <v>0</v>
      </c>
      <c r="BE32" s="675">
        <f t="shared" si="71"/>
        <v>0</v>
      </c>
      <c r="BF32" s="6"/>
      <c r="BG32" s="6"/>
      <c r="BH32" s="6"/>
      <c r="BI32" s="6"/>
      <c r="BJ32" s="6"/>
      <c r="BK32" s="6"/>
    </row>
    <row r="33" spans="2:63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14">
        <v>108</v>
      </c>
      <c r="T33" s="6"/>
      <c r="U33" s="40" t="str">
        <f t="shared" si="4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6"/>
        <v/>
      </c>
      <c r="AT33" s="39" t="str">
        <f t="shared" si="27"/>
        <v/>
      </c>
      <c r="AU33" s="39" t="str">
        <f t="shared" si="28"/>
        <v/>
      </c>
      <c r="AV33" s="228"/>
      <c r="AW33" s="228"/>
      <c r="AX33" s="14"/>
      <c r="AY33" s="6"/>
      <c r="AZ33" s="6"/>
      <c r="BA33" s="216"/>
      <c r="BB33" s="216"/>
      <c r="BC33" s="40">
        <f t="shared" si="70"/>
        <v>0</v>
      </c>
      <c r="BD33" s="40">
        <f t="shared" si="69"/>
        <v>0</v>
      </c>
      <c r="BE33" s="40">
        <f t="shared" si="71"/>
        <v>0</v>
      </c>
      <c r="BF33" s="6"/>
      <c r="BG33" s="6"/>
      <c r="BH33" s="6"/>
      <c r="BI33" s="6"/>
      <c r="BJ33" s="6"/>
      <c r="BK33" s="6"/>
    </row>
    <row r="34" spans="2:63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453">
        <v>108</v>
      </c>
      <c r="T34" s="6"/>
      <c r="U34" s="40" t="str">
        <f t="shared" si="4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6"/>
        <v/>
      </c>
      <c r="AT34" s="39" t="str">
        <f t="shared" si="27"/>
        <v/>
      </c>
      <c r="AU34" s="39" t="str">
        <f t="shared" si="28"/>
        <v/>
      </c>
      <c r="AV34" s="228"/>
      <c r="AW34" s="228"/>
      <c r="AX34" s="14"/>
      <c r="AY34" s="6"/>
      <c r="AZ34" s="6"/>
      <c r="BA34" s="216"/>
      <c r="BB34" s="216"/>
      <c r="BC34" s="675">
        <f t="shared" si="70"/>
        <v>0</v>
      </c>
      <c r="BD34" s="675">
        <f t="shared" si="69"/>
        <v>0</v>
      </c>
      <c r="BE34" s="675">
        <f t="shared" si="71"/>
        <v>0</v>
      </c>
      <c r="BF34" s="6"/>
      <c r="BG34" s="6"/>
      <c r="BH34" s="6"/>
      <c r="BI34" s="6"/>
      <c r="BJ34" s="6"/>
      <c r="BK34" s="6"/>
    </row>
    <row r="35" spans="2:63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14">
        <v>108</v>
      </c>
      <c r="T35" s="6"/>
      <c r="U35" s="40" t="str">
        <f t="shared" si="4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6"/>
        <v/>
      </c>
      <c r="AT35" s="39" t="str">
        <f t="shared" si="27"/>
        <v/>
      </c>
      <c r="AU35" s="39" t="str">
        <f t="shared" si="28"/>
        <v/>
      </c>
      <c r="AV35" s="228"/>
      <c r="AW35" s="228"/>
      <c r="AX35" s="14"/>
      <c r="AY35" s="6"/>
      <c r="AZ35" s="6"/>
      <c r="BA35" s="216"/>
      <c r="BB35" s="216"/>
      <c r="BC35" s="40">
        <f t="shared" si="70"/>
        <v>0</v>
      </c>
      <c r="BD35" s="40">
        <f t="shared" si="69"/>
        <v>0</v>
      </c>
      <c r="BE35" s="40">
        <f t="shared" si="71"/>
        <v>0</v>
      </c>
      <c r="BF35" s="6"/>
      <c r="BG35" s="6"/>
      <c r="BH35" s="6"/>
      <c r="BI35" s="6"/>
      <c r="BJ35" s="6"/>
      <c r="BK35" s="6"/>
    </row>
    <row r="36" spans="2:63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453">
        <v>108</v>
      </c>
      <c r="T36" s="6"/>
      <c r="U36" s="40" t="str">
        <f t="shared" si="4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6"/>
        <v/>
      </c>
      <c r="AT36" s="39" t="str">
        <f t="shared" si="27"/>
        <v/>
      </c>
      <c r="AU36" s="39" t="str">
        <f t="shared" si="28"/>
        <v/>
      </c>
      <c r="AV36" s="228"/>
      <c r="AW36" s="228"/>
      <c r="AX36" s="14"/>
      <c r="AY36" s="6"/>
      <c r="AZ36" s="6"/>
      <c r="BA36" s="216"/>
      <c r="BB36" s="216"/>
      <c r="BC36" s="675">
        <f t="shared" si="70"/>
        <v>0</v>
      </c>
      <c r="BD36" s="675">
        <f t="shared" si="69"/>
        <v>0</v>
      </c>
      <c r="BE36" s="675">
        <f t="shared" si="71"/>
        <v>0</v>
      </c>
      <c r="BF36" s="6"/>
      <c r="BG36" s="6"/>
      <c r="BH36" s="6"/>
      <c r="BI36" s="6"/>
      <c r="BJ36" s="6"/>
      <c r="BK36" s="6"/>
    </row>
    <row r="37" spans="2:63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14">
        <v>108</v>
      </c>
      <c r="T37" s="6"/>
      <c r="U37" s="40" t="str">
        <f t="shared" si="4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6"/>
        <v/>
      </c>
      <c r="AT37" s="39" t="str">
        <f t="shared" si="27"/>
        <v/>
      </c>
      <c r="AU37" s="39" t="str">
        <f t="shared" si="28"/>
        <v/>
      </c>
      <c r="AV37" s="228"/>
      <c r="AW37" s="228"/>
      <c r="AX37" s="14"/>
      <c r="AY37" s="6"/>
      <c r="AZ37" s="6"/>
      <c r="BA37" s="216"/>
      <c r="BB37" s="216"/>
      <c r="BC37" s="40">
        <f t="shared" si="70"/>
        <v>0</v>
      </c>
      <c r="BD37" s="40">
        <f t="shared" si="69"/>
        <v>0</v>
      </c>
      <c r="BE37" s="40">
        <f t="shared" si="71"/>
        <v>0</v>
      </c>
      <c r="BF37" s="6"/>
      <c r="BG37" s="6"/>
      <c r="BH37" s="6"/>
      <c r="BI37" s="6"/>
      <c r="BJ37" s="6"/>
      <c r="BK37" s="6"/>
    </row>
    <row r="38" spans="2:63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453">
        <v>108</v>
      </c>
      <c r="T38" s="6"/>
      <c r="U38" s="40" t="str">
        <f t="shared" si="4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6"/>
        <v/>
      </c>
      <c r="AT38" s="39" t="str">
        <f t="shared" si="27"/>
        <v/>
      </c>
      <c r="AU38" s="39" t="str">
        <f t="shared" si="28"/>
        <v/>
      </c>
      <c r="AV38" s="228"/>
      <c r="AW38" s="228"/>
      <c r="AX38" s="14"/>
      <c r="AY38" s="6"/>
      <c r="AZ38" s="6"/>
      <c r="BA38" s="216"/>
      <c r="BB38" s="216"/>
      <c r="BC38" s="675">
        <f t="shared" si="70"/>
        <v>0</v>
      </c>
      <c r="BD38" s="675">
        <f t="shared" si="69"/>
        <v>0</v>
      </c>
      <c r="BE38" s="675">
        <f t="shared" si="71"/>
        <v>0</v>
      </c>
      <c r="BF38" s="6"/>
      <c r="BG38" s="6"/>
      <c r="BH38" s="6"/>
      <c r="BI38" s="6"/>
      <c r="BJ38" s="6"/>
      <c r="BK38" s="6"/>
    </row>
    <row r="39" spans="2:63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14">
        <v>108</v>
      </c>
      <c r="T39" s="6"/>
      <c r="U39" s="40" t="str">
        <f t="shared" si="4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6"/>
        <v/>
      </c>
      <c r="AT39" s="39" t="str">
        <f t="shared" si="27"/>
        <v/>
      </c>
      <c r="AU39" s="39" t="str">
        <f t="shared" si="28"/>
        <v/>
      </c>
      <c r="AV39" s="228"/>
      <c r="AW39" s="228"/>
      <c r="AX39" s="14"/>
      <c r="AY39" s="6"/>
      <c r="AZ39" s="6"/>
      <c r="BA39" s="216"/>
      <c r="BB39" s="216"/>
      <c r="BC39" s="40">
        <f t="shared" si="70"/>
        <v>0</v>
      </c>
      <c r="BD39" s="40">
        <f t="shared" si="69"/>
        <v>0</v>
      </c>
      <c r="BE39" s="40">
        <f t="shared" si="71"/>
        <v>0</v>
      </c>
      <c r="BF39" s="6"/>
      <c r="BG39" s="6"/>
      <c r="BH39" s="6"/>
      <c r="BI39" s="6"/>
      <c r="BJ39" s="6"/>
      <c r="BK39" s="6"/>
    </row>
    <row r="40" spans="2:63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453">
        <v>108</v>
      </c>
      <c r="T40" s="6"/>
      <c r="U40" s="40" t="str">
        <f t="shared" si="4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6"/>
        <v/>
      </c>
      <c r="AT40" s="39" t="str">
        <f t="shared" si="27"/>
        <v/>
      </c>
      <c r="AU40" s="39" t="str">
        <f t="shared" si="28"/>
        <v/>
      </c>
      <c r="AV40" s="228"/>
      <c r="AW40" s="228"/>
      <c r="AX40" s="14"/>
      <c r="AY40" s="6"/>
      <c r="AZ40" s="6"/>
      <c r="BA40" s="216"/>
      <c r="BB40" s="216"/>
      <c r="BC40" s="675">
        <f t="shared" si="70"/>
        <v>0</v>
      </c>
      <c r="BD40" s="675">
        <f t="shared" si="69"/>
        <v>0</v>
      </c>
      <c r="BE40" s="675">
        <f t="shared" si="71"/>
        <v>0</v>
      </c>
      <c r="BF40" s="6"/>
      <c r="BG40" s="6"/>
      <c r="BH40" s="6"/>
      <c r="BI40" s="6"/>
      <c r="BJ40" s="6"/>
      <c r="BK40" s="6"/>
    </row>
    <row r="41" spans="2:63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14">
        <v>108</v>
      </c>
      <c r="T41" s="6"/>
      <c r="U41" s="40" t="str">
        <f t="shared" si="4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6"/>
        <v/>
      </c>
      <c r="AT41" s="39" t="str">
        <f t="shared" si="27"/>
        <v/>
      </c>
      <c r="AU41" s="39" t="str">
        <f t="shared" si="28"/>
        <v/>
      </c>
      <c r="AV41" s="228"/>
      <c r="AW41" s="228"/>
      <c r="AX41" s="14"/>
      <c r="AY41" s="6"/>
      <c r="AZ41" s="6"/>
      <c r="BA41" s="216"/>
      <c r="BB41" s="216"/>
      <c r="BC41" s="40">
        <f t="shared" si="70"/>
        <v>0</v>
      </c>
      <c r="BD41" s="40">
        <f t="shared" si="69"/>
        <v>0</v>
      </c>
      <c r="BE41" s="40">
        <f t="shared" si="71"/>
        <v>0</v>
      </c>
      <c r="BF41" s="6"/>
      <c r="BG41" s="6"/>
      <c r="BH41" s="6"/>
      <c r="BI41" s="6"/>
      <c r="BJ41" s="6"/>
      <c r="BK41" s="6"/>
    </row>
    <row r="42" spans="2:63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453">
        <v>108</v>
      </c>
      <c r="T42" s="6"/>
      <c r="U42" s="40" t="str">
        <f t="shared" si="4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6"/>
        <v/>
      </c>
      <c r="AT42" s="39" t="str">
        <f t="shared" si="27"/>
        <v/>
      </c>
      <c r="AU42" s="39" t="str">
        <f t="shared" si="28"/>
        <v/>
      </c>
      <c r="AV42" s="228"/>
      <c r="AW42" s="228"/>
      <c r="AX42" s="14"/>
      <c r="AY42" s="6"/>
      <c r="AZ42" s="6"/>
      <c r="BA42" s="216"/>
      <c r="BB42" s="216"/>
      <c r="BC42" s="675">
        <f t="shared" si="70"/>
        <v>0</v>
      </c>
      <c r="BD42" s="675">
        <f t="shared" si="69"/>
        <v>0</v>
      </c>
      <c r="BE42" s="675">
        <f t="shared" si="71"/>
        <v>0</v>
      </c>
      <c r="BF42" s="6"/>
      <c r="BG42" s="6"/>
      <c r="BH42" s="6"/>
      <c r="BI42" s="6"/>
      <c r="BJ42" s="6"/>
      <c r="BK42" s="6"/>
    </row>
    <row r="43" spans="2:63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14">
        <v>108</v>
      </c>
      <c r="T43" s="6"/>
      <c r="U43" s="40" t="str">
        <f t="shared" si="4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6"/>
        <v/>
      </c>
      <c r="AT43" s="39" t="str">
        <f t="shared" si="27"/>
        <v/>
      </c>
      <c r="AU43" s="39" t="str">
        <f t="shared" si="28"/>
        <v/>
      </c>
      <c r="AV43" s="228"/>
      <c r="AW43" s="228"/>
      <c r="AX43" s="14"/>
      <c r="AY43" s="6"/>
      <c r="AZ43" s="6"/>
      <c r="BA43" s="216"/>
      <c r="BB43" s="216"/>
      <c r="BC43" s="40">
        <f t="shared" si="70"/>
        <v>0</v>
      </c>
      <c r="BD43" s="40">
        <f t="shared" si="69"/>
        <v>0</v>
      </c>
      <c r="BE43" s="40">
        <f t="shared" si="71"/>
        <v>0</v>
      </c>
      <c r="BF43" s="6"/>
      <c r="BG43" s="6"/>
      <c r="BH43" s="6"/>
      <c r="BI43" s="6"/>
      <c r="BJ43" s="6"/>
      <c r="BK43" s="6"/>
    </row>
    <row r="44" spans="2:63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453">
        <v>108</v>
      </c>
      <c r="T44" s="6"/>
      <c r="U44" s="40" t="str">
        <f t="shared" si="4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6"/>
        <v/>
      </c>
      <c r="AT44" s="39" t="str">
        <f t="shared" si="27"/>
        <v/>
      </c>
      <c r="AU44" s="39" t="str">
        <f t="shared" si="28"/>
        <v/>
      </c>
      <c r="AV44" s="228"/>
      <c r="AW44" s="228"/>
      <c r="AX44" s="14"/>
      <c r="AY44" s="6"/>
      <c r="AZ44" s="6"/>
      <c r="BA44" s="216"/>
      <c r="BB44" s="216"/>
      <c r="BC44" s="675">
        <f t="shared" si="70"/>
        <v>0</v>
      </c>
      <c r="BD44" s="675">
        <f t="shared" si="69"/>
        <v>0</v>
      </c>
      <c r="BE44" s="675">
        <f t="shared" si="71"/>
        <v>0</v>
      </c>
      <c r="BF44" s="6"/>
      <c r="BG44" s="6"/>
      <c r="BH44" s="6"/>
      <c r="BI44" s="6"/>
      <c r="BJ44" s="6"/>
      <c r="BK44" s="6"/>
    </row>
    <row r="45" spans="2:63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14">
        <v>108</v>
      </c>
      <c r="T45" s="6"/>
      <c r="U45" s="40" t="str">
        <f t="shared" si="4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6"/>
        <v/>
      </c>
      <c r="AT45" s="39" t="str">
        <f t="shared" si="27"/>
        <v/>
      </c>
      <c r="AU45" s="39" t="str">
        <f t="shared" si="28"/>
        <v/>
      </c>
      <c r="AV45" s="228"/>
      <c r="AW45" s="228"/>
      <c r="AX45" s="14"/>
      <c r="AY45" s="6"/>
      <c r="AZ45" s="6"/>
      <c r="BA45" s="216"/>
      <c r="BB45" s="216"/>
      <c r="BC45" s="40">
        <f t="shared" si="70"/>
        <v>0</v>
      </c>
      <c r="BD45" s="40">
        <f t="shared" si="69"/>
        <v>0</v>
      </c>
      <c r="BE45" s="40">
        <f t="shared" si="71"/>
        <v>0</v>
      </c>
      <c r="BF45" s="6"/>
      <c r="BG45" s="6"/>
      <c r="BH45" s="6"/>
      <c r="BI45" s="6"/>
      <c r="BJ45" s="6"/>
      <c r="BK45" s="6"/>
    </row>
    <row r="46" spans="2:63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453">
        <v>108</v>
      </c>
      <c r="T46" s="6"/>
      <c r="U46" s="40" t="str">
        <f t="shared" si="4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6"/>
        <v/>
      </c>
      <c r="AT46" s="39" t="str">
        <f t="shared" si="27"/>
        <v/>
      </c>
      <c r="AU46" s="39" t="str">
        <f t="shared" si="28"/>
        <v/>
      </c>
      <c r="AV46" s="228"/>
      <c r="AW46" s="228"/>
      <c r="AX46" s="14"/>
      <c r="AY46" s="6"/>
      <c r="AZ46" s="6"/>
      <c r="BA46" s="216"/>
      <c r="BB46" s="216"/>
      <c r="BC46" s="675">
        <f t="shared" si="70"/>
        <v>0</v>
      </c>
      <c r="BD46" s="675">
        <f t="shared" si="69"/>
        <v>0</v>
      </c>
      <c r="BE46" s="675">
        <f t="shared" si="71"/>
        <v>0</v>
      </c>
      <c r="BF46" s="6"/>
      <c r="BG46" s="6"/>
      <c r="BH46" s="6"/>
      <c r="BI46" s="6"/>
      <c r="BJ46" s="6"/>
      <c r="BK46" s="6"/>
    </row>
    <row r="47" spans="2:63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14">
        <v>108</v>
      </c>
      <c r="T47" s="6"/>
      <c r="U47" s="40" t="str">
        <f t="shared" si="4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6"/>
        <v/>
      </c>
      <c r="AT47" s="39" t="str">
        <f t="shared" si="27"/>
        <v/>
      </c>
      <c r="AU47" s="39" t="str">
        <f t="shared" si="28"/>
        <v/>
      </c>
      <c r="AV47" s="228"/>
      <c r="AW47" s="228"/>
      <c r="AX47" s="14"/>
      <c r="AY47" s="6"/>
      <c r="AZ47" s="6"/>
      <c r="BA47" s="216"/>
      <c r="BB47" s="216"/>
      <c r="BC47" s="40">
        <f t="shared" si="70"/>
        <v>0</v>
      </c>
      <c r="BD47" s="40">
        <f t="shared" si="69"/>
        <v>0</v>
      </c>
      <c r="BE47" s="40">
        <f t="shared" si="71"/>
        <v>0</v>
      </c>
      <c r="BF47" s="6"/>
      <c r="BG47" s="6"/>
      <c r="BH47" s="6"/>
      <c r="BI47" s="6"/>
      <c r="BJ47" s="6"/>
      <c r="BK47" s="6"/>
    </row>
    <row r="48" spans="2:63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453">
        <v>108</v>
      </c>
      <c r="T48" s="6"/>
      <c r="U48" s="40" t="str">
        <f t="shared" si="4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6"/>
        <v/>
      </c>
      <c r="AT48" s="39" t="str">
        <f t="shared" si="27"/>
        <v/>
      </c>
      <c r="AU48" s="39" t="str">
        <f t="shared" si="28"/>
        <v/>
      </c>
      <c r="AV48" s="228"/>
      <c r="AW48" s="228"/>
      <c r="AX48" s="14"/>
      <c r="AY48" s="6"/>
      <c r="AZ48" s="6"/>
      <c r="BA48" s="216"/>
      <c r="BB48" s="216"/>
      <c r="BC48" s="675">
        <f t="shared" si="70"/>
        <v>0</v>
      </c>
      <c r="BD48" s="675">
        <f t="shared" si="69"/>
        <v>0</v>
      </c>
      <c r="BE48" s="675">
        <f t="shared" si="71"/>
        <v>0</v>
      </c>
      <c r="BF48" s="6"/>
      <c r="BG48" s="6"/>
      <c r="BH48" s="6"/>
      <c r="BI48" s="6"/>
      <c r="BJ48" s="6"/>
      <c r="BK48" s="6"/>
    </row>
    <row r="49" spans="2:63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14">
        <v>108</v>
      </c>
      <c r="T49" s="6"/>
      <c r="U49" s="40" t="str">
        <f t="shared" si="4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6"/>
        <v/>
      </c>
      <c r="AT49" s="39" t="str">
        <f t="shared" si="27"/>
        <v/>
      </c>
      <c r="AU49" s="39" t="str">
        <f t="shared" si="28"/>
        <v/>
      </c>
      <c r="AV49" s="228"/>
      <c r="AW49" s="228"/>
      <c r="AX49" s="14"/>
      <c r="AY49" s="6"/>
      <c r="AZ49" s="6"/>
      <c r="BA49" s="216"/>
      <c r="BB49" s="216"/>
      <c r="BC49" s="40">
        <f t="shared" si="70"/>
        <v>0</v>
      </c>
      <c r="BD49" s="40">
        <f t="shared" si="69"/>
        <v>0</v>
      </c>
      <c r="BE49" s="40">
        <f t="shared" si="71"/>
        <v>0</v>
      </c>
      <c r="BF49" s="6"/>
      <c r="BG49" s="6"/>
      <c r="BH49" s="6"/>
      <c r="BI49" s="6"/>
      <c r="BJ49" s="6"/>
      <c r="BK49" s="6"/>
    </row>
    <row r="50" spans="2:63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453">
        <v>108</v>
      </c>
      <c r="T50" s="6"/>
      <c r="U50" s="40" t="str">
        <f t="shared" si="4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6"/>
        <v/>
      </c>
      <c r="AT50" s="39" t="str">
        <f t="shared" si="27"/>
        <v/>
      </c>
      <c r="AU50" s="39" t="str">
        <f t="shared" si="28"/>
        <v/>
      </c>
      <c r="AV50" s="228"/>
      <c r="AW50" s="228"/>
      <c r="AX50" s="14"/>
      <c r="AY50" s="6"/>
      <c r="AZ50" s="6"/>
      <c r="BA50" s="216"/>
      <c r="BB50" s="216"/>
      <c r="BC50" s="675">
        <f t="shared" si="70"/>
        <v>0</v>
      </c>
      <c r="BD50" s="675">
        <f t="shared" si="69"/>
        <v>0</v>
      </c>
      <c r="BE50" s="675">
        <f t="shared" si="71"/>
        <v>0</v>
      </c>
      <c r="BF50" s="6"/>
      <c r="BG50" s="6"/>
      <c r="BH50" s="6"/>
      <c r="BI50" s="6"/>
      <c r="BJ50" s="6"/>
      <c r="BK50" s="6"/>
    </row>
    <row r="51" spans="2:63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14">
        <v>108</v>
      </c>
      <c r="T51" s="6"/>
      <c r="U51" s="40" t="str">
        <f t="shared" si="4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6"/>
        <v/>
      </c>
      <c r="AT51" s="39" t="str">
        <f t="shared" si="27"/>
        <v/>
      </c>
      <c r="AU51" s="39" t="str">
        <f t="shared" si="28"/>
        <v/>
      </c>
      <c r="AV51" s="228"/>
      <c r="AW51" s="228"/>
      <c r="AX51" s="14"/>
      <c r="AY51" s="6"/>
      <c r="AZ51" s="6"/>
      <c r="BA51" s="216"/>
      <c r="BB51" s="216"/>
      <c r="BC51" s="40">
        <f t="shared" si="70"/>
        <v>0</v>
      </c>
      <c r="BD51" s="40">
        <f t="shared" si="69"/>
        <v>0</v>
      </c>
      <c r="BE51" s="40">
        <f t="shared" si="71"/>
        <v>0</v>
      </c>
      <c r="BF51" s="6"/>
      <c r="BG51" s="6"/>
      <c r="BH51" s="6"/>
      <c r="BI51" s="6"/>
      <c r="BJ51" s="6"/>
      <c r="BK51" s="6"/>
    </row>
    <row r="52" spans="2:63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453">
        <v>108</v>
      </c>
      <c r="T52" s="6"/>
      <c r="U52" s="40" t="str">
        <f t="shared" si="4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6"/>
        <v/>
      </c>
      <c r="AT52" s="39" t="str">
        <f t="shared" si="27"/>
        <v/>
      </c>
      <c r="AU52" s="39" t="str">
        <f t="shared" si="28"/>
        <v/>
      </c>
      <c r="AV52" s="228"/>
      <c r="AW52" s="228"/>
      <c r="AX52" s="14"/>
      <c r="AY52" s="6"/>
      <c r="AZ52" s="6"/>
      <c r="BA52" s="216"/>
      <c r="BB52" s="216"/>
      <c r="BC52" s="675">
        <f t="shared" si="70"/>
        <v>0</v>
      </c>
      <c r="BD52" s="675">
        <f t="shared" si="69"/>
        <v>0</v>
      </c>
      <c r="BE52" s="675">
        <f t="shared" si="71"/>
        <v>0</v>
      </c>
      <c r="BF52" s="6"/>
      <c r="BG52" s="6"/>
      <c r="BH52" s="6"/>
      <c r="BI52" s="6"/>
      <c r="BJ52" s="6"/>
      <c r="BK52" s="6"/>
    </row>
    <row r="53" spans="2:63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14">
        <v>108</v>
      </c>
      <c r="T53" s="6"/>
      <c r="U53" s="40" t="str">
        <f t="shared" si="4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6"/>
        <v/>
      </c>
      <c r="AT53" s="39" t="str">
        <f t="shared" si="27"/>
        <v/>
      </c>
      <c r="AU53" s="39" t="str">
        <f t="shared" si="28"/>
        <v/>
      </c>
      <c r="AV53" s="228"/>
      <c r="AW53" s="228"/>
      <c r="AX53" s="14"/>
      <c r="AY53" s="6"/>
      <c r="AZ53" s="6"/>
      <c r="BA53" s="216"/>
      <c r="BB53" s="216"/>
      <c r="BC53" s="40">
        <f t="shared" si="70"/>
        <v>0</v>
      </c>
      <c r="BD53" s="40">
        <f t="shared" si="69"/>
        <v>0</v>
      </c>
      <c r="BE53" s="40">
        <f t="shared" si="71"/>
        <v>0</v>
      </c>
      <c r="BF53" s="6"/>
      <c r="BG53" s="6"/>
      <c r="BH53" s="6"/>
      <c r="BI53" s="6"/>
      <c r="BJ53" s="6"/>
      <c r="BK53" s="6"/>
    </row>
    <row r="54" spans="2:63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453">
        <v>108</v>
      </c>
      <c r="T54" s="6"/>
      <c r="U54" s="40" t="str">
        <f t="shared" si="4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6"/>
        <v/>
      </c>
      <c r="AT54" s="39" t="str">
        <f t="shared" si="27"/>
        <v/>
      </c>
      <c r="AU54" s="39" t="str">
        <f t="shared" si="28"/>
        <v/>
      </c>
      <c r="AV54" s="228"/>
      <c r="AW54" s="228"/>
      <c r="AX54" s="14"/>
      <c r="AY54" s="6"/>
      <c r="AZ54" s="6"/>
      <c r="BA54" s="216"/>
      <c r="BB54" s="216"/>
      <c r="BC54" s="675">
        <f t="shared" si="70"/>
        <v>0</v>
      </c>
      <c r="BD54" s="675">
        <f t="shared" si="69"/>
        <v>0</v>
      </c>
      <c r="BE54" s="675">
        <f t="shared" si="71"/>
        <v>0</v>
      </c>
      <c r="BF54" s="6"/>
      <c r="BG54" s="6"/>
      <c r="BH54" s="6"/>
      <c r="BI54" s="6"/>
      <c r="BJ54" s="6"/>
      <c r="BK54" s="6"/>
    </row>
    <row r="55" spans="2:63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14">
        <v>108</v>
      </c>
      <c r="T55" s="6"/>
      <c r="U55" s="40" t="str">
        <f t="shared" si="4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6"/>
        <v/>
      </c>
      <c r="AT55" s="39" t="str">
        <f t="shared" si="27"/>
        <v/>
      </c>
      <c r="AU55" s="39" t="str">
        <f t="shared" si="28"/>
        <v/>
      </c>
      <c r="AV55" s="228"/>
      <c r="AW55" s="228"/>
      <c r="AX55" s="14"/>
      <c r="AY55" s="6"/>
      <c r="AZ55" s="6"/>
      <c r="BA55" s="216"/>
      <c r="BB55" s="216"/>
      <c r="BC55" s="40">
        <f t="shared" si="70"/>
        <v>0</v>
      </c>
      <c r="BD55" s="40">
        <f t="shared" si="69"/>
        <v>0</v>
      </c>
      <c r="BE55" s="40">
        <f t="shared" si="71"/>
        <v>0</v>
      </c>
      <c r="BF55" s="6"/>
      <c r="BG55" s="6"/>
      <c r="BH55" s="6"/>
      <c r="BI55" s="6"/>
      <c r="BJ55" s="6"/>
      <c r="BK55" s="6"/>
    </row>
    <row r="56" spans="2:63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453">
        <v>108</v>
      </c>
      <c r="T56" s="6"/>
      <c r="U56" s="40" t="str">
        <f t="shared" si="4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6"/>
        <v/>
      </c>
      <c r="AT56" s="39" t="str">
        <f t="shared" si="27"/>
        <v/>
      </c>
      <c r="AU56" s="39" t="str">
        <f t="shared" si="28"/>
        <v/>
      </c>
      <c r="AV56" s="228"/>
      <c r="AW56" s="228"/>
      <c r="AX56" s="14"/>
      <c r="AY56" s="6"/>
      <c r="AZ56" s="6"/>
      <c r="BA56" s="216"/>
      <c r="BB56" s="216"/>
      <c r="BC56" s="675">
        <f t="shared" si="70"/>
        <v>0</v>
      </c>
      <c r="BD56" s="675">
        <f t="shared" si="69"/>
        <v>0</v>
      </c>
      <c r="BE56" s="675">
        <f t="shared" si="71"/>
        <v>0</v>
      </c>
      <c r="BF56" s="6"/>
      <c r="BG56" s="6"/>
      <c r="BH56" s="6"/>
      <c r="BI56" s="6"/>
      <c r="BJ56" s="6"/>
      <c r="BK56" s="6"/>
    </row>
    <row r="57" spans="2:63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14">
        <v>108</v>
      </c>
      <c r="T57" s="6"/>
      <c r="U57" s="40" t="str">
        <f t="shared" si="4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6"/>
        <v/>
      </c>
      <c r="AT57" s="39" t="str">
        <f t="shared" si="27"/>
        <v/>
      </c>
      <c r="AU57" s="39" t="str">
        <f t="shared" si="28"/>
        <v/>
      </c>
      <c r="AV57" s="228"/>
      <c r="AW57" s="228"/>
      <c r="AX57" s="14"/>
      <c r="AY57" s="6"/>
      <c r="AZ57" s="6"/>
      <c r="BA57" s="216"/>
      <c r="BB57" s="216"/>
      <c r="BC57" s="40">
        <f t="shared" si="70"/>
        <v>0</v>
      </c>
      <c r="BD57" s="40">
        <f t="shared" si="69"/>
        <v>0</v>
      </c>
      <c r="BE57" s="40">
        <f t="shared" si="71"/>
        <v>0</v>
      </c>
      <c r="BF57" s="6"/>
      <c r="BG57" s="6"/>
      <c r="BH57" s="6"/>
      <c r="BI57" s="6"/>
      <c r="BJ57" s="6"/>
      <c r="BK57" s="6"/>
    </row>
    <row r="58" spans="2:63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453">
        <v>108</v>
      </c>
      <c r="T58" s="6"/>
      <c r="U58" s="40" t="str">
        <f t="shared" si="4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6"/>
        <v/>
      </c>
      <c r="AT58" s="39" t="str">
        <f t="shared" si="27"/>
        <v/>
      </c>
      <c r="AU58" s="39" t="str">
        <f t="shared" si="28"/>
        <v/>
      </c>
      <c r="AV58" s="228"/>
      <c r="AW58" s="228"/>
      <c r="AX58" s="14"/>
      <c r="AY58" s="6"/>
      <c r="AZ58" s="6"/>
      <c r="BA58" s="216"/>
      <c r="BB58" s="216"/>
      <c r="BC58" s="675">
        <f t="shared" si="70"/>
        <v>0</v>
      </c>
      <c r="BD58" s="675">
        <f t="shared" si="69"/>
        <v>0</v>
      </c>
      <c r="BE58" s="675">
        <f t="shared" si="71"/>
        <v>0</v>
      </c>
      <c r="BF58" s="6"/>
      <c r="BG58" s="6"/>
      <c r="BH58" s="6"/>
      <c r="BI58" s="6"/>
      <c r="BJ58" s="6"/>
      <c r="BK58" s="6"/>
    </row>
    <row r="59" spans="2:63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14">
        <v>108</v>
      </c>
      <c r="T59" s="6"/>
      <c r="U59" s="40" t="str">
        <f t="shared" si="4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6"/>
        <v/>
      </c>
      <c r="AT59" s="39" t="str">
        <f t="shared" si="27"/>
        <v/>
      </c>
      <c r="AU59" s="39" t="str">
        <f t="shared" si="28"/>
        <v/>
      </c>
      <c r="AV59" s="228"/>
      <c r="AW59" s="228"/>
      <c r="AX59" s="14"/>
      <c r="AY59" s="6"/>
      <c r="AZ59" s="6"/>
      <c r="BA59" s="216"/>
      <c r="BB59" s="216"/>
      <c r="BC59" s="40">
        <f t="shared" si="70"/>
        <v>0</v>
      </c>
      <c r="BD59" s="40">
        <f t="shared" si="69"/>
        <v>0</v>
      </c>
      <c r="BE59" s="40">
        <f t="shared" si="71"/>
        <v>0</v>
      </c>
      <c r="BF59" s="6"/>
      <c r="BG59" s="6"/>
      <c r="BH59" s="6"/>
      <c r="BI59" s="6"/>
      <c r="BJ59" s="6"/>
      <c r="BK59" s="6"/>
    </row>
    <row r="60" spans="2:63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374.2337837500001</v>
      </c>
      <c r="N60" s="136"/>
      <c r="O60" s="135"/>
      <c r="P60" s="135"/>
      <c r="Q60" s="135"/>
      <c r="R60" s="135"/>
      <c r="S60" s="135"/>
      <c r="T60" s="135"/>
      <c r="U60" s="136" t="str">
        <f t="shared" si="4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72">AVERAGE(AA10:AA59)</f>
        <v>0.75181828778752158</v>
      </c>
      <c r="AB60" s="208">
        <f t="shared" si="72"/>
        <v>10.826816900965493</v>
      </c>
      <c r="AC60" s="135"/>
      <c r="AD60" s="135"/>
      <c r="AE60" s="208">
        <f>AVERAGE(AE10:AE59)</f>
        <v>9.2166161616161618E-2</v>
      </c>
      <c r="AF60" s="208">
        <f t="shared" ref="AF60:AH60" si="73">AVERAGE(AF10:AF59)</f>
        <v>0.31681818181818183</v>
      </c>
      <c r="AG60" s="208">
        <f t="shared" si="73"/>
        <v>9.8851313131313123</v>
      </c>
      <c r="AH60" s="208">
        <f t="shared" si="73"/>
        <v>2.4818181818181816E-2</v>
      </c>
      <c r="AI60" s="135"/>
      <c r="AJ60" s="135"/>
      <c r="AK60" s="136">
        <f>SUM(AK10:AK59)</f>
        <v>2541.080731547042</v>
      </c>
      <c r="AL60" s="136">
        <f t="shared" ref="AL60:AM60" si="74">SUM(AL10:AL59)</f>
        <v>2830.09090124366</v>
      </c>
      <c r="AM60" s="136">
        <f t="shared" si="74"/>
        <v>41812.398816667985</v>
      </c>
      <c r="AN60" s="136">
        <f>SUM(AN10:AN59)</f>
        <v>338.42595551456941</v>
      </c>
      <c r="AO60" s="136">
        <f t="shared" ref="AO60:AQ60" si="75">SUM(AO10:AO59)</f>
        <v>1197.3656026372223</v>
      </c>
      <c r="AP60" s="136">
        <f t="shared" si="75"/>
        <v>37602.597821672505</v>
      </c>
      <c r="AQ60" s="136">
        <f t="shared" si="75"/>
        <v>162.44090603999999</v>
      </c>
      <c r="AR60" s="135"/>
      <c r="AS60" s="233">
        <f>AVERAGE(AS10:AS59)</f>
        <v>0.798565423666728</v>
      </c>
      <c r="AT60" s="233">
        <f t="shared" ref="AT60:AU60" si="76">AVERAGE(AT10:AT59)</f>
        <v>0.57277936258793383</v>
      </c>
      <c r="AU60" s="233">
        <f t="shared" si="76"/>
        <v>0.11374653262299814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  <c r="BF60" s="207"/>
      <c r="BG60" s="207"/>
      <c r="BH60" s="207"/>
      <c r="BI60" s="207"/>
      <c r="BJ60" s="207"/>
      <c r="BK60" s="207"/>
    </row>
    <row r="61" spans="2:63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3994.3035052499999</v>
      </c>
      <c r="N61" s="136"/>
      <c r="O61" s="135"/>
      <c r="P61" s="135"/>
      <c r="Q61" s="135"/>
      <c r="R61" s="135"/>
      <c r="S61" s="135"/>
      <c r="T61" s="135"/>
      <c r="U61" s="136" t="str">
        <f t="shared" si="4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6">
        <f>SUM(BC10:BC59)</f>
        <v>2040.2138699924724</v>
      </c>
      <c r="BD61" s="986">
        <f>SUM(BD10:BD59)</f>
        <v>1632.7252986064379</v>
      </c>
      <c r="BE61" s="986">
        <f>SUM(BE10:BE59)</f>
        <v>4209.8009949954876</v>
      </c>
      <c r="BF61" s="136"/>
      <c r="BG61" s="135"/>
      <c r="BH61" s="135"/>
      <c r="BI61" s="207"/>
      <c r="BJ61" s="207"/>
      <c r="BK61" s="207"/>
    </row>
    <row r="62" spans="2:63" x14ac:dyDescent="0.3">
      <c r="M62" s="11"/>
      <c r="U62" s="40" t="str">
        <f t="shared" si="45"/>
        <v/>
      </c>
      <c r="V62" s="1" t="s">
        <v>205</v>
      </c>
      <c r="W62" s="245">
        <f>MEDIAN(W10:W59)</f>
        <v>0.68400000000000005</v>
      </c>
      <c r="X62" s="245">
        <f t="shared" ref="X62:Y62" si="77">MEDIAN(X10:X59)</f>
        <v>0.66833333333333333</v>
      </c>
      <c r="Y62" s="245">
        <f t="shared" si="77"/>
        <v>9.1508333333333347</v>
      </c>
      <c r="Z62" s="245">
        <f>MEDIAN(Z10:Z59)</f>
        <v>0.65897435796966009</v>
      </c>
      <c r="AA62" s="245">
        <f t="shared" ref="AA62:AB62" si="78">MEDIAN(AA10:AA59)</f>
        <v>0.65241771617708166</v>
      </c>
      <c r="AB62" s="245">
        <f t="shared" si="78"/>
        <v>9.3504057987626368</v>
      </c>
      <c r="BC62" s="6"/>
      <c r="BD62" s="6"/>
      <c r="BE62" s="6"/>
      <c r="BF62" s="10"/>
      <c r="BG62" s="10"/>
      <c r="BH62" s="10"/>
    </row>
    <row r="63" spans="2:63" x14ac:dyDescent="0.3">
      <c r="E63" s="11">
        <f>N14+N15</f>
        <v>544.02271250000013</v>
      </c>
      <c r="N63" s="11"/>
      <c r="U63" s="40" t="str">
        <f t="shared" si="45"/>
        <v/>
      </c>
      <c r="AK63" s="44">
        <f>AK60-(AN60+AQ60)</f>
        <v>2040.2138699924726</v>
      </c>
      <c r="BC63" s="11">
        <f>BC61*0.8</f>
        <v>1632.171095993978</v>
      </c>
    </row>
    <row r="64" spans="2:63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210" t="s">
        <v>310</v>
      </c>
      <c r="AO65" s="1210"/>
      <c r="AP65" s="1210"/>
      <c r="AQ65" s="1210"/>
      <c r="AR65" s="250"/>
      <c r="AS65" s="132" t="s">
        <v>331</v>
      </c>
      <c r="AT65" s="1223" t="s">
        <v>260</v>
      </c>
      <c r="AU65" s="1223"/>
      <c r="AV65" s="1223"/>
      <c r="AW65" s="431"/>
      <c r="AX65" s="1360" t="s">
        <v>256</v>
      </c>
      <c r="AY65" s="1361"/>
      <c r="AZ65" s="1361"/>
      <c r="BA65" s="1361"/>
      <c r="BB65" s="1361"/>
      <c r="BC65" s="1362"/>
      <c r="BD65" s="1465" t="s">
        <v>277</v>
      </c>
      <c r="BE65" s="1466"/>
      <c r="BF65" s="1467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223" t="s">
        <v>261</v>
      </c>
      <c r="AU66" s="1223"/>
      <c r="AV66" s="1223"/>
      <c r="AW66" s="431"/>
      <c r="AX66" s="1360" t="s">
        <v>263</v>
      </c>
      <c r="AY66" s="1361"/>
      <c r="AZ66" s="1362"/>
      <c r="BA66" s="1360" t="s">
        <v>264</v>
      </c>
      <c r="BB66" s="1361"/>
      <c r="BC66" s="1362"/>
      <c r="BD66" s="1360" t="s">
        <v>40</v>
      </c>
      <c r="BE66" s="1361"/>
      <c r="BF66" s="1362"/>
    </row>
    <row r="67" spans="5:58" x14ac:dyDescent="0.3">
      <c r="F67" s="44"/>
      <c r="J67" s="40">
        <f>SUM(C10:C59)</f>
        <v>454.9</v>
      </c>
      <c r="K67" s="40"/>
      <c r="L67" s="40">
        <f>'Milling Down Time Hours'!P60</f>
        <v>233.13333333333333</v>
      </c>
      <c r="M67" s="40">
        <f>M61/J67</f>
        <v>8.7806188288634868</v>
      </c>
      <c r="N67" s="40"/>
      <c r="O67" s="40">
        <f>(M61/J68)</f>
        <v>210.7348518927237</v>
      </c>
      <c r="P67" s="40"/>
      <c r="Q67" s="40"/>
      <c r="R67" s="40"/>
      <c r="S67" s="40"/>
      <c r="T67" s="40">
        <f>(J67+L67)/24</f>
        <v>28.668055555555554</v>
      </c>
      <c r="AN67" s="14" t="s">
        <v>330</v>
      </c>
      <c r="AO67" s="134">
        <f>AVERAGE(W10:W15)</f>
        <v>0.7364814814814814</v>
      </c>
      <c r="AP67" s="134">
        <f t="shared" ref="AP67:AQ67" si="79">AVERAGE(X10:X15)</f>
        <v>0.64749537037037042</v>
      </c>
      <c r="AQ67" s="134">
        <f t="shared" si="7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18.954166666666666</v>
      </c>
      <c r="K68" s="44"/>
      <c r="L68" s="44">
        <f>L67/24</f>
        <v>9.7138888888888886</v>
      </c>
      <c r="AC68" s="1223" t="s">
        <v>260</v>
      </c>
      <c r="AD68" s="1223"/>
      <c r="AE68" s="1223"/>
      <c r="AF68" s="1223"/>
      <c r="AG68" s="1223"/>
      <c r="AN68" s="14" t="s">
        <v>201</v>
      </c>
      <c r="AO68" s="134">
        <f>MEDIAN(W10:W15)</f>
        <v>0.69599999999999995</v>
      </c>
      <c r="AP68" s="134">
        <f t="shared" ref="AP68:AQ68" si="80">MEDIAN(X10:X15)</f>
        <v>0.66361111111111115</v>
      </c>
      <c r="AQ68" s="134">
        <f t="shared" si="8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4">
        <v>7.2224166666666676</v>
      </c>
      <c r="AW68" s="1157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369" t="s">
        <v>259</v>
      </c>
      <c r="AD69" s="1369" t="s">
        <v>487</v>
      </c>
      <c r="AE69" s="1223" t="s">
        <v>261</v>
      </c>
      <c r="AF69" s="1223"/>
      <c r="AG69" s="1223"/>
      <c r="AN69" s="14" t="s">
        <v>203</v>
      </c>
      <c r="AO69" s="134">
        <f>MIN(W10:W15)</f>
        <v>0.57608333333333328</v>
      </c>
      <c r="AP69" s="134">
        <f t="shared" ref="AP69:AQ69" si="81">MIN(X10:X15)</f>
        <v>0.49666666666666665</v>
      </c>
      <c r="AQ69" s="134">
        <f t="shared" si="8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4">
        <v>9.051111111111112</v>
      </c>
      <c r="AW69" s="1157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454.9</v>
      </c>
      <c r="N70" s="11"/>
      <c r="AC70" s="1369"/>
      <c r="AD70" s="1369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82">MAX(X10:X15)</f>
        <v>0.79333333333333333</v>
      </c>
      <c r="AQ70" s="134">
        <f t="shared" si="8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4">
        <v>9.0688888888888908</v>
      </c>
      <c r="AW70" s="1157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4">
        <v>9.1508333333333347</v>
      </c>
      <c r="AW71" s="1157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688.0333333333333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4">
        <v>9.0411111111111087</v>
      </c>
      <c r="AW72" s="1157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0.66115982752773605</v>
      </c>
      <c r="AC73" s="13"/>
      <c r="AS73" s="14">
        <v>6</v>
      </c>
      <c r="AT73" s="134">
        <v>0.57608333333333328</v>
      </c>
      <c r="AU73" s="134">
        <v>0.66833333333333333</v>
      </c>
      <c r="AV73" s="1154">
        <v>7.58</v>
      </c>
      <c r="AW73" s="1157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8.7806188288634868</v>
      </c>
      <c r="AC74" s="13"/>
      <c r="AS74" s="14">
        <v>7</v>
      </c>
      <c r="AT74" s="134">
        <v>0.53555555555555556</v>
      </c>
      <c r="AU74" s="134">
        <v>0.53555555555555556</v>
      </c>
      <c r="AV74" s="1154">
        <v>9.8144444444444439</v>
      </c>
      <c r="AW74" s="1157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210.7348518927237</v>
      </c>
      <c r="AC75" s="13"/>
      <c r="AS75" s="14">
        <v>8</v>
      </c>
      <c r="AT75" s="134">
        <v>0.58483333333333321</v>
      </c>
      <c r="AU75" s="134">
        <v>0.58833333333333337</v>
      </c>
      <c r="AV75" s="1154">
        <v>10.3775</v>
      </c>
      <c r="AW75" s="1157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28.668055555555554</v>
      </c>
      <c r="AC76" s="13"/>
      <c r="AS76" s="14">
        <v>9</v>
      </c>
      <c r="AT76" s="134">
        <v>0.60575000000000001</v>
      </c>
      <c r="AU76" s="134">
        <v>0.86333333333333329</v>
      </c>
      <c r="AV76" s="1154">
        <v>14.675833333333332</v>
      </c>
      <c r="AW76" s="1157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0.33884017247226395</v>
      </c>
      <c r="AS77" s="14">
        <v>10</v>
      </c>
      <c r="AT77" s="134">
        <v>0.82590476190476192</v>
      </c>
      <c r="AU77" s="134">
        <v>1.1390476190476191</v>
      </c>
      <c r="AV77" s="1154">
        <v>17.893333333333334</v>
      </c>
      <c r="AW77" s="1157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4">
        <v>18.880000000000003</v>
      </c>
      <c r="AW78" s="1157"/>
      <c r="AX78" s="1153">
        <v>0.16700000000000001</v>
      </c>
      <c r="AY78" s="1153">
        <v>1.26</v>
      </c>
      <c r="AZ78" s="1153">
        <v>17.43</v>
      </c>
      <c r="BA78" s="1153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83">AVERAGE(AU68:AU78)</f>
        <v>0.75587049062049061</v>
      </c>
      <c r="AV79" s="134">
        <f t="shared" si="83"/>
        <v>11.159588383838383</v>
      </c>
      <c r="AW79" s="208"/>
      <c r="AX79" s="134">
        <f>AVERAGE(AX68:AX78)</f>
        <v>9.6350505050505048E-2</v>
      </c>
      <c r="AY79" s="134">
        <f t="shared" ref="AY79:BA79" si="84">AVERAGE(AY68:AY78)</f>
        <v>0.38267676767676767</v>
      </c>
      <c r="AZ79" s="134">
        <f t="shared" si="84"/>
        <v>10.193287878787878</v>
      </c>
      <c r="BA79" s="134">
        <f t="shared" si="8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58" t="s">
        <v>17</v>
      </c>
      <c r="AT80" s="1468"/>
      <c r="AU80" s="1469"/>
      <c r="AV80" s="1469"/>
      <c r="AW80" s="1469"/>
      <c r="AX80" s="1469"/>
      <c r="AY80" s="1469"/>
      <c r="AZ80" s="1469"/>
      <c r="BA80" s="1469"/>
      <c r="BB80" s="1469"/>
      <c r="BC80" s="1470"/>
      <c r="BD80" s="1159">
        <f>SUM(BD68:BD79)</f>
        <v>2023.4684999216388</v>
      </c>
      <c r="BE80" s="1159">
        <f t="shared" ref="BE80:BF80" si="85">SUM(BE68:BE79)</f>
        <v>1374.7770814606047</v>
      </c>
      <c r="BF80" s="1159">
        <f t="shared" si="8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80" t="s">
        <v>318</v>
      </c>
      <c r="N92" s="1223" t="s">
        <v>633</v>
      </c>
      <c r="O92" s="1223"/>
      <c r="P92" s="1223"/>
      <c r="Q92" s="431"/>
      <c r="R92" s="431"/>
      <c r="S92" s="431"/>
      <c r="T92" s="1360" t="s">
        <v>324</v>
      </c>
      <c r="U92" s="1361"/>
      <c r="V92" s="1362"/>
    </row>
    <row r="93" spans="10:44" x14ac:dyDescent="0.3">
      <c r="J93" s="132" t="s">
        <v>321</v>
      </c>
      <c r="K93" s="132"/>
      <c r="L93" s="132" t="s">
        <v>634</v>
      </c>
      <c r="M93" s="1481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86">X10</f>
        <v>0.53525</v>
      </c>
      <c r="P94" s="134">
        <f t="shared" si="8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87">AF10</f>
        <v>0.17</v>
      </c>
      <c r="V94" s="134">
        <f t="shared" si="8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88">W11</f>
        <v>0.68400000000000005</v>
      </c>
      <c r="O95" s="134">
        <f t="shared" si="86"/>
        <v>0.79333333333333333</v>
      </c>
      <c r="P95" s="134">
        <f t="shared" si="86"/>
        <v>9.051111111111112</v>
      </c>
      <c r="Q95" s="134"/>
      <c r="R95" s="134"/>
      <c r="S95" s="134"/>
      <c r="T95" s="134">
        <f t="shared" ref="T95:T98" si="89">AE11</f>
        <v>5.5749999999999994E-2</v>
      </c>
      <c r="U95" s="134">
        <f t="shared" si="87"/>
        <v>0.25</v>
      </c>
      <c r="V95" s="134">
        <f t="shared" si="8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88"/>
        <v>0.93455555555555547</v>
      </c>
      <c r="O96" s="134">
        <f t="shared" si="86"/>
        <v>0.65888888888888886</v>
      </c>
      <c r="P96" s="134">
        <f t="shared" si="86"/>
        <v>9.0688888888888908</v>
      </c>
      <c r="Q96" s="134"/>
      <c r="R96" s="134"/>
      <c r="S96" s="134"/>
      <c r="T96" s="134">
        <f t="shared" si="89"/>
        <v>9.816666666666668E-2</v>
      </c>
      <c r="U96" s="134">
        <f t="shared" si="87"/>
        <v>0.23333333333333331</v>
      </c>
      <c r="V96" s="134">
        <f t="shared" si="8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90">N13</f>
        <v>316.93530000000004</v>
      </c>
      <c r="N97" s="134">
        <f t="shared" si="88"/>
        <v>0.92891666666666661</v>
      </c>
      <c r="O97" s="134">
        <f t="shared" si="86"/>
        <v>0.73249999999999993</v>
      </c>
      <c r="P97" s="134">
        <f t="shared" si="86"/>
        <v>9.1508333333333347</v>
      </c>
      <c r="Q97" s="134"/>
      <c r="R97" s="134"/>
      <c r="S97" s="134"/>
      <c r="T97" s="134">
        <f t="shared" si="89"/>
        <v>0.10916666666666668</v>
      </c>
      <c r="U97" s="134">
        <f t="shared" si="87"/>
        <v>0.24</v>
      </c>
      <c r="V97" s="134">
        <f t="shared" si="8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90"/>
        <v>266.98580000000004</v>
      </c>
      <c r="N98" s="134">
        <f t="shared" si="88"/>
        <v>0.58733333333333337</v>
      </c>
      <c r="O98" s="134">
        <f t="shared" si="86"/>
        <v>0.49666666666666665</v>
      </c>
      <c r="P98" s="134">
        <f t="shared" si="86"/>
        <v>9.0411111111111087</v>
      </c>
      <c r="Q98" s="134"/>
      <c r="R98" s="134"/>
      <c r="S98" s="134"/>
      <c r="T98" s="134">
        <f t="shared" si="89"/>
        <v>0.12466666666666666</v>
      </c>
      <c r="U98" s="134">
        <f t="shared" si="87"/>
        <v>0.37833333333333335</v>
      </c>
      <c r="V98" s="134">
        <f t="shared" si="8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86"/>
        <v>0.66833333333333333</v>
      </c>
      <c r="P99" s="134">
        <f t="shared" si="8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86"/>
        <v>0.53555555555555556</v>
      </c>
      <c r="P100" s="134">
        <f t="shared" si="8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91">AVERAGE(O94:O100)</f>
        <v>0.63150396825396826</v>
      </c>
      <c r="P101" s="243">
        <f t="shared" si="9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92">AVERAGE(U94:U98)</f>
        <v>0.25433333333333336</v>
      </c>
      <c r="V101" s="243">
        <f t="shared" si="9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4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AE69:AG69"/>
    <mergeCell ref="AC68:AG68"/>
    <mergeCell ref="AC69:AC70"/>
    <mergeCell ref="AD69:AD70"/>
    <mergeCell ref="AN65:AQ65"/>
    <mergeCell ref="AT80:BC80"/>
    <mergeCell ref="AT65:AV65"/>
    <mergeCell ref="AT66:AV66"/>
    <mergeCell ref="AX65:BC65"/>
    <mergeCell ref="AX66:AZ66"/>
    <mergeCell ref="BA66:BC66"/>
    <mergeCell ref="BF7:BH7"/>
    <mergeCell ref="BF8:BH8"/>
    <mergeCell ref="BI8:BK8"/>
    <mergeCell ref="BI7:BK7"/>
    <mergeCell ref="BD66:BF66"/>
    <mergeCell ref="BD65:BF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89" t="s">
        <v>473</v>
      </c>
      <c r="R4" s="1490"/>
      <c r="S4" s="1490"/>
      <c r="T4" s="1491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92"/>
      <c r="R5" s="1493"/>
      <c r="S5" s="1493"/>
      <c r="T5" s="1494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15" t="s">
        <v>0</v>
      </c>
      <c r="B4" s="1517" t="s">
        <v>50</v>
      </c>
      <c r="C4" s="1517"/>
      <c r="D4" s="1517"/>
      <c r="E4" s="1517"/>
      <c r="F4" s="100"/>
      <c r="G4" s="55"/>
      <c r="H4" s="55"/>
      <c r="I4" s="105"/>
      <c r="J4" s="105"/>
      <c r="K4" s="105"/>
      <c r="L4" s="1503" t="s">
        <v>239</v>
      </c>
      <c r="M4" s="1501"/>
      <c r="N4" s="1502"/>
      <c r="O4" s="1503" t="s">
        <v>235</v>
      </c>
      <c r="P4" s="1501"/>
      <c r="Q4" s="1502"/>
      <c r="R4" s="1503" t="s">
        <v>236</v>
      </c>
      <c r="S4" s="1501"/>
      <c r="T4" s="1502"/>
      <c r="U4" s="1503" t="s">
        <v>237</v>
      </c>
      <c r="V4" s="1501"/>
      <c r="W4" s="1502"/>
      <c r="X4" s="1503" t="s">
        <v>238</v>
      </c>
      <c r="Y4" s="1501"/>
      <c r="Z4" s="1502"/>
      <c r="AA4" s="1503" t="s">
        <v>51</v>
      </c>
      <c r="AB4" s="1501"/>
      <c r="AC4" s="1502"/>
      <c r="AD4" s="1503" t="s">
        <v>52</v>
      </c>
      <c r="AE4" s="1501"/>
      <c r="AF4" s="1502"/>
      <c r="AG4" s="1495">
        <v>0.83333333333333337</v>
      </c>
      <c r="AH4" s="1501"/>
      <c r="AI4" s="1502"/>
      <c r="AJ4" s="1495">
        <v>0.91666666666666663</v>
      </c>
      <c r="AK4" s="1496"/>
      <c r="AL4" s="1497"/>
      <c r="AM4" s="1498">
        <v>0</v>
      </c>
      <c r="AN4" s="1499"/>
      <c r="AO4" s="1500"/>
      <c r="AP4" s="1495">
        <v>8.3333333333333329E-2</v>
      </c>
      <c r="AQ4" s="1496"/>
      <c r="AR4" s="1497"/>
      <c r="AS4" s="1495">
        <v>0.16666666666666666</v>
      </c>
      <c r="AT4" s="1496"/>
      <c r="AU4" s="1497"/>
      <c r="AV4" s="60" t="s">
        <v>53</v>
      </c>
      <c r="AW4" s="45"/>
    </row>
    <row r="5" spans="1:49" x14ac:dyDescent="0.3">
      <c r="A5" s="1515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21">
        <v>46147</v>
      </c>
      <c r="B6" s="1516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530" t="s">
        <v>231</v>
      </c>
      <c r="AW6" s="1531"/>
    </row>
    <row r="7" spans="1:49" x14ac:dyDescent="0.3">
      <c r="A7" s="1521"/>
      <c r="B7" s="150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530"/>
      <c r="AW7" s="1532"/>
    </row>
    <row r="8" spans="1:49" x14ac:dyDescent="0.3">
      <c r="A8" s="1521"/>
      <c r="B8" s="150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530"/>
      <c r="AW8" s="1532"/>
    </row>
    <row r="9" spans="1:49" ht="15" thickBot="1" x14ac:dyDescent="0.35">
      <c r="A9" s="1516"/>
      <c r="B9" s="1505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31"/>
      <c r="AW9" s="1533"/>
    </row>
    <row r="10" spans="1:49" x14ac:dyDescent="0.3">
      <c r="A10" s="1518">
        <v>46148</v>
      </c>
      <c r="B10" s="1504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34" t="s">
        <v>240</v>
      </c>
      <c r="AW10" s="1537" t="s">
        <v>230</v>
      </c>
    </row>
    <row r="11" spans="1:49" x14ac:dyDescent="0.3">
      <c r="A11" s="1519"/>
      <c r="B11" s="1505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35"/>
      <c r="AW11" s="1538"/>
    </row>
    <row r="12" spans="1:49" x14ac:dyDescent="0.3">
      <c r="A12" s="1519"/>
      <c r="B12" s="1505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35"/>
      <c r="AW12" s="1538"/>
    </row>
    <row r="13" spans="1:49" ht="15" thickBot="1" x14ac:dyDescent="0.35">
      <c r="A13" s="1520"/>
      <c r="B13" s="1505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36"/>
      <c r="AW13" s="1539"/>
    </row>
    <row r="14" spans="1:49" ht="15" thickBot="1" x14ac:dyDescent="0.35">
      <c r="A14" s="1518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34" t="s">
        <v>241</v>
      </c>
      <c r="AW14" s="1540"/>
    </row>
    <row r="15" spans="1:49" x14ac:dyDescent="0.3">
      <c r="A15" s="1519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35"/>
      <c r="AW15" s="1541"/>
    </row>
    <row r="16" spans="1:49" x14ac:dyDescent="0.3">
      <c r="A16" s="1519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35"/>
      <c r="AW16" s="1541"/>
    </row>
    <row r="17" spans="1:49" ht="15" thickBot="1" x14ac:dyDescent="0.35">
      <c r="A17" s="1520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35"/>
      <c r="AW17" s="1542"/>
    </row>
    <row r="18" spans="1:49" x14ac:dyDescent="0.3">
      <c r="A18" s="1522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29"/>
    </row>
    <row r="19" spans="1:49" x14ac:dyDescent="0.3">
      <c r="A19" s="1521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28"/>
    </row>
    <row r="20" spans="1:49" x14ac:dyDescent="0.3">
      <c r="A20" s="1521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28"/>
    </row>
    <row r="21" spans="1:49" x14ac:dyDescent="0.3">
      <c r="A21" s="1521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28"/>
    </row>
    <row r="22" spans="1:49" x14ac:dyDescent="0.3">
      <c r="A22" s="1521">
        <v>46151</v>
      </c>
      <c r="B22" s="52"/>
      <c r="C22" s="50"/>
      <c r="D22" s="1506"/>
      <c r="E22" s="1512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28"/>
    </row>
    <row r="23" spans="1:49" x14ac:dyDescent="0.3">
      <c r="A23" s="1521"/>
      <c r="B23" s="53"/>
      <c r="C23" s="50"/>
      <c r="D23" s="1507"/>
      <c r="E23" s="1513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28"/>
    </row>
    <row r="24" spans="1:49" x14ac:dyDescent="0.3">
      <c r="A24" s="1521"/>
      <c r="B24" s="53"/>
      <c r="C24" s="50"/>
      <c r="D24" s="1507"/>
      <c r="E24" s="1513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28"/>
    </row>
    <row r="25" spans="1:49" ht="15" thickBot="1" x14ac:dyDescent="0.35">
      <c r="A25" s="1521"/>
      <c r="B25" s="54"/>
      <c r="C25" s="50"/>
      <c r="D25" s="1508"/>
      <c r="E25" s="1514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26"/>
    </row>
    <row r="26" spans="1:49" x14ac:dyDescent="0.3">
      <c r="A26" s="1521">
        <v>46152</v>
      </c>
      <c r="B26" s="52"/>
      <c r="C26" s="50"/>
      <c r="D26" s="1506"/>
      <c r="E26" s="1512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29"/>
      <c r="AW26" s="1529"/>
    </row>
    <row r="27" spans="1:49" x14ac:dyDescent="0.3">
      <c r="A27" s="1521"/>
      <c r="B27" s="53"/>
      <c r="C27" s="50"/>
      <c r="D27" s="1507"/>
      <c r="E27" s="1513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28"/>
      <c r="AW27" s="1528"/>
    </row>
    <row r="28" spans="1:49" x14ac:dyDescent="0.3">
      <c r="A28" s="1521"/>
      <c r="B28" s="53"/>
      <c r="C28" s="50"/>
      <c r="D28" s="1507"/>
      <c r="E28" s="1513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28"/>
      <c r="AW28" s="1528"/>
    </row>
    <row r="29" spans="1:49" x14ac:dyDescent="0.3">
      <c r="A29" s="1521"/>
      <c r="B29" s="54"/>
      <c r="C29" s="50"/>
      <c r="D29" s="1508"/>
      <c r="E29" s="1514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28"/>
      <c r="AW29" s="1528"/>
    </row>
    <row r="30" spans="1:49" x14ac:dyDescent="0.3">
      <c r="A30" s="1521">
        <v>46153</v>
      </c>
      <c r="B30" s="52"/>
      <c r="C30" s="50"/>
      <c r="D30" s="1506"/>
      <c r="E30" s="1512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28"/>
      <c r="AW30" s="1528"/>
    </row>
    <row r="31" spans="1:49" x14ac:dyDescent="0.3">
      <c r="A31" s="1521"/>
      <c r="B31" s="53"/>
      <c r="C31" s="50"/>
      <c r="D31" s="1507"/>
      <c r="E31" s="1513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28"/>
      <c r="AW31" s="1528"/>
    </row>
    <row r="32" spans="1:49" x14ac:dyDescent="0.3">
      <c r="A32" s="1521"/>
      <c r="B32" s="53"/>
      <c r="C32" s="50"/>
      <c r="D32" s="1507"/>
      <c r="E32" s="1513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28"/>
      <c r="AW32" s="1528"/>
    </row>
    <row r="33" spans="1:49" x14ac:dyDescent="0.3">
      <c r="A33" s="1521"/>
      <c r="B33" s="54"/>
      <c r="C33" s="50"/>
      <c r="D33" s="1508"/>
      <c r="E33" s="1514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26"/>
      <c r="AW33" s="1526"/>
    </row>
    <row r="34" spans="1:49" x14ac:dyDescent="0.3">
      <c r="A34" s="1521">
        <v>46154</v>
      </c>
      <c r="B34" s="52"/>
      <c r="C34" s="50"/>
      <c r="D34" s="1506"/>
      <c r="E34" s="1512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29"/>
      <c r="AW34" s="1529"/>
    </row>
    <row r="35" spans="1:49" x14ac:dyDescent="0.3">
      <c r="A35" s="1521"/>
      <c r="B35" s="53"/>
      <c r="C35" s="50"/>
      <c r="D35" s="1507"/>
      <c r="E35" s="1513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28"/>
      <c r="AW35" s="1528"/>
    </row>
    <row r="36" spans="1:49" x14ac:dyDescent="0.3">
      <c r="A36" s="1521"/>
      <c r="B36" s="53"/>
      <c r="C36" s="50"/>
      <c r="D36" s="1507"/>
      <c r="E36" s="1513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28"/>
      <c r="AW36" s="1528"/>
    </row>
    <row r="37" spans="1:49" x14ac:dyDescent="0.3">
      <c r="A37" s="1521"/>
      <c r="B37" s="54"/>
      <c r="C37" s="50"/>
      <c r="D37" s="1508"/>
      <c r="E37" s="1514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28"/>
      <c r="AW37" s="1528"/>
    </row>
    <row r="38" spans="1:49" x14ac:dyDescent="0.3">
      <c r="A38" s="1521">
        <v>46155</v>
      </c>
      <c r="B38" s="52"/>
      <c r="C38" s="50"/>
      <c r="D38" s="1506"/>
      <c r="E38" s="1512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28"/>
      <c r="AW38" s="1528"/>
    </row>
    <row r="39" spans="1:49" x14ac:dyDescent="0.3">
      <c r="A39" s="1521"/>
      <c r="B39" s="53"/>
      <c r="C39" s="50"/>
      <c r="D39" s="1507"/>
      <c r="E39" s="1513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28"/>
      <c r="AW39" s="1528"/>
    </row>
    <row r="40" spans="1:49" x14ac:dyDescent="0.3">
      <c r="A40" s="1521"/>
      <c r="B40" s="53"/>
      <c r="C40" s="50"/>
      <c r="D40" s="1507"/>
      <c r="E40" s="1513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28"/>
      <c r="AW40" s="1528"/>
    </row>
    <row r="41" spans="1:49" x14ac:dyDescent="0.3">
      <c r="A41" s="1521"/>
      <c r="B41" s="54"/>
      <c r="C41" s="50"/>
      <c r="D41" s="1508"/>
      <c r="E41" s="1514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26"/>
      <c r="AW41" s="1526"/>
    </row>
    <row r="42" spans="1:49" x14ac:dyDescent="0.3">
      <c r="A42" s="1521">
        <v>46156</v>
      </c>
      <c r="B42" s="52"/>
      <c r="C42" s="50"/>
      <c r="D42" s="1506"/>
      <c r="E42" s="1512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29"/>
      <c r="AW42" s="1529"/>
    </row>
    <row r="43" spans="1:49" x14ac:dyDescent="0.3">
      <c r="A43" s="1521"/>
      <c r="B43" s="53"/>
      <c r="C43" s="50"/>
      <c r="D43" s="1507"/>
      <c r="E43" s="1513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28"/>
      <c r="AW43" s="1528"/>
    </row>
    <row r="44" spans="1:49" x14ac:dyDescent="0.3">
      <c r="A44" s="1521"/>
      <c r="B44" s="53"/>
      <c r="C44" s="50"/>
      <c r="D44" s="1507"/>
      <c r="E44" s="1513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28"/>
      <c r="AW44" s="1528"/>
    </row>
    <row r="45" spans="1:49" x14ac:dyDescent="0.3">
      <c r="A45" s="1521"/>
      <c r="B45" s="54"/>
      <c r="C45" s="50"/>
      <c r="D45" s="1508"/>
      <c r="E45" s="1514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28"/>
      <c r="AW45" s="1528"/>
    </row>
    <row r="46" spans="1:49" x14ac:dyDescent="0.3">
      <c r="A46" s="1521">
        <v>46157</v>
      </c>
      <c r="B46" s="52"/>
      <c r="C46" s="50"/>
      <c r="D46" s="1509" t="s">
        <v>157</v>
      </c>
      <c r="E46" s="1512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28"/>
      <c r="AW46" s="1528"/>
    </row>
    <row r="47" spans="1:49" x14ac:dyDescent="0.3">
      <c r="A47" s="1521"/>
      <c r="B47" s="53"/>
      <c r="C47" s="50"/>
      <c r="D47" s="1510"/>
      <c r="E47" s="1513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28"/>
      <c r="AW47" s="1528"/>
    </row>
    <row r="48" spans="1:49" x14ac:dyDescent="0.3">
      <c r="A48" s="1521"/>
      <c r="B48" s="53"/>
      <c r="C48" s="50"/>
      <c r="D48" s="1510"/>
      <c r="E48" s="1513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28"/>
      <c r="AW48" s="1528"/>
    </row>
    <row r="49" spans="1:49" x14ac:dyDescent="0.3">
      <c r="A49" s="1521"/>
      <c r="B49" s="54"/>
      <c r="C49" s="50"/>
      <c r="D49" s="1511"/>
      <c r="E49" s="1514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26"/>
      <c r="AW49" s="1526"/>
    </row>
    <row r="50" spans="1:49" x14ac:dyDescent="0.3">
      <c r="A50" s="1521">
        <v>46158</v>
      </c>
      <c r="B50" s="52"/>
      <c r="C50" s="50"/>
      <c r="D50" s="1506"/>
      <c r="E50" s="1512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29"/>
      <c r="AW50" s="1529"/>
    </row>
    <row r="51" spans="1:49" x14ac:dyDescent="0.3">
      <c r="A51" s="1521"/>
      <c r="B51" s="53"/>
      <c r="C51" s="50"/>
      <c r="D51" s="1507"/>
      <c r="E51" s="1513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28"/>
      <c r="AW51" s="1528"/>
    </row>
    <row r="52" spans="1:49" x14ac:dyDescent="0.3">
      <c r="A52" s="1521"/>
      <c r="B52" s="53"/>
      <c r="C52" s="50"/>
      <c r="D52" s="1507"/>
      <c r="E52" s="1513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28"/>
      <c r="AW52" s="1528"/>
    </row>
    <row r="53" spans="1:49" x14ac:dyDescent="0.3">
      <c r="A53" s="1521"/>
      <c r="B53" s="54"/>
      <c r="C53" s="50"/>
      <c r="D53" s="1508"/>
      <c r="E53" s="1514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28"/>
      <c r="AW53" s="1528"/>
    </row>
    <row r="54" spans="1:49" x14ac:dyDescent="0.3">
      <c r="A54" s="1521">
        <v>46159</v>
      </c>
      <c r="B54" s="52"/>
      <c r="C54" s="50"/>
      <c r="D54" s="98"/>
      <c r="E54" s="1523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28"/>
      <c r="AW54" s="1528"/>
    </row>
    <row r="55" spans="1:49" x14ac:dyDescent="0.3">
      <c r="A55" s="1521"/>
      <c r="B55" s="53"/>
      <c r="C55" s="50"/>
      <c r="D55" s="98"/>
      <c r="E55" s="1524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28"/>
      <c r="AW55" s="1528"/>
    </row>
    <row r="56" spans="1:49" x14ac:dyDescent="0.3">
      <c r="A56" s="1521"/>
      <c r="B56" s="53"/>
      <c r="C56" s="50"/>
      <c r="D56" s="98"/>
      <c r="E56" s="1524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28"/>
      <c r="AW56" s="1528"/>
    </row>
    <row r="57" spans="1:49" x14ac:dyDescent="0.3">
      <c r="A57" s="1521"/>
      <c r="B57" s="54"/>
      <c r="C57" s="50"/>
      <c r="D57" s="98"/>
      <c r="E57" s="1525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26"/>
      <c r="AW57" s="1526"/>
    </row>
    <row r="58" spans="1:49" x14ac:dyDescent="0.3">
      <c r="A58" s="1521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29"/>
      <c r="AW58" s="1529"/>
    </row>
    <row r="59" spans="1:49" x14ac:dyDescent="0.3">
      <c r="A59" s="1521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28"/>
      <c r="AW59" s="1528"/>
    </row>
    <row r="60" spans="1:49" x14ac:dyDescent="0.3">
      <c r="A60" s="1521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28"/>
      <c r="AW60" s="1528"/>
    </row>
    <row r="61" spans="1:49" x14ac:dyDescent="0.3">
      <c r="A61" s="1521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28"/>
      <c r="AW61" s="1528"/>
    </row>
    <row r="62" spans="1:49" x14ac:dyDescent="0.3">
      <c r="A62" s="1521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28"/>
      <c r="AW62" s="1528"/>
    </row>
    <row r="63" spans="1:49" x14ac:dyDescent="0.3">
      <c r="A63" s="1521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28"/>
      <c r="AW63" s="1528"/>
    </row>
    <row r="64" spans="1:49" x14ac:dyDescent="0.3">
      <c r="A64" s="1521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28"/>
      <c r="AW64" s="1528"/>
    </row>
    <row r="65" spans="1:49" x14ac:dyDescent="0.3">
      <c r="A65" s="1521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26"/>
      <c r="AW65" s="1526"/>
    </row>
    <row r="66" spans="1:49" x14ac:dyDescent="0.3">
      <c r="A66" s="1521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29"/>
      <c r="AW66" s="1529"/>
    </row>
    <row r="67" spans="1:49" x14ac:dyDescent="0.3">
      <c r="A67" s="1521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28"/>
      <c r="AW67" s="1528"/>
    </row>
    <row r="68" spans="1:49" x14ac:dyDescent="0.3">
      <c r="A68" s="1521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28"/>
      <c r="AW68" s="1528"/>
    </row>
    <row r="69" spans="1:49" x14ac:dyDescent="0.3">
      <c r="A69" s="1521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28"/>
      <c r="AW69" s="1528"/>
    </row>
    <row r="70" spans="1:49" x14ac:dyDescent="0.3">
      <c r="A70" s="1521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28"/>
      <c r="AW70" s="1528"/>
    </row>
    <row r="71" spans="1:49" x14ac:dyDescent="0.3">
      <c r="A71" s="1521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28"/>
      <c r="AW71" s="1528"/>
    </row>
    <row r="72" spans="1:49" x14ac:dyDescent="0.3">
      <c r="A72" s="1521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28"/>
      <c r="AW72" s="1528"/>
    </row>
    <row r="73" spans="1:49" x14ac:dyDescent="0.3">
      <c r="A73" s="1521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26"/>
      <c r="AW73" s="1526"/>
    </row>
    <row r="74" spans="1:49" x14ac:dyDescent="0.3">
      <c r="A74" s="1521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29"/>
      <c r="AW74" s="1529"/>
    </row>
    <row r="75" spans="1:49" x14ac:dyDescent="0.3">
      <c r="A75" s="1521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28"/>
      <c r="AW75" s="1528"/>
    </row>
    <row r="76" spans="1:49" x14ac:dyDescent="0.3">
      <c r="A76" s="1521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28"/>
      <c r="AW76" s="1528"/>
    </row>
    <row r="77" spans="1:49" x14ac:dyDescent="0.3">
      <c r="A77" s="1521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28"/>
      <c r="AW77" s="1528"/>
    </row>
    <row r="78" spans="1:49" x14ac:dyDescent="0.3">
      <c r="A78" s="1521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28"/>
      <c r="AW78" s="1528"/>
    </row>
    <row r="79" spans="1:49" x14ac:dyDescent="0.3">
      <c r="A79" s="1521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28"/>
      <c r="AW79" s="1528"/>
    </row>
    <row r="80" spans="1:49" x14ac:dyDescent="0.3">
      <c r="A80" s="1521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28"/>
      <c r="AW80" s="1528"/>
    </row>
    <row r="81" spans="1:49" x14ac:dyDescent="0.3">
      <c r="A81" s="1521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26"/>
      <c r="AW81" s="1526"/>
    </row>
    <row r="82" spans="1:49" x14ac:dyDescent="0.3">
      <c r="A82" s="1521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29"/>
      <c r="AW82" s="1529"/>
    </row>
    <row r="83" spans="1:49" x14ac:dyDescent="0.3">
      <c r="A83" s="1521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28"/>
      <c r="AW83" s="1528"/>
    </row>
    <row r="84" spans="1:49" x14ac:dyDescent="0.3">
      <c r="A84" s="1521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28"/>
      <c r="AW84" s="1528"/>
    </row>
    <row r="85" spans="1:49" x14ac:dyDescent="0.3">
      <c r="A85" s="1521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28"/>
      <c r="AW85" s="1528"/>
    </row>
    <row r="86" spans="1:49" x14ac:dyDescent="0.3">
      <c r="A86" s="1521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28"/>
      <c r="AW86" s="1528"/>
    </row>
    <row r="87" spans="1:49" x14ac:dyDescent="0.3">
      <c r="A87" s="1521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28"/>
      <c r="AW87" s="1528"/>
    </row>
    <row r="88" spans="1:49" x14ac:dyDescent="0.3">
      <c r="A88" s="1521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28"/>
      <c r="AW88" s="1528"/>
    </row>
    <row r="89" spans="1:49" x14ac:dyDescent="0.3">
      <c r="A89" s="1521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26"/>
      <c r="AW89" s="1526"/>
    </row>
    <row r="90" spans="1:49" x14ac:dyDescent="0.3">
      <c r="A90" s="1521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29"/>
      <c r="AW90" s="1529"/>
    </row>
    <row r="91" spans="1:49" x14ac:dyDescent="0.3">
      <c r="A91" s="1521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28"/>
      <c r="AW91" s="1528"/>
    </row>
    <row r="92" spans="1:49" x14ac:dyDescent="0.3">
      <c r="A92" s="1521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28"/>
      <c r="AW92" s="1528"/>
    </row>
    <row r="93" spans="1:49" x14ac:dyDescent="0.3">
      <c r="A93" s="1521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28"/>
      <c r="AW93" s="1528"/>
    </row>
    <row r="94" spans="1:49" x14ac:dyDescent="0.3">
      <c r="A94" s="1521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28"/>
      <c r="AW94" s="1528"/>
    </row>
    <row r="95" spans="1:49" x14ac:dyDescent="0.3">
      <c r="A95" s="1521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28"/>
      <c r="AW95" s="1528"/>
    </row>
    <row r="96" spans="1:49" x14ac:dyDescent="0.3">
      <c r="A96" s="1521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28"/>
      <c r="AW96" s="1528"/>
    </row>
    <row r="97" spans="1:49" x14ac:dyDescent="0.3">
      <c r="A97" s="1521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26"/>
      <c r="AW97" s="1526"/>
    </row>
    <row r="98" spans="1:49" x14ac:dyDescent="0.3">
      <c r="A98" s="1521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29"/>
      <c r="AW98" s="1529"/>
    </row>
    <row r="99" spans="1:49" x14ac:dyDescent="0.3">
      <c r="A99" s="1521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28"/>
      <c r="AW99" s="1528"/>
    </row>
    <row r="100" spans="1:49" x14ac:dyDescent="0.3">
      <c r="A100" s="1521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28"/>
      <c r="AW100" s="1528"/>
    </row>
    <row r="101" spans="1:49" x14ac:dyDescent="0.3">
      <c r="A101" s="1521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28"/>
      <c r="AW101" s="1528"/>
    </row>
    <row r="102" spans="1:49" x14ac:dyDescent="0.3">
      <c r="A102" s="1521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28"/>
      <c r="AW102" s="1528"/>
    </row>
    <row r="103" spans="1:49" x14ac:dyDescent="0.3">
      <c r="A103" s="1521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28"/>
      <c r="AW103" s="1528"/>
    </row>
    <row r="104" spans="1:49" x14ac:dyDescent="0.3">
      <c r="A104" s="1521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28"/>
      <c r="AW104" s="1528"/>
    </row>
    <row r="105" spans="1:49" x14ac:dyDescent="0.3">
      <c r="A105" s="1521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26"/>
      <c r="AW105" s="1526"/>
    </row>
    <row r="106" spans="1:49" x14ac:dyDescent="0.3">
      <c r="A106" s="1521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29"/>
      <c r="AW106" s="1529"/>
    </row>
    <row r="107" spans="1:49" x14ac:dyDescent="0.3">
      <c r="A107" s="1521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28"/>
      <c r="AW107" s="1528"/>
    </row>
    <row r="108" spans="1:49" x14ac:dyDescent="0.3">
      <c r="A108" s="1521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28"/>
      <c r="AW108" s="1528"/>
    </row>
    <row r="109" spans="1:49" x14ac:dyDescent="0.3">
      <c r="A109" s="1521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28"/>
      <c r="AW109" s="1528"/>
    </row>
    <row r="110" spans="1:49" x14ac:dyDescent="0.3">
      <c r="A110" s="1521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28"/>
      <c r="AW110" s="1528"/>
    </row>
    <row r="111" spans="1:49" x14ac:dyDescent="0.3">
      <c r="A111" s="1521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28"/>
      <c r="AW111" s="1528"/>
    </row>
    <row r="112" spans="1:49" x14ac:dyDescent="0.3">
      <c r="A112" s="1521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28"/>
      <c r="AW112" s="1528"/>
    </row>
    <row r="113" spans="1:49" x14ac:dyDescent="0.3">
      <c r="A113" s="1521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26"/>
      <c r="AW113" s="1526"/>
    </row>
    <row r="114" spans="1:49" x14ac:dyDescent="0.3">
      <c r="A114" s="1521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29"/>
      <c r="AW114" s="1529"/>
    </row>
    <row r="115" spans="1:49" x14ac:dyDescent="0.3">
      <c r="A115" s="1521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28"/>
      <c r="AW115" s="1528"/>
    </row>
    <row r="116" spans="1:49" x14ac:dyDescent="0.3">
      <c r="A116" s="1521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28"/>
      <c r="AW116" s="1528"/>
    </row>
    <row r="117" spans="1:49" x14ac:dyDescent="0.3">
      <c r="A117" s="1521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28"/>
      <c r="AW117" s="1528"/>
    </row>
    <row r="118" spans="1:49" x14ac:dyDescent="0.3">
      <c r="A118" s="1521">
        <v>46175</v>
      </c>
      <c r="B118" s="52"/>
      <c r="C118" s="50"/>
      <c r="D118" s="1506"/>
      <c r="E118" s="1512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28"/>
      <c r="AW118" s="1528"/>
    </row>
    <row r="119" spans="1:49" x14ac:dyDescent="0.3">
      <c r="A119" s="1521"/>
      <c r="B119" s="53"/>
      <c r="C119" s="50"/>
      <c r="D119" s="1507"/>
      <c r="E119" s="1513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28"/>
      <c r="AW119" s="1528"/>
    </row>
    <row r="120" spans="1:49" x14ac:dyDescent="0.3">
      <c r="A120" s="1521"/>
      <c r="B120" s="53"/>
      <c r="C120" s="50"/>
      <c r="D120" s="1507"/>
      <c r="E120" s="1513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28"/>
      <c r="AW120" s="1528"/>
    </row>
    <row r="121" spans="1:49" x14ac:dyDescent="0.3">
      <c r="A121" s="1521"/>
      <c r="B121" s="54"/>
      <c r="C121" s="50"/>
      <c r="D121" s="1508"/>
      <c r="E121" s="1514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26"/>
      <c r="AW121" s="1526"/>
    </row>
    <row r="122" spans="1:49" x14ac:dyDescent="0.3">
      <c r="A122" s="1521">
        <v>46176</v>
      </c>
      <c r="B122" s="52"/>
      <c r="C122" s="50"/>
      <c r="D122" s="1506"/>
      <c r="E122" s="1512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29"/>
      <c r="AW122" s="1529"/>
    </row>
    <row r="123" spans="1:49" x14ac:dyDescent="0.3">
      <c r="A123" s="1521"/>
      <c r="B123" s="53"/>
      <c r="C123" s="50"/>
      <c r="D123" s="1507"/>
      <c r="E123" s="1513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28"/>
      <c r="AW123" s="1528"/>
    </row>
    <row r="124" spans="1:49" x14ac:dyDescent="0.3">
      <c r="A124" s="1521"/>
      <c r="B124" s="53"/>
      <c r="C124" s="50"/>
      <c r="D124" s="1507"/>
      <c r="E124" s="1513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28"/>
      <c r="AW124" s="1528"/>
    </row>
    <row r="125" spans="1:49" x14ac:dyDescent="0.3">
      <c r="A125" s="1521"/>
      <c r="B125" s="54"/>
      <c r="C125" s="50"/>
      <c r="D125" s="1508"/>
      <c r="E125" s="1514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28"/>
      <c r="AW125" s="1528"/>
    </row>
    <row r="126" spans="1:49" x14ac:dyDescent="0.3">
      <c r="A126" s="1521">
        <v>46177</v>
      </c>
      <c r="B126" s="52"/>
      <c r="C126" s="50"/>
      <c r="D126" s="1506"/>
      <c r="E126" s="1512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28"/>
      <c r="AW126" s="1528"/>
    </row>
    <row r="127" spans="1:49" x14ac:dyDescent="0.3">
      <c r="A127" s="1521"/>
      <c r="B127" s="53"/>
      <c r="C127" s="50"/>
      <c r="D127" s="1507"/>
      <c r="E127" s="1513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28"/>
      <c r="AW127" s="1528"/>
    </row>
    <row r="128" spans="1:49" x14ac:dyDescent="0.3">
      <c r="A128" s="1521"/>
      <c r="B128" s="53"/>
      <c r="C128" s="50"/>
      <c r="D128" s="1507"/>
      <c r="E128" s="1513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28"/>
      <c r="AW128" s="1528"/>
    </row>
    <row r="129" spans="1:49" x14ac:dyDescent="0.3">
      <c r="A129" s="1521"/>
      <c r="B129" s="54"/>
      <c r="C129" s="50"/>
      <c r="D129" s="1508"/>
      <c r="E129" s="1514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26"/>
      <c r="AW129" s="1526"/>
    </row>
    <row r="130" spans="1:49" x14ac:dyDescent="0.3">
      <c r="A130" s="19"/>
      <c r="B130" s="19"/>
      <c r="C130" s="19"/>
      <c r="D130" s="1521"/>
      <c r="E130" s="1527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29"/>
      <c r="AW130" s="1529"/>
    </row>
    <row r="131" spans="1:49" x14ac:dyDescent="0.3">
      <c r="A131" s="19"/>
      <c r="B131" s="19"/>
      <c r="C131" s="19"/>
      <c r="D131" s="1526"/>
      <c r="E131" s="1528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28"/>
      <c r="AW131" s="1528"/>
    </row>
    <row r="132" spans="1:49" x14ac:dyDescent="0.3">
      <c r="A132" s="19"/>
      <c r="B132" s="19"/>
      <c r="C132" s="19"/>
      <c r="D132" s="1526"/>
      <c r="E132" s="1528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28"/>
      <c r="AW132" s="1528"/>
    </row>
    <row r="133" spans="1:49" x14ac:dyDescent="0.3">
      <c r="A133" s="19"/>
      <c r="B133" s="19"/>
      <c r="C133" s="19"/>
      <c r="D133" s="1526"/>
      <c r="E133" s="1528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28"/>
      <c r="AW133" s="1528"/>
    </row>
    <row r="134" spans="1:49" x14ac:dyDescent="0.3">
      <c r="A134" s="19"/>
      <c r="B134" s="19"/>
      <c r="C134" s="19"/>
      <c r="D134" s="1526"/>
      <c r="E134" s="1528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28"/>
      <c r="AW134" s="1528"/>
    </row>
    <row r="135" spans="1:49" x14ac:dyDescent="0.3">
      <c r="A135" s="19"/>
      <c r="B135" s="19"/>
      <c r="C135" s="19"/>
      <c r="D135" s="1526"/>
      <c r="E135" s="1528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28"/>
      <c r="AW135" s="1528"/>
    </row>
    <row r="136" spans="1:49" x14ac:dyDescent="0.3">
      <c r="A136" s="19"/>
      <c r="B136" s="19"/>
      <c r="C136" s="19"/>
      <c r="D136" s="1526"/>
      <c r="E136" s="1528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28"/>
      <c r="AW136" s="1528"/>
    </row>
    <row r="137" spans="1:49" x14ac:dyDescent="0.3">
      <c r="A137" s="19"/>
      <c r="B137" s="19"/>
      <c r="C137" s="19"/>
      <c r="D137" s="1526"/>
      <c r="E137" s="1526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26"/>
      <c r="AW137" s="1526"/>
    </row>
    <row r="138" spans="1:49" x14ac:dyDescent="0.3">
      <c r="A138" s="19"/>
      <c r="B138" s="19"/>
      <c r="C138" s="19"/>
      <c r="D138" s="1521"/>
      <c r="E138" s="1527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29"/>
      <c r="AW138" s="1529"/>
    </row>
    <row r="139" spans="1:49" x14ac:dyDescent="0.3">
      <c r="A139" s="19"/>
      <c r="B139" s="19"/>
      <c r="C139" s="19"/>
      <c r="D139" s="1526"/>
      <c r="E139" s="1528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28"/>
      <c r="AW139" s="1528"/>
    </row>
    <row r="140" spans="1:49" x14ac:dyDescent="0.3">
      <c r="A140" s="19"/>
      <c r="B140" s="19"/>
      <c r="C140" s="19"/>
      <c r="D140" s="1526"/>
      <c r="E140" s="1528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28"/>
      <c r="AW140" s="1528"/>
    </row>
    <row r="141" spans="1:49" x14ac:dyDescent="0.3">
      <c r="A141" s="19"/>
      <c r="B141" s="19"/>
      <c r="C141" s="19"/>
      <c r="D141" s="1526"/>
      <c r="E141" s="1528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28"/>
      <c r="AW141" s="1528"/>
    </row>
    <row r="142" spans="1:49" x14ac:dyDescent="0.3">
      <c r="A142" s="19"/>
      <c r="B142" s="19"/>
      <c r="C142" s="19"/>
      <c r="D142" s="1526"/>
      <c r="E142" s="1528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28"/>
      <c r="AW142" s="1528"/>
    </row>
    <row r="143" spans="1:49" x14ac:dyDescent="0.3">
      <c r="A143" s="19"/>
      <c r="B143" s="19"/>
      <c r="C143" s="19"/>
      <c r="D143" s="1526"/>
      <c r="E143" s="1528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28"/>
      <c r="AW143" s="1528"/>
    </row>
    <row r="144" spans="1:49" x14ac:dyDescent="0.3">
      <c r="A144" s="19"/>
      <c r="B144" s="19"/>
      <c r="C144" s="19"/>
      <c r="D144" s="1526"/>
      <c r="E144" s="1528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28"/>
      <c r="AW144" s="1528"/>
    </row>
    <row r="145" spans="1:49" x14ac:dyDescent="0.3">
      <c r="A145" s="19"/>
      <c r="B145" s="19"/>
      <c r="C145" s="19"/>
      <c r="D145" s="1526"/>
      <c r="E145" s="1526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26"/>
      <c r="AW145" s="1526"/>
    </row>
    <row r="146" spans="1:49" x14ac:dyDescent="0.3">
      <c r="A146" s="19"/>
      <c r="B146" s="19"/>
      <c r="C146" s="19"/>
      <c r="D146" s="1521"/>
      <c r="E146" s="1527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29"/>
      <c r="AW146" s="1529"/>
    </row>
    <row r="147" spans="1:49" x14ac:dyDescent="0.3">
      <c r="A147" s="19"/>
      <c r="B147" s="19"/>
      <c r="C147" s="19"/>
      <c r="D147" s="1526"/>
      <c r="E147" s="1528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28"/>
      <c r="AW147" s="1528"/>
    </row>
    <row r="148" spans="1:49" x14ac:dyDescent="0.3">
      <c r="A148" s="19"/>
      <c r="B148" s="19"/>
      <c r="C148" s="19"/>
      <c r="D148" s="1526"/>
      <c r="E148" s="1528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28"/>
      <c r="AW148" s="1528"/>
    </row>
    <row r="149" spans="1:49" x14ac:dyDescent="0.3">
      <c r="A149" s="19"/>
      <c r="B149" s="19"/>
      <c r="C149" s="19"/>
      <c r="D149" s="1526"/>
      <c r="E149" s="1528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28"/>
      <c r="AW149" s="1528"/>
    </row>
    <row r="150" spans="1:49" x14ac:dyDescent="0.3">
      <c r="A150" s="19"/>
      <c r="B150" s="19"/>
      <c r="C150" s="19"/>
      <c r="D150" s="1526"/>
      <c r="E150" s="1528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28"/>
      <c r="AW150" s="1528"/>
    </row>
    <row r="151" spans="1:49" x14ac:dyDescent="0.3">
      <c r="A151" s="19"/>
      <c r="B151" s="19"/>
      <c r="C151" s="19"/>
      <c r="D151" s="1526"/>
      <c r="E151" s="1528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28"/>
      <c r="AW151" s="1528"/>
    </row>
    <row r="152" spans="1:49" x14ac:dyDescent="0.3">
      <c r="A152" s="19"/>
      <c r="B152" s="19"/>
      <c r="C152" s="19"/>
      <c r="D152" s="1526"/>
      <c r="E152" s="1528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28"/>
      <c r="AW152" s="1528"/>
    </row>
    <row r="153" spans="1:49" x14ac:dyDescent="0.3">
      <c r="A153" s="19"/>
      <c r="B153" s="19"/>
      <c r="C153" s="19"/>
      <c r="D153" s="1526"/>
      <c r="E153" s="1526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26"/>
      <c r="AW153" s="1526"/>
    </row>
    <row r="154" spans="1:49" x14ac:dyDescent="0.3">
      <c r="A154" s="19"/>
      <c r="B154" s="19"/>
      <c r="C154" s="19"/>
      <c r="D154" s="1521"/>
      <c r="E154" s="1527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29"/>
      <c r="AW154" s="1529"/>
    </row>
    <row r="155" spans="1:49" x14ac:dyDescent="0.3">
      <c r="A155" s="19"/>
      <c r="B155" s="19"/>
      <c r="C155" s="19"/>
      <c r="D155" s="1526"/>
      <c r="E155" s="1528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28"/>
      <c r="AW155" s="1528"/>
    </row>
    <row r="156" spans="1:49" x14ac:dyDescent="0.3">
      <c r="A156" s="19"/>
      <c r="B156" s="19"/>
      <c r="C156" s="19"/>
      <c r="D156" s="1526"/>
      <c r="E156" s="1528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28"/>
      <c r="AW156" s="1528"/>
    </row>
    <row r="157" spans="1:49" x14ac:dyDescent="0.3">
      <c r="A157" s="19"/>
      <c r="B157" s="19"/>
      <c r="C157" s="19"/>
      <c r="D157" s="1526"/>
      <c r="E157" s="1528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28"/>
      <c r="AW157" s="1528"/>
    </row>
    <row r="158" spans="1:49" x14ac:dyDescent="0.3">
      <c r="A158" s="19"/>
      <c r="B158" s="19"/>
      <c r="C158" s="19"/>
      <c r="D158" s="1526"/>
      <c r="E158" s="1528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28"/>
      <c r="AW158" s="1528"/>
    </row>
    <row r="159" spans="1:49" x14ac:dyDescent="0.3">
      <c r="A159" s="19"/>
      <c r="B159" s="19"/>
      <c r="C159" s="19"/>
      <c r="D159" s="1526"/>
      <c r="E159" s="1528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28"/>
      <c r="AW159" s="1528"/>
    </row>
    <row r="160" spans="1:49" x14ac:dyDescent="0.3">
      <c r="A160" s="19"/>
      <c r="B160" s="19"/>
      <c r="C160" s="19"/>
      <c r="D160" s="1526"/>
      <c r="E160" s="1528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28"/>
      <c r="AW160" s="1528"/>
    </row>
    <row r="161" spans="1:49" x14ac:dyDescent="0.3">
      <c r="A161" s="19"/>
      <c r="B161" s="19"/>
      <c r="C161" s="19"/>
      <c r="D161" s="1526"/>
      <c r="E161" s="1526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26"/>
      <c r="AW161" s="1526"/>
    </row>
    <row r="162" spans="1:49" x14ac:dyDescent="0.3">
      <c r="A162" s="19"/>
      <c r="B162" s="19"/>
      <c r="C162" s="19"/>
      <c r="D162" s="1521"/>
      <c r="E162" s="1527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29"/>
      <c r="AW162" s="1529"/>
    </row>
    <row r="163" spans="1:49" x14ac:dyDescent="0.3">
      <c r="A163" s="19"/>
      <c r="B163" s="19"/>
      <c r="C163" s="19"/>
      <c r="D163" s="1526"/>
      <c r="E163" s="1528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28"/>
      <c r="AW163" s="1528"/>
    </row>
    <row r="164" spans="1:49" x14ac:dyDescent="0.3">
      <c r="A164" s="19"/>
      <c r="B164" s="19"/>
      <c r="C164" s="19"/>
      <c r="D164" s="1526"/>
      <c r="E164" s="1528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28"/>
      <c r="AW164" s="1528"/>
    </row>
    <row r="165" spans="1:49" x14ac:dyDescent="0.3">
      <c r="A165" s="19"/>
      <c r="B165" s="19"/>
      <c r="C165" s="19"/>
      <c r="D165" s="1526"/>
      <c r="E165" s="1528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28"/>
      <c r="AW165" s="1528"/>
    </row>
    <row r="166" spans="1:49" x14ac:dyDescent="0.3">
      <c r="A166" s="19"/>
      <c r="B166" s="19"/>
      <c r="C166" s="19"/>
      <c r="D166" s="1526"/>
      <c r="E166" s="1528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28"/>
      <c r="AW166" s="1528"/>
    </row>
    <row r="167" spans="1:49" x14ac:dyDescent="0.3">
      <c r="A167" s="19"/>
      <c r="B167" s="19"/>
      <c r="C167" s="19"/>
      <c r="D167" s="1526"/>
      <c r="E167" s="1528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28"/>
      <c r="AW167" s="1528"/>
    </row>
    <row r="168" spans="1:49" x14ac:dyDescent="0.3">
      <c r="A168" s="19"/>
      <c r="B168" s="19"/>
      <c r="C168" s="19"/>
      <c r="D168" s="1526"/>
      <c r="E168" s="1528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28"/>
      <c r="AW168" s="1528"/>
    </row>
    <row r="169" spans="1:49" x14ac:dyDescent="0.3">
      <c r="A169" s="19"/>
      <c r="B169" s="19"/>
      <c r="C169" s="19"/>
      <c r="D169" s="1526"/>
      <c r="E169" s="1526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26"/>
      <c r="AW169" s="1526"/>
    </row>
    <row r="170" spans="1:49" x14ac:dyDescent="0.3">
      <c r="A170" s="19"/>
      <c r="B170" s="19"/>
      <c r="C170" s="19"/>
      <c r="D170" s="1521"/>
      <c r="E170" s="1527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29"/>
      <c r="AW170" s="1529"/>
    </row>
    <row r="171" spans="1:49" x14ac:dyDescent="0.3">
      <c r="A171" s="19"/>
      <c r="B171" s="19"/>
      <c r="C171" s="19"/>
      <c r="D171" s="1526"/>
      <c r="E171" s="1528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28"/>
      <c r="AW171" s="1528"/>
    </row>
    <row r="172" spans="1:49" x14ac:dyDescent="0.3">
      <c r="A172" s="19"/>
      <c r="B172" s="19"/>
      <c r="C172" s="19"/>
      <c r="D172" s="1526"/>
      <c r="E172" s="1528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28"/>
      <c r="AW172" s="1528"/>
    </row>
    <row r="173" spans="1:49" x14ac:dyDescent="0.3">
      <c r="A173" s="19"/>
      <c r="B173" s="19"/>
      <c r="C173" s="19"/>
      <c r="D173" s="1526"/>
      <c r="E173" s="1528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28"/>
      <c r="AW173" s="1528"/>
    </row>
    <row r="174" spans="1:49" x14ac:dyDescent="0.3">
      <c r="A174" s="19"/>
      <c r="B174" s="19"/>
      <c r="C174" s="19"/>
      <c r="D174" s="1526"/>
      <c r="E174" s="1528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28"/>
      <c r="AW174" s="1528"/>
    </row>
    <row r="175" spans="1:49" x14ac:dyDescent="0.3">
      <c r="A175" s="19"/>
      <c r="B175" s="19"/>
      <c r="C175" s="19"/>
      <c r="D175" s="1526"/>
      <c r="E175" s="1528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28"/>
      <c r="AW175" s="1528"/>
    </row>
    <row r="176" spans="1:49" x14ac:dyDescent="0.3">
      <c r="A176" s="19"/>
      <c r="B176" s="19"/>
      <c r="C176" s="19"/>
      <c r="D176" s="1526"/>
      <c r="E176" s="1528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28"/>
      <c r="AW176" s="1528"/>
    </row>
    <row r="177" spans="1:49" x14ac:dyDescent="0.3">
      <c r="A177" s="19"/>
      <c r="B177" s="19"/>
      <c r="C177" s="19"/>
      <c r="D177" s="1526"/>
      <c r="E177" s="1526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26"/>
      <c r="AW177" s="1526"/>
    </row>
    <row r="178" spans="1:49" x14ac:dyDescent="0.3">
      <c r="A178" s="19"/>
      <c r="B178" s="19"/>
      <c r="C178" s="19"/>
      <c r="D178" s="1521"/>
      <c r="E178" s="1527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29"/>
      <c r="AW178" s="1529"/>
    </row>
    <row r="179" spans="1:49" x14ac:dyDescent="0.3">
      <c r="A179" s="19"/>
      <c r="B179" s="19"/>
      <c r="C179" s="19"/>
      <c r="D179" s="1526"/>
      <c r="E179" s="1528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28"/>
      <c r="AW179" s="1528"/>
    </row>
    <row r="180" spans="1:49" x14ac:dyDescent="0.3">
      <c r="A180" s="19"/>
      <c r="B180" s="19"/>
      <c r="C180" s="19"/>
      <c r="D180" s="1526"/>
      <c r="E180" s="1528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28"/>
      <c r="AW180" s="1528"/>
    </row>
    <row r="181" spans="1:49" x14ac:dyDescent="0.3">
      <c r="A181" s="19"/>
      <c r="B181" s="19"/>
      <c r="C181" s="19"/>
      <c r="D181" s="1526"/>
      <c r="E181" s="1528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28"/>
      <c r="AW181" s="1528"/>
    </row>
    <row r="182" spans="1:49" x14ac:dyDescent="0.3">
      <c r="A182" s="19"/>
      <c r="B182" s="19"/>
      <c r="C182" s="19"/>
      <c r="D182" s="1526"/>
      <c r="E182" s="1528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28"/>
      <c r="AW182" s="1528"/>
    </row>
    <row r="183" spans="1:49" x14ac:dyDescent="0.3">
      <c r="A183" s="19"/>
      <c r="B183" s="19"/>
      <c r="C183" s="19"/>
      <c r="D183" s="1526"/>
      <c r="E183" s="1528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28"/>
      <c r="AW183" s="1528"/>
    </row>
    <row r="184" spans="1:49" x14ac:dyDescent="0.3">
      <c r="A184" s="19"/>
      <c r="B184" s="19"/>
      <c r="C184" s="19"/>
      <c r="D184" s="1526"/>
      <c r="E184" s="1528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28"/>
      <c r="AW184" s="1528"/>
    </row>
    <row r="185" spans="1:49" x14ac:dyDescent="0.3">
      <c r="A185" s="19"/>
      <c r="B185" s="19"/>
      <c r="C185" s="19"/>
      <c r="D185" s="1526"/>
      <c r="E185" s="1526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26"/>
      <c r="AW185" s="1526"/>
    </row>
    <row r="186" spans="1:49" x14ac:dyDescent="0.3">
      <c r="A186" s="19"/>
      <c r="B186" s="19"/>
      <c r="C186" s="19"/>
      <c r="D186" s="1521"/>
      <c r="E186" s="1527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29"/>
      <c r="AW186" s="1529"/>
    </row>
    <row r="187" spans="1:49" x14ac:dyDescent="0.3">
      <c r="A187" s="19"/>
      <c r="B187" s="19"/>
      <c r="C187" s="19"/>
      <c r="D187" s="1526"/>
      <c r="E187" s="1528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28"/>
      <c r="AW187" s="1528"/>
    </row>
    <row r="188" spans="1:49" x14ac:dyDescent="0.3">
      <c r="A188" s="19"/>
      <c r="B188" s="19"/>
      <c r="C188" s="19"/>
      <c r="D188" s="1526"/>
      <c r="E188" s="1528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28"/>
      <c r="AW188" s="1528"/>
    </row>
    <row r="189" spans="1:49" x14ac:dyDescent="0.3">
      <c r="A189" s="19"/>
      <c r="B189" s="19"/>
      <c r="C189" s="19"/>
      <c r="D189" s="1526"/>
      <c r="E189" s="1528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28"/>
      <c r="AW189" s="1528"/>
    </row>
    <row r="190" spans="1:49" x14ac:dyDescent="0.3">
      <c r="A190" s="19"/>
      <c r="B190" s="19"/>
      <c r="C190" s="19"/>
      <c r="D190" s="1526"/>
      <c r="E190" s="1528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28"/>
      <c r="AW190" s="1528"/>
    </row>
    <row r="191" spans="1:49" x14ac:dyDescent="0.3">
      <c r="A191" s="19"/>
      <c r="B191" s="19"/>
      <c r="C191" s="19"/>
      <c r="D191" s="1526"/>
      <c r="E191" s="1528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28"/>
      <c r="AW191" s="1528"/>
    </row>
    <row r="192" spans="1:49" x14ac:dyDescent="0.3">
      <c r="A192" s="19"/>
      <c r="B192" s="19"/>
      <c r="C192" s="19"/>
      <c r="D192" s="1526"/>
      <c r="E192" s="1528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28"/>
      <c r="AW192" s="1528"/>
    </row>
    <row r="193" spans="1:49" x14ac:dyDescent="0.3">
      <c r="A193" s="19"/>
      <c r="B193" s="19"/>
      <c r="C193" s="19"/>
      <c r="D193" s="1526"/>
      <c r="E193" s="1526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26"/>
      <c r="AW193" s="1526"/>
    </row>
    <row r="194" spans="1:49" x14ac:dyDescent="0.3">
      <c r="A194" s="19"/>
      <c r="B194" s="19"/>
      <c r="C194" s="19"/>
      <c r="D194" s="1521"/>
      <c r="E194" s="1527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29"/>
      <c r="AW194" s="1529"/>
    </row>
    <row r="195" spans="1:49" x14ac:dyDescent="0.3">
      <c r="A195" s="19"/>
      <c r="B195" s="19"/>
      <c r="C195" s="19"/>
      <c r="D195" s="1526"/>
      <c r="E195" s="1528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28"/>
      <c r="AW195" s="1528"/>
    </row>
    <row r="196" spans="1:49" x14ac:dyDescent="0.3">
      <c r="A196" s="19"/>
      <c r="B196" s="19"/>
      <c r="C196" s="19"/>
      <c r="D196" s="1526"/>
      <c r="E196" s="1528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28"/>
      <c r="AW196" s="1528"/>
    </row>
    <row r="197" spans="1:49" x14ac:dyDescent="0.3">
      <c r="A197" s="19"/>
      <c r="B197" s="19"/>
      <c r="C197" s="19"/>
      <c r="D197" s="1526"/>
      <c r="E197" s="1528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28"/>
      <c r="AW197" s="1528"/>
    </row>
    <row r="198" spans="1:49" x14ac:dyDescent="0.3">
      <c r="A198" s="19"/>
      <c r="B198" s="19"/>
      <c r="C198" s="19"/>
      <c r="D198" s="1526"/>
      <c r="E198" s="1528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28"/>
      <c r="AW198" s="1528"/>
    </row>
    <row r="199" spans="1:49" x14ac:dyDescent="0.3">
      <c r="A199" s="19"/>
      <c r="B199" s="19"/>
      <c r="C199" s="19"/>
      <c r="D199" s="1526"/>
      <c r="E199" s="1528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28"/>
      <c r="AW199" s="1528"/>
    </row>
    <row r="200" spans="1:49" x14ac:dyDescent="0.3">
      <c r="A200" s="19"/>
      <c r="B200" s="19"/>
      <c r="C200" s="19"/>
      <c r="D200" s="1526"/>
      <c r="E200" s="1528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28"/>
      <c r="AW200" s="1528"/>
    </row>
    <row r="201" spans="1:49" x14ac:dyDescent="0.3">
      <c r="A201" s="19"/>
      <c r="B201" s="19"/>
      <c r="C201" s="19"/>
      <c r="D201" s="1526"/>
      <c r="E201" s="1526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26"/>
      <c r="AW201" s="1526"/>
    </row>
    <row r="202" spans="1:49" x14ac:dyDescent="0.3">
      <c r="A202" s="19"/>
      <c r="B202" s="19"/>
      <c r="C202" s="19"/>
      <c r="D202" s="1521"/>
      <c r="E202" s="1527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29"/>
      <c r="AW202" s="1529"/>
    </row>
    <row r="203" spans="1:49" x14ac:dyDescent="0.3">
      <c r="A203" s="19"/>
      <c r="B203" s="19"/>
      <c r="C203" s="19"/>
      <c r="D203" s="1526"/>
      <c r="E203" s="1528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28"/>
      <c r="AW203" s="1528"/>
    </row>
    <row r="204" spans="1:49" x14ac:dyDescent="0.3">
      <c r="A204" s="19"/>
      <c r="B204" s="19"/>
      <c r="C204" s="19"/>
      <c r="D204" s="1526"/>
      <c r="E204" s="1528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28"/>
      <c r="AW204" s="1528"/>
    </row>
    <row r="205" spans="1:49" x14ac:dyDescent="0.3">
      <c r="A205" s="19"/>
      <c r="B205" s="19"/>
      <c r="C205" s="19"/>
      <c r="D205" s="1526"/>
      <c r="E205" s="1528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28"/>
      <c r="AW205" s="1528"/>
    </row>
    <row r="206" spans="1:49" x14ac:dyDescent="0.3">
      <c r="A206" s="19"/>
      <c r="B206" s="19"/>
      <c r="C206" s="19"/>
      <c r="D206" s="1526"/>
      <c r="E206" s="1528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28"/>
      <c r="AW206" s="1528"/>
    </row>
    <row r="207" spans="1:49" x14ac:dyDescent="0.3">
      <c r="A207" s="19"/>
      <c r="B207" s="19"/>
      <c r="C207" s="19"/>
      <c r="D207" s="1526"/>
      <c r="E207" s="1528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28"/>
      <c r="AW207" s="1528"/>
    </row>
    <row r="208" spans="1:49" x14ac:dyDescent="0.3">
      <c r="A208" s="19"/>
      <c r="B208" s="19"/>
      <c r="C208" s="19"/>
      <c r="D208" s="1526"/>
      <c r="E208" s="1528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28"/>
      <c r="AW208" s="1528"/>
    </row>
    <row r="209" spans="1:49" x14ac:dyDescent="0.3">
      <c r="A209" s="19"/>
      <c r="B209" s="19"/>
      <c r="C209" s="19"/>
      <c r="D209" s="1526"/>
      <c r="E209" s="1526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26"/>
      <c r="AW209" s="1526"/>
    </row>
    <row r="210" spans="1:49" x14ac:dyDescent="0.3">
      <c r="A210" s="19"/>
      <c r="B210" s="19"/>
      <c r="C210" s="19"/>
      <c r="D210" s="1521"/>
      <c r="E210" s="1527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29"/>
      <c r="AW210" s="1529"/>
    </row>
    <row r="211" spans="1:49" x14ac:dyDescent="0.3">
      <c r="A211" s="19"/>
      <c r="B211" s="19"/>
      <c r="C211" s="19"/>
      <c r="D211" s="1526"/>
      <c r="E211" s="1528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28"/>
      <c r="AW211" s="1528"/>
    </row>
    <row r="212" spans="1:49" x14ac:dyDescent="0.3">
      <c r="A212" s="19"/>
      <c r="B212" s="19"/>
      <c r="C212" s="19"/>
      <c r="D212" s="1526"/>
      <c r="E212" s="1528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28"/>
      <c r="AW212" s="1528"/>
    </row>
    <row r="213" spans="1:49" x14ac:dyDescent="0.3">
      <c r="A213" s="19"/>
      <c r="B213" s="19"/>
      <c r="C213" s="19"/>
      <c r="D213" s="1526"/>
      <c r="E213" s="1528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28"/>
      <c r="AW213" s="1528"/>
    </row>
    <row r="214" spans="1:49" x14ac:dyDescent="0.3">
      <c r="A214" s="19"/>
      <c r="B214" s="19"/>
      <c r="C214" s="19"/>
      <c r="D214" s="1526"/>
      <c r="E214" s="1528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28"/>
      <c r="AW214" s="1528"/>
    </row>
    <row r="215" spans="1:49" x14ac:dyDescent="0.3">
      <c r="A215" s="19"/>
      <c r="B215" s="19"/>
      <c r="C215" s="19"/>
      <c r="D215" s="1526"/>
      <c r="E215" s="1528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28"/>
      <c r="AW215" s="1528"/>
    </row>
    <row r="216" spans="1:49" x14ac:dyDescent="0.3">
      <c r="A216" s="19"/>
      <c r="B216" s="19"/>
      <c r="C216" s="19"/>
      <c r="D216" s="1526"/>
      <c r="E216" s="1528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28"/>
      <c r="AW216" s="1528"/>
    </row>
    <row r="217" spans="1:49" x14ac:dyDescent="0.3">
      <c r="A217" s="19"/>
      <c r="B217" s="19"/>
      <c r="C217" s="19"/>
      <c r="D217" s="1526"/>
      <c r="E217" s="1526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26"/>
      <c r="AW217" s="1526"/>
    </row>
    <row r="218" spans="1:49" x14ac:dyDescent="0.3">
      <c r="A218" s="19"/>
      <c r="B218" s="19"/>
      <c r="C218" s="19"/>
      <c r="D218" s="1521"/>
      <c r="E218" s="1527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29"/>
      <c r="AW218" s="1529"/>
    </row>
    <row r="219" spans="1:49" x14ac:dyDescent="0.3">
      <c r="A219" s="19"/>
      <c r="B219" s="19"/>
      <c r="C219" s="19"/>
      <c r="D219" s="1526"/>
      <c r="E219" s="1528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28"/>
      <c r="AW219" s="1528"/>
    </row>
    <row r="220" spans="1:49" x14ac:dyDescent="0.3">
      <c r="A220" s="19"/>
      <c r="B220" s="19"/>
      <c r="C220" s="19"/>
      <c r="D220" s="1526"/>
      <c r="E220" s="1528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28"/>
      <c r="AW220" s="1528"/>
    </row>
    <row r="221" spans="1:49" x14ac:dyDescent="0.3">
      <c r="A221" s="19"/>
      <c r="B221" s="19"/>
      <c r="C221" s="19"/>
      <c r="D221" s="1526"/>
      <c r="E221" s="1528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28"/>
      <c r="AW221" s="1528"/>
    </row>
    <row r="222" spans="1:49" x14ac:dyDescent="0.3">
      <c r="A222" s="19"/>
      <c r="B222" s="19"/>
      <c r="C222" s="19"/>
      <c r="D222" s="1526"/>
      <c r="E222" s="1528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28"/>
      <c r="AW222" s="1528"/>
    </row>
    <row r="223" spans="1:49" x14ac:dyDescent="0.3">
      <c r="A223" s="19"/>
      <c r="B223" s="19"/>
      <c r="C223" s="19"/>
      <c r="D223" s="1526"/>
      <c r="E223" s="1528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28"/>
      <c r="AW223" s="1528"/>
    </row>
    <row r="224" spans="1:49" x14ac:dyDescent="0.3">
      <c r="A224" s="19"/>
      <c r="B224" s="19"/>
      <c r="C224" s="19"/>
      <c r="D224" s="1526"/>
      <c r="E224" s="1528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28"/>
      <c r="AW224" s="1528"/>
    </row>
    <row r="225" spans="1:49" x14ac:dyDescent="0.3">
      <c r="A225" s="19"/>
      <c r="B225" s="19"/>
      <c r="C225" s="19"/>
      <c r="D225" s="1526"/>
      <c r="E225" s="1526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26"/>
      <c r="AW225" s="1526"/>
    </row>
    <row r="226" spans="1:49" x14ac:dyDescent="0.3">
      <c r="A226" s="19"/>
      <c r="B226" s="19"/>
      <c r="C226" s="19"/>
      <c r="D226" s="1521"/>
      <c r="E226" s="1527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29"/>
      <c r="AW226" s="1529"/>
    </row>
    <row r="227" spans="1:49" x14ac:dyDescent="0.3">
      <c r="A227" s="19"/>
      <c r="B227" s="19"/>
      <c r="C227" s="19"/>
      <c r="D227" s="1526"/>
      <c r="E227" s="1528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28"/>
      <c r="AW227" s="1528"/>
    </row>
    <row r="228" spans="1:49" x14ac:dyDescent="0.3">
      <c r="A228" s="19"/>
      <c r="B228" s="19"/>
      <c r="C228" s="19"/>
      <c r="D228" s="1526"/>
      <c r="E228" s="1528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28"/>
      <c r="AW228" s="1528"/>
    </row>
    <row r="229" spans="1:49" x14ac:dyDescent="0.3">
      <c r="A229" s="19"/>
      <c r="B229" s="19"/>
      <c r="C229" s="19"/>
      <c r="D229" s="1526"/>
      <c r="E229" s="1528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28"/>
      <c r="AW229" s="1528"/>
    </row>
    <row r="230" spans="1:49" x14ac:dyDescent="0.3">
      <c r="A230" s="19"/>
      <c r="B230" s="19"/>
      <c r="C230" s="19"/>
      <c r="D230" s="1526"/>
      <c r="E230" s="1528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28"/>
      <c r="AW230" s="1528"/>
    </row>
    <row r="231" spans="1:49" x14ac:dyDescent="0.3">
      <c r="A231" s="19"/>
      <c r="B231" s="19"/>
      <c r="C231" s="19"/>
      <c r="D231" s="1526"/>
      <c r="E231" s="1528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28"/>
      <c r="AW231" s="1528"/>
    </row>
    <row r="232" spans="1:49" x14ac:dyDescent="0.3">
      <c r="A232" s="19"/>
      <c r="B232" s="19"/>
      <c r="C232" s="19"/>
      <c r="D232" s="1526"/>
      <c r="E232" s="1528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28"/>
      <c r="AW232" s="1528"/>
    </row>
    <row r="233" spans="1:49" x14ac:dyDescent="0.3">
      <c r="A233" s="19"/>
      <c r="B233" s="19"/>
      <c r="C233" s="19"/>
      <c r="D233" s="1526"/>
      <c r="E233" s="1526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26"/>
      <c r="AW233" s="1526"/>
    </row>
    <row r="234" spans="1:49" x14ac:dyDescent="0.3">
      <c r="A234" s="19"/>
      <c r="B234" s="19"/>
      <c r="C234" s="19"/>
      <c r="D234" s="1521"/>
      <c r="E234" s="1527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29"/>
      <c r="AW234" s="1529"/>
    </row>
    <row r="235" spans="1:49" x14ac:dyDescent="0.3">
      <c r="A235" s="19"/>
      <c r="B235" s="19"/>
      <c r="C235" s="19"/>
      <c r="D235" s="1526"/>
      <c r="E235" s="1528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28"/>
      <c r="AW235" s="1528"/>
    </row>
    <row r="236" spans="1:49" x14ac:dyDescent="0.3">
      <c r="A236" s="19"/>
      <c r="B236" s="19"/>
      <c r="C236" s="19"/>
      <c r="D236" s="1526"/>
      <c r="E236" s="1528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28"/>
      <c r="AW236" s="1528"/>
    </row>
    <row r="237" spans="1:49" x14ac:dyDescent="0.3">
      <c r="A237" s="19"/>
      <c r="B237" s="19"/>
      <c r="C237" s="19"/>
      <c r="D237" s="1526"/>
      <c r="E237" s="1528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28"/>
      <c r="AW237" s="1528"/>
    </row>
    <row r="238" spans="1:49" x14ac:dyDescent="0.3">
      <c r="A238" s="19"/>
      <c r="B238" s="19"/>
      <c r="C238" s="19"/>
      <c r="D238" s="1526"/>
      <c r="E238" s="1528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28"/>
      <c r="AW238" s="1528"/>
    </row>
    <row r="239" spans="1:49" x14ac:dyDescent="0.3">
      <c r="A239" s="19"/>
      <c r="B239" s="19"/>
      <c r="C239" s="19"/>
      <c r="D239" s="1526"/>
      <c r="E239" s="1528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28"/>
      <c r="AW239" s="1528"/>
    </row>
    <row r="240" spans="1:49" x14ac:dyDescent="0.3">
      <c r="A240" s="19"/>
      <c r="B240" s="19"/>
      <c r="C240" s="19"/>
      <c r="D240" s="1526"/>
      <c r="E240" s="1528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28"/>
      <c r="AW240" s="1528"/>
    </row>
    <row r="241" spans="1:49" x14ac:dyDescent="0.3">
      <c r="A241" s="19"/>
      <c r="B241" s="19"/>
      <c r="C241" s="19"/>
      <c r="D241" s="1526"/>
      <c r="E241" s="1526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26"/>
      <c r="AW241" s="1526"/>
    </row>
    <row r="242" spans="1:49" x14ac:dyDescent="0.3">
      <c r="A242" s="19"/>
      <c r="B242" s="19"/>
      <c r="C242" s="19"/>
      <c r="D242" s="1521"/>
      <c r="E242" s="1527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29"/>
      <c r="AW242" s="1529"/>
    </row>
    <row r="243" spans="1:49" x14ac:dyDescent="0.3">
      <c r="A243" s="19"/>
      <c r="B243" s="19"/>
      <c r="C243" s="19"/>
      <c r="D243" s="1526"/>
      <c r="E243" s="1528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28"/>
      <c r="AW243" s="1528"/>
    </row>
    <row r="244" spans="1:49" x14ac:dyDescent="0.3">
      <c r="A244" s="19"/>
      <c r="B244" s="19"/>
      <c r="C244" s="19"/>
      <c r="D244" s="1526"/>
      <c r="E244" s="1528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28"/>
      <c r="AW244" s="1528"/>
    </row>
    <row r="245" spans="1:49" x14ac:dyDescent="0.3">
      <c r="A245" s="19"/>
      <c r="B245" s="19"/>
      <c r="C245" s="19"/>
      <c r="D245" s="1526"/>
      <c r="E245" s="1528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28"/>
      <c r="AW245" s="1528"/>
    </row>
    <row r="246" spans="1:49" x14ac:dyDescent="0.3">
      <c r="A246" s="19"/>
      <c r="B246" s="19"/>
      <c r="C246" s="19"/>
      <c r="D246" s="1526"/>
      <c r="E246" s="1528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28"/>
      <c r="AW246" s="1528"/>
    </row>
    <row r="247" spans="1:49" x14ac:dyDescent="0.3">
      <c r="A247" s="19"/>
      <c r="B247" s="19"/>
      <c r="C247" s="19"/>
      <c r="D247" s="1526"/>
      <c r="E247" s="1528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28"/>
      <c r="AW247" s="1528"/>
    </row>
    <row r="248" spans="1:49" x14ac:dyDescent="0.3">
      <c r="A248" s="19"/>
      <c r="B248" s="19"/>
      <c r="C248" s="19"/>
      <c r="D248" s="1526"/>
      <c r="E248" s="1528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28"/>
      <c r="AW248" s="1528"/>
    </row>
    <row r="249" spans="1:49" x14ac:dyDescent="0.3">
      <c r="A249" s="19"/>
      <c r="B249" s="19"/>
      <c r="C249" s="19"/>
      <c r="D249" s="1526"/>
      <c r="E249" s="1526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26"/>
      <c r="AW249" s="1526"/>
    </row>
    <row r="250" spans="1:49" x14ac:dyDescent="0.3">
      <c r="A250" s="19"/>
      <c r="B250" s="19"/>
      <c r="C250" s="19"/>
      <c r="D250" s="1521"/>
      <c r="E250" s="1527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29"/>
      <c r="AW250" s="1529"/>
    </row>
    <row r="251" spans="1:49" x14ac:dyDescent="0.3">
      <c r="A251" s="19"/>
      <c r="B251" s="19"/>
      <c r="C251" s="19"/>
      <c r="D251" s="1526"/>
      <c r="E251" s="1528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28"/>
      <c r="AW251" s="1528"/>
    </row>
    <row r="252" spans="1:49" x14ac:dyDescent="0.3">
      <c r="A252" s="19"/>
      <c r="B252" s="19"/>
      <c r="C252" s="19"/>
      <c r="D252" s="1526"/>
      <c r="E252" s="1528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28"/>
      <c r="AW252" s="1528"/>
    </row>
    <row r="253" spans="1:49" x14ac:dyDescent="0.3">
      <c r="A253" s="19"/>
      <c r="B253" s="19"/>
      <c r="C253" s="19"/>
      <c r="D253" s="1526"/>
      <c r="E253" s="1528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28"/>
      <c r="AW253" s="1528"/>
    </row>
    <row r="254" spans="1:49" x14ac:dyDescent="0.3">
      <c r="A254" s="19"/>
      <c r="B254" s="19"/>
      <c r="C254" s="19"/>
      <c r="D254" s="1526"/>
      <c r="E254" s="1528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28"/>
      <c r="AW254" s="1528"/>
    </row>
    <row r="255" spans="1:49" x14ac:dyDescent="0.3">
      <c r="A255" s="19"/>
      <c r="B255" s="19"/>
      <c r="C255" s="19"/>
      <c r="D255" s="1526"/>
      <c r="E255" s="1528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28"/>
      <c r="AW255" s="1528"/>
    </row>
    <row r="256" spans="1:49" x14ac:dyDescent="0.3">
      <c r="A256" s="19"/>
      <c r="B256" s="19"/>
      <c r="C256" s="19"/>
      <c r="D256" s="1526"/>
      <c r="E256" s="1528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28"/>
      <c r="AW256" s="1528"/>
    </row>
    <row r="257" spans="1:49" x14ac:dyDescent="0.3">
      <c r="A257" s="19"/>
      <c r="B257" s="19"/>
      <c r="C257" s="19"/>
      <c r="D257" s="1526"/>
      <c r="E257" s="1526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26"/>
      <c r="AW257" s="1526"/>
    </row>
    <row r="258" spans="1:49" x14ac:dyDescent="0.3">
      <c r="A258" s="19"/>
      <c r="B258" s="19"/>
      <c r="C258" s="19"/>
      <c r="D258" s="1521"/>
      <c r="E258" s="1527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29"/>
      <c r="AW258" s="1529"/>
    </row>
    <row r="259" spans="1:49" x14ac:dyDescent="0.3">
      <c r="A259" s="19"/>
      <c r="B259" s="19"/>
      <c r="C259" s="19"/>
      <c r="D259" s="1526"/>
      <c r="E259" s="1528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28"/>
      <c r="AW259" s="1528"/>
    </row>
    <row r="260" spans="1:49" x14ac:dyDescent="0.3">
      <c r="A260" s="19"/>
      <c r="B260" s="19"/>
      <c r="C260" s="19"/>
      <c r="D260" s="1526"/>
      <c r="E260" s="1528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28"/>
      <c r="AW260" s="1528"/>
    </row>
    <row r="261" spans="1:49" x14ac:dyDescent="0.3">
      <c r="A261" s="19"/>
      <c r="B261" s="19"/>
      <c r="C261" s="19"/>
      <c r="D261" s="1526"/>
      <c r="E261" s="1528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28"/>
      <c r="AW261" s="1528"/>
    </row>
    <row r="262" spans="1:49" x14ac:dyDescent="0.3">
      <c r="A262" s="19"/>
      <c r="B262" s="19"/>
      <c r="C262" s="19"/>
      <c r="D262" s="1526"/>
      <c r="E262" s="1528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28"/>
      <c r="AW262" s="1528"/>
    </row>
    <row r="263" spans="1:49" x14ac:dyDescent="0.3">
      <c r="A263" s="19"/>
      <c r="B263" s="19"/>
      <c r="C263" s="19"/>
      <c r="D263" s="1526"/>
      <c r="E263" s="1528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28"/>
      <c r="AW263" s="1528"/>
    </row>
    <row r="264" spans="1:49" x14ac:dyDescent="0.3">
      <c r="A264" s="19"/>
      <c r="B264" s="19"/>
      <c r="C264" s="19"/>
      <c r="D264" s="1526"/>
      <c r="E264" s="1528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28"/>
      <c r="AW264" s="1528"/>
    </row>
    <row r="265" spans="1:49" x14ac:dyDescent="0.3">
      <c r="A265" s="19"/>
      <c r="B265" s="19"/>
      <c r="C265" s="19"/>
      <c r="D265" s="1526"/>
      <c r="E265" s="1526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26"/>
      <c r="AW265" s="1526"/>
    </row>
    <row r="266" spans="1:49" x14ac:dyDescent="0.3">
      <c r="A266" s="19"/>
      <c r="B266" s="19"/>
      <c r="C266" s="19"/>
      <c r="D266" s="1521"/>
      <c r="E266" s="1527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29"/>
      <c r="AW266" s="1529"/>
    </row>
    <row r="267" spans="1:49" x14ac:dyDescent="0.3">
      <c r="A267" s="19"/>
      <c r="B267" s="19"/>
      <c r="C267" s="19"/>
      <c r="D267" s="1526"/>
      <c r="E267" s="1528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28"/>
      <c r="AW267" s="1528"/>
    </row>
    <row r="268" spans="1:49" x14ac:dyDescent="0.3">
      <c r="A268" s="19"/>
      <c r="B268" s="19"/>
      <c r="C268" s="19"/>
      <c r="D268" s="1526"/>
      <c r="E268" s="1528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28"/>
      <c r="AW268" s="1528"/>
    </row>
    <row r="269" spans="1:49" x14ac:dyDescent="0.3">
      <c r="A269" s="19"/>
      <c r="B269" s="19"/>
      <c r="C269" s="19"/>
      <c r="D269" s="1526"/>
      <c r="E269" s="1528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28"/>
      <c r="AW269" s="1528"/>
    </row>
    <row r="270" spans="1:49" x14ac:dyDescent="0.3">
      <c r="A270" s="19"/>
      <c r="B270" s="19"/>
      <c r="C270" s="19"/>
      <c r="D270" s="1526"/>
      <c r="E270" s="1528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28"/>
      <c r="AW270" s="1528"/>
    </row>
    <row r="271" spans="1:49" x14ac:dyDescent="0.3">
      <c r="A271" s="19"/>
      <c r="B271" s="19"/>
      <c r="C271" s="19"/>
      <c r="D271" s="1526"/>
      <c r="E271" s="1528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28"/>
      <c r="AW271" s="1528"/>
    </row>
    <row r="272" spans="1:49" x14ac:dyDescent="0.3">
      <c r="A272" s="19"/>
      <c r="B272" s="19"/>
      <c r="C272" s="19"/>
      <c r="D272" s="1526"/>
      <c r="E272" s="1528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28"/>
      <c r="AW272" s="1528"/>
    </row>
    <row r="273" spans="1:49" x14ac:dyDescent="0.3">
      <c r="A273" s="19"/>
      <c r="B273" s="19"/>
      <c r="C273" s="19"/>
      <c r="D273" s="1526"/>
      <c r="E273" s="1526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26"/>
      <c r="AW273" s="1526"/>
    </row>
    <row r="274" spans="1:49" x14ac:dyDescent="0.3">
      <c r="A274" s="19"/>
      <c r="B274" s="19"/>
      <c r="C274" s="19"/>
      <c r="D274" s="1521"/>
      <c r="E274" s="1527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29"/>
      <c r="AW274" s="1529"/>
    </row>
    <row r="275" spans="1:49" x14ac:dyDescent="0.3">
      <c r="A275" s="19"/>
      <c r="B275" s="19"/>
      <c r="C275" s="19"/>
      <c r="D275" s="1526"/>
      <c r="E275" s="1528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28"/>
      <c r="AW275" s="1528"/>
    </row>
    <row r="276" spans="1:49" x14ac:dyDescent="0.3">
      <c r="A276" s="19"/>
      <c r="B276" s="19"/>
      <c r="C276" s="19"/>
      <c r="D276" s="1526"/>
      <c r="E276" s="1528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28"/>
      <c r="AW276" s="1528"/>
    </row>
    <row r="277" spans="1:49" x14ac:dyDescent="0.3">
      <c r="A277" s="19"/>
      <c r="B277" s="19"/>
      <c r="C277" s="19"/>
      <c r="D277" s="1526"/>
      <c r="E277" s="1528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28"/>
      <c r="AW277" s="1528"/>
    </row>
    <row r="278" spans="1:49" x14ac:dyDescent="0.3">
      <c r="A278" s="19"/>
      <c r="B278" s="19"/>
      <c r="C278" s="19"/>
      <c r="D278" s="1526"/>
      <c r="E278" s="1528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28"/>
      <c r="AW278" s="1528"/>
    </row>
    <row r="279" spans="1:49" x14ac:dyDescent="0.3">
      <c r="A279" s="19"/>
      <c r="B279" s="19"/>
      <c r="C279" s="19"/>
      <c r="D279" s="1526"/>
      <c r="E279" s="1528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28"/>
      <c r="AW279" s="1528"/>
    </row>
    <row r="280" spans="1:49" x14ac:dyDescent="0.3">
      <c r="A280" s="19"/>
      <c r="B280" s="19"/>
      <c r="C280" s="19"/>
      <c r="D280" s="1526"/>
      <c r="E280" s="1528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28"/>
      <c r="AW280" s="1528"/>
    </row>
    <row r="281" spans="1:49" x14ac:dyDescent="0.3">
      <c r="A281" s="19"/>
      <c r="B281" s="19"/>
      <c r="C281" s="19"/>
      <c r="D281" s="1526"/>
      <c r="E281" s="1526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26"/>
      <c r="AW281" s="1526"/>
    </row>
    <row r="282" spans="1:49" x14ac:dyDescent="0.3">
      <c r="A282" s="19"/>
      <c r="B282" s="19"/>
      <c r="C282" s="19"/>
      <c r="D282" s="1521"/>
      <c r="E282" s="1527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29"/>
      <c r="AW282" s="1529"/>
    </row>
    <row r="283" spans="1:49" x14ac:dyDescent="0.3">
      <c r="A283" s="19"/>
      <c r="B283" s="19"/>
      <c r="C283" s="19"/>
      <c r="D283" s="1526"/>
      <c r="E283" s="1528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28"/>
      <c r="AW283" s="1528"/>
    </row>
    <row r="284" spans="1:49" x14ac:dyDescent="0.3">
      <c r="A284" s="19"/>
      <c r="B284" s="19"/>
      <c r="C284" s="19"/>
      <c r="D284" s="1526"/>
      <c r="E284" s="1528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28"/>
      <c r="AW284" s="1528"/>
    </row>
    <row r="285" spans="1:49" x14ac:dyDescent="0.3">
      <c r="A285" s="19"/>
      <c r="B285" s="19"/>
      <c r="C285" s="19"/>
      <c r="D285" s="1526"/>
      <c r="E285" s="1528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28"/>
      <c r="AW285" s="1528"/>
    </row>
    <row r="286" spans="1:49" x14ac:dyDescent="0.3">
      <c r="A286" s="19"/>
      <c r="B286" s="19"/>
      <c r="C286" s="19"/>
      <c r="D286" s="1526"/>
      <c r="E286" s="1528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28"/>
      <c r="AW286" s="1528"/>
    </row>
    <row r="287" spans="1:49" x14ac:dyDescent="0.3">
      <c r="A287" s="19"/>
      <c r="B287" s="19"/>
      <c r="C287" s="19"/>
      <c r="D287" s="1526"/>
      <c r="E287" s="1528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28"/>
      <c r="AW287" s="1528"/>
    </row>
    <row r="288" spans="1:49" x14ac:dyDescent="0.3">
      <c r="A288" s="19"/>
      <c r="B288" s="19"/>
      <c r="C288" s="19"/>
      <c r="D288" s="1526"/>
      <c r="E288" s="1528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28"/>
      <c r="AW288" s="1528"/>
    </row>
    <row r="289" spans="1:49" x14ac:dyDescent="0.3">
      <c r="A289" s="19"/>
      <c r="B289" s="19"/>
      <c r="C289" s="19"/>
      <c r="D289" s="1526"/>
      <c r="E289" s="1526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26"/>
      <c r="AW289" s="152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3" t="s">
        <v>71</v>
      </c>
      <c r="E1" s="1543"/>
      <c r="F1" s="1543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5"/>
      <c r="O4" s="976"/>
    </row>
    <row r="5" spans="2:15" x14ac:dyDescent="0.3">
      <c r="B5" s="14">
        <v>2</v>
      </c>
      <c r="C5" s="74">
        <v>46253</v>
      </c>
      <c r="D5" s="14">
        <v>320</v>
      </c>
      <c r="N5" s="975"/>
      <c r="O5" s="976"/>
    </row>
    <row r="6" spans="2:15" x14ac:dyDescent="0.3">
      <c r="B6" s="14">
        <v>3</v>
      </c>
      <c r="C6" s="74">
        <v>46254</v>
      </c>
      <c r="D6" s="14">
        <v>388</v>
      </c>
      <c r="N6" s="975"/>
      <c r="O6" s="976"/>
    </row>
    <row r="7" spans="2:15" x14ac:dyDescent="0.3">
      <c r="B7" s="14">
        <v>4</v>
      </c>
      <c r="C7" s="74">
        <v>46255</v>
      </c>
      <c r="D7" s="14">
        <v>425</v>
      </c>
      <c r="N7" s="975"/>
      <c r="O7" s="976"/>
    </row>
    <row r="8" spans="2:15" x14ac:dyDescent="0.3">
      <c r="B8" s="14">
        <v>5</v>
      </c>
      <c r="C8" s="74">
        <v>46256</v>
      </c>
      <c r="D8" s="14">
        <v>452</v>
      </c>
      <c r="N8" s="975"/>
      <c r="O8" s="976"/>
    </row>
    <row r="9" spans="2:15" x14ac:dyDescent="0.3">
      <c r="B9" s="14">
        <v>6</v>
      </c>
      <c r="C9" s="74">
        <v>46257</v>
      </c>
      <c r="D9" s="14">
        <v>397</v>
      </c>
      <c r="N9" s="975"/>
      <c r="O9" s="976"/>
    </row>
    <row r="10" spans="2:15" x14ac:dyDescent="0.3">
      <c r="B10" s="14">
        <v>7</v>
      </c>
      <c r="C10" s="74">
        <v>46258</v>
      </c>
      <c r="D10" s="14">
        <v>283</v>
      </c>
      <c r="N10" s="975"/>
      <c r="O10" s="976"/>
    </row>
    <row r="11" spans="2:15" x14ac:dyDescent="0.3">
      <c r="B11" s="14">
        <v>8</v>
      </c>
      <c r="C11" s="74">
        <v>46259</v>
      </c>
      <c r="D11" s="14">
        <v>347</v>
      </c>
      <c r="N11" s="975"/>
      <c r="O11" s="976"/>
    </row>
    <row r="12" spans="2:15" x14ac:dyDescent="0.3">
      <c r="B12" s="14">
        <v>9</v>
      </c>
      <c r="C12" s="74">
        <v>46260</v>
      </c>
      <c r="D12" s="14">
        <v>346</v>
      </c>
      <c r="N12" s="975"/>
      <c r="O12" s="976"/>
    </row>
    <row r="13" spans="2:15" x14ac:dyDescent="0.3">
      <c r="B13" s="14">
        <v>10</v>
      </c>
      <c r="C13" s="74">
        <v>46261</v>
      </c>
      <c r="D13" s="14">
        <v>297</v>
      </c>
      <c r="N13" s="975"/>
      <c r="O13" s="976"/>
    </row>
    <row r="14" spans="2:15" x14ac:dyDescent="0.3">
      <c r="B14" s="14">
        <v>11</v>
      </c>
      <c r="C14" s="74">
        <v>46262</v>
      </c>
      <c r="D14" s="14">
        <v>304</v>
      </c>
      <c r="N14" s="975"/>
      <c r="O14" s="976"/>
    </row>
    <row r="15" spans="2:15" x14ac:dyDescent="0.3">
      <c r="B15" s="14">
        <v>12</v>
      </c>
      <c r="C15" s="74">
        <v>46263</v>
      </c>
      <c r="D15" s="14">
        <v>510</v>
      </c>
      <c r="N15" s="975"/>
      <c r="O15" s="976"/>
    </row>
    <row r="16" spans="2:15" x14ac:dyDescent="0.3">
      <c r="B16" s="14">
        <v>13</v>
      </c>
      <c r="C16" s="74">
        <v>46264</v>
      </c>
      <c r="D16" s="14">
        <v>524</v>
      </c>
      <c r="N16" s="975"/>
      <c r="O16" s="976"/>
    </row>
    <row r="17" spans="2:15" x14ac:dyDescent="0.3">
      <c r="B17" s="14">
        <v>14</v>
      </c>
      <c r="C17" s="74">
        <v>46265</v>
      </c>
      <c r="D17" s="14">
        <v>300</v>
      </c>
      <c r="N17" s="975"/>
      <c r="O17" s="976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7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46" t="s">
        <v>587</v>
      </c>
      <c r="I2" s="1446"/>
      <c r="J2" s="1446"/>
      <c r="K2" s="1446"/>
      <c r="O2" s="1">
        <f>720+180</f>
        <v>900</v>
      </c>
    </row>
    <row r="4" spans="1:33" ht="29.4" thickBot="1" x14ac:dyDescent="0.35">
      <c r="A4" s="587" t="s">
        <v>544</v>
      </c>
      <c r="B4" s="1266" t="s">
        <v>0</v>
      </c>
      <c r="C4" s="1268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54">
        <v>1</v>
      </c>
      <c r="B5" s="1424">
        <v>46265</v>
      </c>
      <c r="C5" s="1425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46">
        <f>SUM(M5:M6)</f>
        <v>74.069659139999999</v>
      </c>
      <c r="O5" s="463">
        <f t="shared" ref="O5:O11" si="1">M5/((720-R5)/60)</f>
        <v>2.8865657961661344</v>
      </c>
      <c r="P5" s="1417">
        <f>'Milling Down Time Hours'!Q5</f>
        <v>22.433333333333334</v>
      </c>
      <c r="Q5" s="485"/>
      <c r="R5" s="468">
        <f>'Milling Down Time Hours'!P5</f>
        <v>94</v>
      </c>
      <c r="S5" s="1546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54"/>
      <c r="B6" s="1426"/>
      <c r="C6" s="1427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47"/>
      <c r="O6" s="463">
        <f t="shared" si="1"/>
        <v>3.6627629999999995</v>
      </c>
      <c r="P6" s="1564"/>
      <c r="Q6" s="526"/>
      <c r="R6" s="468">
        <v>0</v>
      </c>
      <c r="S6" s="1550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54"/>
      <c r="B7" s="1424">
        <v>46266</v>
      </c>
      <c r="C7" s="1425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46">
        <f>SUM(M7:M8)</f>
        <v>218.24394086000001</v>
      </c>
      <c r="O7" s="463">
        <f t="shared" si="1"/>
        <v>8.6932442900719415</v>
      </c>
      <c r="P7" s="1562">
        <f>'Milling Down Time Hours'!Q6</f>
        <v>22.9</v>
      </c>
      <c r="Q7" s="506"/>
      <c r="R7" s="468">
        <v>25</v>
      </c>
      <c r="S7" s="1550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54"/>
      <c r="B8" s="1426"/>
      <c r="C8" s="1427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47"/>
      <c r="O8" s="463">
        <f t="shared" si="1"/>
        <v>10.387086406480119</v>
      </c>
      <c r="P8" s="1563"/>
      <c r="Q8" s="506"/>
      <c r="R8" s="468">
        <v>41</v>
      </c>
      <c r="S8" s="1547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53">
        <v>2</v>
      </c>
      <c r="B9" s="1419">
        <v>46267</v>
      </c>
      <c r="C9" s="1420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55">
        <f>SUM(M9:M10)</f>
        <v>209.804</v>
      </c>
      <c r="O9" s="479">
        <f t="shared" si="1"/>
        <v>10.565099999999999</v>
      </c>
      <c r="P9" s="1548">
        <f>'Milling Down Time Hours'!Q7</f>
        <v>22</v>
      </c>
      <c r="Q9" s="494"/>
      <c r="R9" s="473">
        <f>'Milling Down Time Hours'!P7</f>
        <v>120.00000000000001</v>
      </c>
      <c r="S9" s="1555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53"/>
      <c r="B10" s="1421"/>
      <c r="C10" s="1422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57"/>
      <c r="O10" s="479">
        <f t="shared" si="1"/>
        <v>8.6794166666666666</v>
      </c>
      <c r="P10" s="1549"/>
      <c r="Q10" s="494"/>
      <c r="R10" s="473">
        <v>0</v>
      </c>
      <c r="S10" s="1556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53"/>
      <c r="B11" s="1419">
        <v>46268</v>
      </c>
      <c r="C11" s="1420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55">
        <f>SUM(M11:M12)</f>
        <v>90.338150000000013</v>
      </c>
      <c r="O11" s="479">
        <f t="shared" si="1"/>
        <v>8.2125590909090924</v>
      </c>
      <c r="P11" s="1558">
        <f>'Milling Down Time Hours'!Q8</f>
        <v>23</v>
      </c>
      <c r="Q11" s="531"/>
      <c r="R11" s="494">
        <v>60</v>
      </c>
      <c r="S11" s="1556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53"/>
      <c r="B12" s="1421"/>
      <c r="C12" s="1422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57"/>
      <c r="O12" s="479"/>
      <c r="P12" s="1559"/>
      <c r="Q12" s="533"/>
      <c r="R12" s="492">
        <v>720</v>
      </c>
      <c r="S12" s="1433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53"/>
      <c r="B13" s="1419">
        <v>46269</v>
      </c>
      <c r="C13" s="1420"/>
      <c r="D13" s="1565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48">
        <f>'Milling Down Time Hours'!Q9</f>
        <v>0</v>
      </c>
      <c r="Q13" s="516"/>
      <c r="R13" s="1548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53"/>
      <c r="B14" s="1544"/>
      <c r="C14" s="1545"/>
      <c r="D14" s="1566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60"/>
      <c r="Q14" s="494"/>
      <c r="R14" s="1561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53">
        <v>46270</v>
      </c>
      <c r="C15" s="1554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76">
        <v>3</v>
      </c>
      <c r="B16" s="1323">
        <v>46270</v>
      </c>
      <c r="C16" s="1323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17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76"/>
      <c r="B17" s="1323">
        <v>46271</v>
      </c>
      <c r="C17" s="1323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67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71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76"/>
      <c r="B18" s="1323"/>
      <c r="C18" s="1323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67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71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76"/>
      <c r="B19" s="1426">
        <v>46272</v>
      </c>
      <c r="C19" s="1427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382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72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53">
        <v>4</v>
      </c>
      <c r="B20" s="1551">
        <v>46272</v>
      </c>
      <c r="C20" s="1552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372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38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53"/>
      <c r="B21" s="1419">
        <v>46273</v>
      </c>
      <c r="C21" s="1420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55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38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53"/>
      <c r="B22" s="1421"/>
      <c r="C22" s="1422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68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38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53"/>
      <c r="B23" s="1419">
        <v>46274</v>
      </c>
      <c r="C23" s="1420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38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91">
        <v>46274</v>
      </c>
      <c r="C24" s="1392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54">
        <v>5</v>
      </c>
      <c r="B25" s="1424">
        <v>46275</v>
      </c>
      <c r="C25" s="1425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415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15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54"/>
      <c r="B26" s="1426"/>
      <c r="C26" s="1427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416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15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54"/>
      <c r="B27" s="1424">
        <v>46276</v>
      </c>
      <c r="C27" s="1425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17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15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28">
        <v>46276</v>
      </c>
      <c r="C28" s="1328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50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32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53">
        <v>6</v>
      </c>
      <c r="B29" s="1544">
        <v>46276</v>
      </c>
      <c r="C29" s="1545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56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53"/>
      <c r="B30" s="1419">
        <v>46277</v>
      </c>
      <c r="C30" s="1420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55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56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53"/>
      <c r="B31" s="1421"/>
      <c r="C31" s="1422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57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33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389">
        <v>46278</v>
      </c>
      <c r="C32" s="1390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381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391"/>
      <c r="C33" s="1392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387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24">
        <v>46279</v>
      </c>
      <c r="C34" s="1425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46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26"/>
      <c r="C35" s="1427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47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24">
        <v>46280</v>
      </c>
      <c r="C36" s="1425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26"/>
      <c r="C37" s="1427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24">
        <v>46281</v>
      </c>
      <c r="C38" s="1425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26"/>
      <c r="C39" s="1427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69"/>
      <c r="U39" s="1569"/>
      <c r="V39" s="1571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389">
        <v>46282</v>
      </c>
      <c r="C40" s="1390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70"/>
      <c r="U40" s="1570"/>
      <c r="V40" s="1572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391"/>
      <c r="C41" s="1392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389">
        <v>46283</v>
      </c>
      <c r="C42" s="1390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91"/>
      <c r="C43" s="1392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89">
        <v>46284</v>
      </c>
      <c r="C44" s="1390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91"/>
      <c r="C45" s="1392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89">
        <v>46285</v>
      </c>
      <c r="C46" s="1390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91"/>
      <c r="C47" s="1392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84"/>
      <c r="U47" s="1384"/>
      <c r="V47" s="1379"/>
      <c r="W47" s="160"/>
      <c r="X47" s="155"/>
      <c r="Y47" s="155"/>
    </row>
    <row r="48" spans="1:32" ht="15" thickBot="1" x14ac:dyDescent="0.35">
      <c r="B48" s="1389">
        <v>46286</v>
      </c>
      <c r="C48" s="1390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88"/>
      <c r="U48" s="1388"/>
      <c r="V48" s="1380"/>
      <c r="W48" s="160"/>
      <c r="X48" s="155"/>
      <c r="Y48" s="155"/>
    </row>
    <row r="49" spans="2:28" ht="15" thickBot="1" x14ac:dyDescent="0.35">
      <c r="B49" s="1391"/>
      <c r="C49" s="1392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84"/>
      <c r="U49" s="1384"/>
      <c r="V49" s="1379"/>
      <c r="W49" s="160"/>
      <c r="X49" s="155"/>
      <c r="Y49" s="155"/>
    </row>
    <row r="50" spans="2:28" ht="15" thickBot="1" x14ac:dyDescent="0.35">
      <c r="B50" s="1389">
        <v>46287</v>
      </c>
      <c r="C50" s="1390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88"/>
      <c r="U50" s="1388"/>
      <c r="V50" s="1380"/>
      <c r="W50" s="160"/>
      <c r="X50" s="155"/>
      <c r="Y50" s="155"/>
    </row>
    <row r="51" spans="2:28" ht="15" thickBot="1" x14ac:dyDescent="0.35">
      <c r="B51" s="1391"/>
      <c r="C51" s="1392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84"/>
      <c r="U51" s="1384"/>
      <c r="V51" s="1379"/>
      <c r="W51" s="160"/>
      <c r="X51" s="155"/>
      <c r="Y51" s="155"/>
    </row>
    <row r="52" spans="2:28" ht="15" thickBot="1" x14ac:dyDescent="0.35">
      <c r="B52" s="1389">
        <v>46288</v>
      </c>
      <c r="C52" s="1390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88"/>
      <c r="U52" s="1388"/>
      <c r="V52" s="1380"/>
      <c r="W52" s="160"/>
      <c r="X52" s="155"/>
      <c r="Y52" s="155"/>
    </row>
    <row r="53" spans="2:28" ht="15" thickBot="1" x14ac:dyDescent="0.35">
      <c r="B53" s="1391"/>
      <c r="C53" s="1392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84"/>
      <c r="U53" s="1384"/>
      <c r="V53" s="1379"/>
      <c r="W53" s="160"/>
      <c r="X53" s="155"/>
      <c r="Y53" s="155"/>
    </row>
    <row r="54" spans="2:28" ht="15" thickBot="1" x14ac:dyDescent="0.35">
      <c r="B54" s="1389">
        <v>46289</v>
      </c>
      <c r="C54" s="1390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88"/>
      <c r="U54" s="1388"/>
      <c r="V54" s="1380"/>
      <c r="W54" s="160"/>
      <c r="X54" s="155"/>
      <c r="Y54" s="155"/>
      <c r="AB54" s="1">
        <v>9570</v>
      </c>
    </row>
    <row r="55" spans="2:28" ht="15" thickBot="1" x14ac:dyDescent="0.35">
      <c r="B55" s="1391"/>
      <c r="C55" s="1392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384"/>
      <c r="U55" s="1384"/>
      <c r="V55" s="1379"/>
      <c r="W55" s="160"/>
      <c r="X55" s="155"/>
      <c r="Y55" s="155"/>
      <c r="AB55" s="1">
        <v>8795</v>
      </c>
    </row>
    <row r="56" spans="2:28" ht="15" thickBot="1" x14ac:dyDescent="0.35">
      <c r="B56" s="1389">
        <v>46290</v>
      </c>
      <c r="C56" s="1390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88"/>
      <c r="U56" s="1388"/>
      <c r="V56" s="1380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91"/>
      <c r="C57" s="1392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84"/>
      <c r="U57" s="1384"/>
      <c r="V57" s="1379"/>
      <c r="W57" s="160"/>
      <c r="X57" s="155"/>
      <c r="Y57" s="155"/>
    </row>
    <row r="58" spans="2:28" ht="15" thickBot="1" x14ac:dyDescent="0.35">
      <c r="B58" s="1389">
        <v>46291</v>
      </c>
      <c r="C58" s="1390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88"/>
      <c r="U58" s="1388"/>
      <c r="V58" s="1380"/>
      <c r="W58" s="160"/>
      <c r="X58" s="155"/>
      <c r="Y58" s="155"/>
    </row>
    <row r="59" spans="2:28" ht="15" thickBot="1" x14ac:dyDescent="0.35">
      <c r="B59" s="1391"/>
      <c r="C59" s="1392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84"/>
      <c r="U59" s="1384"/>
      <c r="V59" s="1379"/>
      <c r="W59" s="160"/>
      <c r="X59" s="155"/>
      <c r="Y59" s="155"/>
    </row>
    <row r="60" spans="2:28" ht="15" thickBot="1" x14ac:dyDescent="0.35">
      <c r="B60" s="1389">
        <v>46292</v>
      </c>
      <c r="C60" s="1390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88"/>
      <c r="U60" s="1388"/>
      <c r="V60" s="1380"/>
      <c r="W60" s="160"/>
      <c r="X60" s="155"/>
      <c r="Y60" s="155"/>
    </row>
    <row r="61" spans="2:28" ht="15" thickBot="1" x14ac:dyDescent="0.35">
      <c r="B61" s="1391"/>
      <c r="C61" s="1392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84"/>
      <c r="U61" s="1384"/>
      <c r="V61" s="1379"/>
      <c r="W61" s="160"/>
      <c r="X61" s="155"/>
      <c r="Y61" s="155"/>
    </row>
    <row r="62" spans="2:28" ht="15" thickBot="1" x14ac:dyDescent="0.35">
      <c r="B62" s="1389">
        <v>46293</v>
      </c>
      <c r="C62" s="1390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88"/>
      <c r="U62" s="1388"/>
      <c r="V62" s="1380"/>
      <c r="W62" s="160"/>
      <c r="X62" s="155"/>
      <c r="Y62" s="155"/>
    </row>
    <row r="63" spans="2:28" ht="15" thickBot="1" x14ac:dyDescent="0.35">
      <c r="B63" s="1391"/>
      <c r="C63" s="1392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08"/>
      <c r="U63" s="1408"/>
      <c r="V63" s="1410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89">
        <v>46294</v>
      </c>
      <c r="C64" s="1390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09"/>
      <c r="U64" s="1409"/>
      <c r="V64" s="1411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91"/>
      <c r="C65" s="1392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08"/>
      <c r="U65" s="1408"/>
      <c r="V65" s="1573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89">
        <v>46295</v>
      </c>
      <c r="C66" s="1390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09"/>
      <c r="U66" s="1409"/>
      <c r="V66" s="1574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91"/>
      <c r="C67" s="1392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08"/>
      <c r="U67" s="1408"/>
      <c r="V67" s="1573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89">
        <v>46296</v>
      </c>
      <c r="C68" s="1390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09"/>
      <c r="U68" s="1409"/>
      <c r="V68" s="1574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91"/>
      <c r="C69" s="1392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08"/>
      <c r="U69" s="1408"/>
      <c r="V69" s="1410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89">
        <v>46297</v>
      </c>
      <c r="C70" s="1390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09"/>
      <c r="U70" s="1409"/>
      <c r="V70" s="1411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91"/>
      <c r="C71" s="1392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08"/>
      <c r="U71" s="1408"/>
      <c r="V71" s="1410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89">
        <v>46298</v>
      </c>
      <c r="C72" s="1390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09"/>
      <c r="U72" s="1409"/>
      <c r="V72" s="1411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91"/>
      <c r="C73" s="1392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08"/>
      <c r="U73" s="1408"/>
      <c r="V73" s="1410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89">
        <v>46299</v>
      </c>
      <c r="C74" s="1390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09"/>
      <c r="U74" s="1409"/>
      <c r="V74" s="1411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91"/>
      <c r="C75" s="1392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84"/>
      <c r="U75" s="1384"/>
      <c r="V75" s="1379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89">
        <v>46300</v>
      </c>
      <c r="C76" s="1390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88"/>
      <c r="U76" s="1388"/>
      <c r="V76" s="1380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91"/>
      <c r="C77" s="1392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08"/>
      <c r="U77" s="1408"/>
      <c r="V77" s="1410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89">
        <v>46301</v>
      </c>
      <c r="C78" s="1390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09"/>
      <c r="U78" s="1409"/>
      <c r="V78" s="1411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97"/>
      <c r="C79" s="1398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75">
        <f>'Milling Down Time Hours'!Q43</f>
        <v>0</v>
      </c>
      <c r="Q79" s="40"/>
      <c r="R79" s="1575">
        <f>'Milling Down Time Hours'!L85</f>
        <v>0</v>
      </c>
      <c r="S79" s="14"/>
      <c r="T79" s="1408">
        <v>0.35699999999999998</v>
      </c>
      <c r="U79" s="1408">
        <v>1.056</v>
      </c>
      <c r="V79" s="1410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97"/>
      <c r="C80" s="1398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75"/>
      <c r="Q80" s="40"/>
      <c r="R80" s="1575"/>
      <c r="S80" s="14"/>
      <c r="T80" s="1409"/>
      <c r="U80" s="1409"/>
      <c r="V80" s="1411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97"/>
      <c r="C81" s="1398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75">
        <f>'Milling Down Time Hours'!M87</f>
        <v>0</v>
      </c>
      <c r="Q81" s="40"/>
      <c r="R81" s="1575">
        <f>'Milling Down Time Hours'!L87</f>
        <v>0</v>
      </c>
      <c r="S81" s="14"/>
      <c r="T81" s="1384" t="e">
        <f>SUM(#REF!)</f>
        <v>#REF!</v>
      </c>
      <c r="U81" s="1384" t="e">
        <f t="shared" ref="U81" si="26">SUM(T81:T83)</f>
        <v>#REF!</v>
      </c>
      <c r="V81" s="1379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97"/>
      <c r="C82" s="1398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75"/>
      <c r="Q82" s="40"/>
      <c r="R82" s="1575"/>
      <c r="S82" s="14"/>
      <c r="T82" s="1388"/>
      <c r="U82" s="1388"/>
      <c r="V82" s="1380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97"/>
      <c r="C83" s="1398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75">
        <f>'Milling Down Time Hours'!M89</f>
        <v>0</v>
      </c>
      <c r="Q83" s="40"/>
      <c r="R83" s="1575">
        <f>'Milling Down Time Hours'!L89</f>
        <v>0</v>
      </c>
      <c r="S83" s="14"/>
      <c r="T83" s="1384" t="e">
        <f>SUM(#REF!)</f>
        <v>#REF!</v>
      </c>
      <c r="U83" s="1384" t="e">
        <f t="shared" ref="U83" si="28">SUM(T83:T85)</f>
        <v>#REF!</v>
      </c>
      <c r="V83" s="1379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97"/>
      <c r="C84" s="1398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75"/>
      <c r="Q84" s="40"/>
      <c r="R84" s="1575"/>
      <c r="S84" s="14"/>
      <c r="T84" s="1388"/>
      <c r="U84" s="1388"/>
      <c r="V84" s="1380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97"/>
      <c r="C85" s="1398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75">
        <f>'Milling Down Time Hours'!M91</f>
        <v>0</v>
      </c>
      <c r="Q85" s="40"/>
      <c r="R85" s="1575">
        <f>'Milling Down Time Hours'!L91</f>
        <v>0</v>
      </c>
      <c r="S85" s="14"/>
      <c r="T85" s="1384" t="e">
        <f>SUM(#REF!)</f>
        <v>#REF!</v>
      </c>
      <c r="U85" s="1384" t="e">
        <f t="shared" ref="U85" si="30">SUM(T85:T87)</f>
        <v>#REF!</v>
      </c>
      <c r="V85" s="1379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97"/>
      <c r="C86" s="1398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75"/>
      <c r="Q86" s="40"/>
      <c r="R86" s="1575"/>
      <c r="S86" s="14"/>
      <c r="T86" s="1388"/>
      <c r="U86" s="1388"/>
      <c r="V86" s="1380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97"/>
      <c r="C87" s="1398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75">
        <f>'Milling Down Time Hours'!M93</f>
        <v>0</v>
      </c>
      <c r="Q87" s="40"/>
      <c r="R87" s="1575">
        <f>'Milling Down Time Hours'!L93</f>
        <v>0</v>
      </c>
      <c r="S87" s="14"/>
      <c r="T87" s="1384" t="e">
        <f>SUM(#REF!)</f>
        <v>#REF!</v>
      </c>
      <c r="U87" s="1384" t="e">
        <f t="shared" ref="U87" si="32">SUM(T87:T89)</f>
        <v>#REF!</v>
      </c>
      <c r="V87" s="1379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97"/>
      <c r="C88" s="1398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75"/>
      <c r="Q88" s="40"/>
      <c r="R88" s="1575"/>
      <c r="S88" s="14"/>
      <c r="T88" s="1388"/>
      <c r="U88" s="1388"/>
      <c r="V88" s="1380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97"/>
      <c r="C89" s="1398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75">
        <f>'Milling Down Time Hours'!M95</f>
        <v>0</v>
      </c>
      <c r="Q89" s="40"/>
      <c r="R89" s="1575">
        <f>'Milling Down Time Hours'!L95</f>
        <v>0</v>
      </c>
      <c r="S89" s="14"/>
      <c r="T89" s="1384" t="e">
        <f>SUM(#REF!)</f>
        <v>#REF!</v>
      </c>
      <c r="U89" s="1384" t="e">
        <f t="shared" ref="U89" si="34">SUM(T89:T91)</f>
        <v>#REF!</v>
      </c>
      <c r="V89" s="1379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97"/>
      <c r="C90" s="1398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75"/>
      <c r="Q90" s="40"/>
      <c r="R90" s="1575"/>
      <c r="S90" s="14"/>
      <c r="T90" s="1388"/>
      <c r="U90" s="1388"/>
      <c r="V90" s="1380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97"/>
      <c r="C91" s="1398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75">
        <f>'Milling Down Time Hours'!M97</f>
        <v>0</v>
      </c>
      <c r="Q91" s="40"/>
      <c r="R91" s="1575">
        <f>'Milling Down Time Hours'!L97</f>
        <v>0</v>
      </c>
      <c r="S91" s="14"/>
      <c r="T91" s="1384" t="e">
        <f>SUM(#REF!)</f>
        <v>#REF!</v>
      </c>
      <c r="U91" s="1384" t="e">
        <f t="shared" ref="U91" si="36">SUM(T91:T93)</f>
        <v>#REF!</v>
      </c>
      <c r="V91" s="1379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97"/>
      <c r="C92" s="1398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75"/>
      <c r="Q92" s="40"/>
      <c r="R92" s="1575"/>
      <c r="S92" s="14"/>
      <c r="T92" s="1388"/>
      <c r="U92" s="1388"/>
      <c r="V92" s="1380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97"/>
      <c r="C93" s="1398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75">
        <f>'Milling Down Time Hours'!M99</f>
        <v>0</v>
      </c>
      <c r="Q93" s="40"/>
      <c r="R93" s="1575">
        <f>'Milling Down Time Hours'!L99</f>
        <v>0</v>
      </c>
      <c r="S93" s="14"/>
      <c r="T93" s="1384" t="e">
        <f>SUM(#REF!)</f>
        <v>#REF!</v>
      </c>
      <c r="U93" s="1384" t="e">
        <f t="shared" ref="U93" si="38">SUM(T93:T95)</f>
        <v>#REF!</v>
      </c>
      <c r="V93" s="1379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97"/>
      <c r="C94" s="1398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75"/>
      <c r="Q94" s="40"/>
      <c r="R94" s="1575"/>
      <c r="S94" s="14"/>
      <c r="T94" s="1388"/>
      <c r="U94" s="1388"/>
      <c r="V94" s="1380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97"/>
      <c r="C95" s="1398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75">
        <f>'Milling Down Time Hours'!M101</f>
        <v>0</v>
      </c>
      <c r="Q95" s="40"/>
      <c r="R95" s="1575">
        <f>'Milling Down Time Hours'!L101</f>
        <v>0</v>
      </c>
      <c r="S95" s="14"/>
      <c r="T95" s="1384" t="e">
        <f>SUM(#REF!)</f>
        <v>#REF!</v>
      </c>
      <c r="U95" s="1384" t="e">
        <f>SUM(T95:T99)</f>
        <v>#REF!</v>
      </c>
      <c r="V95" s="1379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97"/>
      <c r="C96" s="1398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75"/>
      <c r="Q96" s="40"/>
      <c r="R96" s="1575"/>
      <c r="S96" s="96"/>
      <c r="T96" s="1385"/>
      <c r="U96" s="1385"/>
      <c r="V96" s="1386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91"/>
      <c r="C97" s="1392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2026-10-01T03:39:43Z</dcterms:modified>
</cp:coreProperties>
</file>