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B30B860-AFA0-434F-9D40-93D0AB2FB805}" xr6:coauthVersionLast="47" xr6:coauthVersionMax="47" xr10:uidLastSave="{00000000-0000-0000-0000-000000000000}"/>
  <bookViews>
    <workbookView xWindow="-108" yWindow="-108" windowWidth="23256" windowHeight="12456" activeTab="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75" i="21" l="1"/>
  <c r="N77" i="21"/>
  <c r="M78" i="21"/>
  <c r="H78" i="21"/>
  <c r="I78" i="21" s="1"/>
  <c r="J78" i="21"/>
  <c r="AL13" i="21"/>
  <c r="M76" i="21"/>
  <c r="P77" i="21"/>
  <c r="I77" i="21" s="1"/>
  <c r="Q77" i="21"/>
  <c r="R77" i="21"/>
  <c r="H77" i="21"/>
  <c r="H76" i="21"/>
  <c r="M77" i="21"/>
  <c r="O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N115" i="1" l="1"/>
  <c r="N112" i="1"/>
  <c r="I112" i="1"/>
  <c r="K112" i="1" s="1"/>
  <c r="M112" i="1" s="1"/>
  <c r="I111" i="1"/>
  <c r="K111" i="1"/>
  <c r="M111" i="1" s="1"/>
  <c r="L111" i="1"/>
  <c r="I110" i="1"/>
  <c r="K110" i="1"/>
  <c r="L110" i="1"/>
  <c r="N110" i="1" s="1"/>
  <c r="M110" i="1"/>
  <c r="P38" i="5"/>
  <c r="P37" i="5"/>
  <c r="P36" i="5"/>
  <c r="P35" i="5"/>
  <c r="P34" i="5"/>
  <c r="P33" i="5"/>
  <c r="T107" i="21"/>
  <c r="S107" i="21"/>
  <c r="R107" i="21"/>
  <c r="Q107" i="21"/>
  <c r="P107" i="21"/>
  <c r="O107" i="21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/>
  <c r="K80" i="5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12" i="1" l="1"/>
  <c r="K109" i="1"/>
  <c r="M109" i="1" s="1"/>
  <c r="M75" i="21"/>
  <c r="P75" i="21"/>
  <c r="I75" i="21" s="1"/>
  <c r="I76" i="21"/>
  <c r="Q76" i="21"/>
  <c r="Z21" i="13"/>
  <c r="Y21" i="13"/>
  <c r="AM21" i="13" s="1"/>
  <c r="BE21" i="13" s="1"/>
  <c r="X21" i="13"/>
  <c r="L108" i="1"/>
  <c r="L106" i="1"/>
  <c r="N106" i="1" s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H63" i="21" l="1"/>
  <c r="O75" i="21"/>
  <c r="AL21" i="13"/>
  <c r="N104" i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14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7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1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T21" i="13" l="1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50" i="1" l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14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1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X77" i="21" l="1"/>
  <c r="M107" i="21"/>
  <c r="X32" i="21"/>
  <c r="W71" i="21"/>
  <c r="W76" i="21"/>
  <c r="N75" i="21"/>
  <c r="O76" i="21"/>
  <c r="Y72" i="21"/>
  <c r="Y89" i="21"/>
  <c r="W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9" i="21"/>
  <c r="X67" i="21"/>
  <c r="W93" i="21"/>
  <c r="P72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AN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7" i="21"/>
  <c r="U92" i="21"/>
  <c r="V92" i="21" s="1"/>
  <c r="Y92" i="21" s="1"/>
  <c r="Q38" i="21"/>
  <c r="V107" i="21"/>
  <c r="P37" i="21"/>
  <c r="Q25" i="21"/>
  <c r="X66" i="21"/>
  <c r="W77" i="21"/>
  <c r="X93" i="21"/>
  <c r="W102" i="21"/>
  <c r="O5" i="21"/>
  <c r="AA11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AD11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AC26" i="2" l="1"/>
  <c r="AC11" i="2"/>
  <c r="C21" i="13"/>
  <c r="D21" i="13" s="1"/>
  <c r="BF21" i="13"/>
  <c r="AV21" i="13"/>
  <c r="M11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14" i="1"/>
  <c r="C26" i="7"/>
  <c r="C29" i="7"/>
  <c r="G14" i="7"/>
  <c r="H14" i="7" s="1"/>
  <c r="E14" i="7"/>
  <c r="L11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Y35" i="21" l="1"/>
  <c r="AE21" i="13"/>
  <c r="AD21" i="13"/>
  <c r="N114" i="1"/>
  <c r="E20" i="7"/>
  <c r="C57" i="7"/>
  <c r="X67" i="7" s="1"/>
  <c r="E17" i="7"/>
  <c r="G17" i="7"/>
  <c r="H17" i="7" s="1"/>
  <c r="G10" i="7"/>
  <c r="H10" i="7" s="1"/>
  <c r="J36" i="12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W36" i="21" l="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07" i="21"/>
  <c r="Y10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102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07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BF20" i="13" l="1"/>
  <c r="BB20" i="13" s="1"/>
  <c r="AE16" i="13"/>
  <c r="H54" i="21"/>
  <c r="I54" i="21" s="1"/>
  <c r="N52" i="21"/>
  <c r="O54" i="21"/>
  <c r="S48" i="2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AC19" i="13" l="1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<sst xmlns="http://schemas.openxmlformats.org/spreadsheetml/2006/main" count="2669" uniqueCount="780">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</sst>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1" fillId="0" borderId="0" applyFont="0" applyFill="0" applyBorder="0" applyAlignment="0" applyProtection="0"/>
    <xf numFmtId="9" fontId="81" fillId="0" borderId="0" applyFont="0" applyFill="0" applyBorder="0" applyAlignment="0" applyProtection="0"/>
    <xf numFmtId="164" fontId="82" fillId="0" borderId="0" applyFont="0" applyFill="0" applyBorder="0" applyAlignment="0" applyProtection="0"/>
  </cellStyleXfs>
  <cellXfs count="1604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2" fillId="2" borderId="12" xfId="0" applyFont="1" applyFill="1" applyBorder="1"/>
    <xf numFmtId="0" fontId="0" fillId="2" borderId="12" xfId="0" applyFill="1" applyBorder="1"/>
    <xf numFmtId="0" fontId="8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3" fillId="4" borderId="12" xfId="0" applyFont="1" applyFill="1" applyBorder="1" applyAlignment="1">
      <alignment horizontal="center"/>
    </xf>
    <xf numFmtId="0" fontId="83" fillId="3" borderId="12" xfId="0" applyFon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3" fillId="3" borderId="12" xfId="0" applyFont="1" applyFill="1" applyBorder="1"/>
    <xf numFmtId="0" fontId="0" fillId="3" borderId="12" xfId="0" applyFill="1" applyBorder="1"/>
    <xf numFmtId="0" fontId="83" fillId="3" borderId="31" xfId="0" applyFont="1" applyFill="1" applyBorder="1" applyAlignment="1">
      <alignment horizontal="center"/>
    </xf>
    <xf numFmtId="0" fontId="8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4" fillId="5" borderId="0" xfId="0" applyFont="1" applyFill="1"/>
    <xf numFmtId="0" fontId="8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6" fillId="2" borderId="0" xfId="3" applyNumberFormat="1" applyFont="1" applyFill="1"/>
    <xf numFmtId="170" fontId="8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2" fillId="2" borderId="12" xfId="0" applyNumberFormat="1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7" fillId="5" borderId="0" xfId="2" applyNumberFormat="1" applyFont="1" applyFill="1"/>
    <xf numFmtId="172" fontId="8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8" fillId="6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8" borderId="12" xfId="0" applyFont="1" applyFill="1" applyBorder="1" applyAlignment="1">
      <alignment horizontal="center" vertical="center"/>
    </xf>
    <xf numFmtId="0" fontId="88" fillId="9" borderId="12" xfId="0" applyFont="1" applyFill="1" applyBorder="1" applyAlignment="1">
      <alignment horizontal="center" vertical="center"/>
    </xf>
    <xf numFmtId="14" fontId="8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8" fillId="7" borderId="20" xfId="0" applyNumberFormat="1" applyFont="1" applyFill="1" applyBorder="1" applyAlignment="1">
      <alignment horizontal="center" vertical="center"/>
    </xf>
    <xf numFmtId="14" fontId="88" fillId="7" borderId="21" xfId="0" applyNumberFormat="1" applyFont="1" applyFill="1" applyBorder="1" applyAlignment="1">
      <alignment horizontal="center" vertical="center"/>
    </xf>
    <xf numFmtId="14" fontId="88" fillId="7" borderId="28" xfId="0" applyNumberFormat="1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/>
    </xf>
    <xf numFmtId="0" fontId="90" fillId="11" borderId="12" xfId="0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 vertical="center"/>
    </xf>
    <xf numFmtId="14" fontId="90" fillId="12" borderId="12" xfId="0" applyNumberFormat="1" applyFont="1" applyFill="1" applyBorder="1" applyAlignment="1">
      <alignment horizontal="center" vertical="center"/>
    </xf>
    <xf numFmtId="0" fontId="90" fillId="13" borderId="12" xfId="0" applyFont="1" applyFill="1" applyBorder="1" applyAlignment="1">
      <alignment horizontal="center" vertical="center"/>
    </xf>
    <xf numFmtId="0" fontId="82" fillId="0" borderId="7" xfId="0" applyFont="1" applyBorder="1" applyAlignment="1">
      <alignment horizontal="center"/>
    </xf>
    <xf numFmtId="20" fontId="82" fillId="2" borderId="28" xfId="0" applyNumberFormat="1" applyFont="1" applyFill="1" applyBorder="1" applyAlignment="1">
      <alignment horizontal="center" vertical="center"/>
    </xf>
    <xf numFmtId="1" fontId="8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2" fillId="2" borderId="12" xfId="0" applyNumberFormat="1" applyFont="1" applyFill="1" applyBorder="1" applyAlignment="1">
      <alignment horizontal="center" vertical="center"/>
    </xf>
    <xf numFmtId="0" fontId="83" fillId="3" borderId="12" xfId="0" applyFont="1" applyFill="1" applyBorder="1" applyAlignment="1">
      <alignment horizontal="right"/>
    </xf>
    <xf numFmtId="1" fontId="83" fillId="3" borderId="20" xfId="0" applyNumberFormat="1" applyFont="1" applyFill="1" applyBorder="1" applyAlignment="1">
      <alignment horizontal="right"/>
    </xf>
    <xf numFmtId="9" fontId="8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8" fillId="0" borderId="0" xfId="0" applyFont="1"/>
    <xf numFmtId="1" fontId="88" fillId="0" borderId="0" xfId="0" applyNumberFormat="1" applyFont="1" applyAlignment="1">
      <alignment horizontal="center"/>
    </xf>
    <xf numFmtId="0" fontId="88" fillId="0" borderId="0" xfId="0" applyFont="1" applyAlignment="1">
      <alignment horizontal="center"/>
    </xf>
    <xf numFmtId="0" fontId="9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8" fillId="0" borderId="38" xfId="0" applyFont="1" applyBorder="1"/>
    <xf numFmtId="1" fontId="88" fillId="0" borderId="38" xfId="0" applyNumberFormat="1" applyFont="1" applyBorder="1" applyAlignment="1">
      <alignment horizontal="center"/>
    </xf>
    <xf numFmtId="0" fontId="88" fillId="0" borderId="38" xfId="0" applyFont="1" applyBorder="1" applyAlignment="1">
      <alignment horizontal="center"/>
    </xf>
    <xf numFmtId="43" fontId="88" fillId="0" borderId="38" xfId="1" applyFont="1" applyBorder="1" applyAlignment="1">
      <alignment horizontal="center"/>
    </xf>
    <xf numFmtId="0" fontId="88" fillId="0" borderId="39" xfId="0" applyFont="1" applyBorder="1"/>
    <xf numFmtId="0" fontId="90" fillId="0" borderId="0" xfId="0" applyFont="1" applyAlignment="1">
      <alignment wrapText="1"/>
    </xf>
    <xf numFmtId="0" fontId="90" fillId="3" borderId="45" xfId="0" applyFont="1" applyFill="1" applyBorder="1" applyAlignment="1">
      <alignment horizontal="center" vertical="center" wrapText="1"/>
    </xf>
    <xf numFmtId="0" fontId="88" fillId="0" borderId="47" xfId="0" applyFont="1" applyBorder="1"/>
    <xf numFmtId="173" fontId="88" fillId="0" borderId="48" xfId="0" applyNumberFormat="1" applyFont="1" applyBorder="1" applyAlignment="1">
      <alignment horizontal="center"/>
    </xf>
    <xf numFmtId="1" fontId="88" fillId="0" borderId="48" xfId="0" applyNumberFormat="1" applyFont="1" applyBorder="1" applyAlignment="1">
      <alignment horizontal="center"/>
    </xf>
    <xf numFmtId="174" fontId="88" fillId="0" borderId="48" xfId="0" applyNumberFormat="1" applyFont="1" applyBorder="1" applyAlignment="1">
      <alignment horizontal="center"/>
    </xf>
    <xf numFmtId="0" fontId="88" fillId="0" borderId="48" xfId="0" applyFont="1" applyBorder="1"/>
    <xf numFmtId="9" fontId="88" fillId="0" borderId="48" xfId="0" applyNumberFormat="1" applyFont="1" applyBorder="1" applyAlignment="1">
      <alignment horizontal="center"/>
    </xf>
    <xf numFmtId="0" fontId="88" fillId="0" borderId="48" xfId="0" applyFont="1" applyBorder="1" applyAlignment="1">
      <alignment horizontal="center"/>
    </xf>
    <xf numFmtId="9" fontId="88" fillId="0" borderId="49" xfId="0" applyNumberFormat="1" applyFont="1" applyBorder="1" applyAlignment="1">
      <alignment horizontal="center"/>
    </xf>
    <xf numFmtId="0" fontId="8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9" fillId="2" borderId="12" xfId="0" applyFont="1" applyFill="1" applyBorder="1"/>
    <xf numFmtId="14" fontId="88" fillId="2" borderId="12" xfId="0" applyNumberFormat="1" applyFont="1" applyFill="1" applyBorder="1" applyAlignment="1">
      <alignment horizontal="center" vertical="center"/>
    </xf>
    <xf numFmtId="0" fontId="83" fillId="10" borderId="20" xfId="0" applyFont="1" applyFill="1" applyBorder="1"/>
    <xf numFmtId="0" fontId="83" fillId="10" borderId="28" xfId="0" applyFont="1" applyFill="1" applyBorder="1"/>
    <xf numFmtId="14" fontId="8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3" fillId="16" borderId="12" xfId="0" applyFont="1" applyFill="1" applyBorder="1" applyAlignment="1">
      <alignment horizontal="center"/>
    </xf>
    <xf numFmtId="0" fontId="83" fillId="10" borderId="7" xfId="0" applyFont="1" applyFill="1" applyBorder="1" applyAlignment="1">
      <alignment horizontal="center"/>
    </xf>
    <xf numFmtId="9" fontId="88" fillId="0" borderId="12" xfId="0" applyNumberFormat="1" applyFont="1" applyBorder="1" applyAlignment="1">
      <alignment horizontal="center"/>
    </xf>
    <xf numFmtId="0" fontId="83" fillId="17" borderId="12" xfId="0" applyFont="1" applyFill="1" applyBorder="1" applyAlignment="1">
      <alignment horizontal="center"/>
    </xf>
    <xf numFmtId="0" fontId="8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3" fillId="3" borderId="0" xfId="0" applyFont="1" applyFill="1" applyAlignment="1">
      <alignment horizontal="center"/>
    </xf>
    <xf numFmtId="0" fontId="8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8" fillId="18" borderId="12" xfId="0" applyNumberFormat="1" applyFont="1" applyFill="1" applyBorder="1" applyAlignment="1">
      <alignment horizontal="center"/>
    </xf>
    <xf numFmtId="2" fontId="9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3" fillId="3" borderId="20" xfId="0" applyNumberFormat="1" applyFont="1" applyFill="1" applyBorder="1" applyAlignment="1">
      <alignment horizontal="right"/>
    </xf>
    <xf numFmtId="0" fontId="98" fillId="18" borderId="7" xfId="0" applyFont="1" applyFill="1" applyBorder="1"/>
    <xf numFmtId="0" fontId="98" fillId="18" borderId="29" xfId="0" applyFont="1" applyFill="1" applyBorder="1"/>
    <xf numFmtId="174" fontId="98" fillId="18" borderId="29" xfId="0" applyNumberFormat="1" applyFont="1" applyFill="1" applyBorder="1" applyAlignment="1">
      <alignment horizontal="center"/>
    </xf>
    <xf numFmtId="0" fontId="99" fillId="2" borderId="0" xfId="0" applyFont="1" applyFill="1"/>
    <xf numFmtId="176" fontId="88" fillId="0" borderId="48" xfId="0" applyNumberFormat="1" applyFont="1" applyBorder="1" applyAlignment="1">
      <alignment horizontal="center"/>
    </xf>
    <xf numFmtId="0" fontId="82" fillId="2" borderId="7" xfId="0" applyFont="1" applyFill="1" applyBorder="1" applyAlignment="1">
      <alignment horizontal="center" vertical="center"/>
    </xf>
    <xf numFmtId="0" fontId="83" fillId="18" borderId="12" xfId="0" applyFont="1" applyFill="1" applyBorder="1" applyAlignment="1">
      <alignment horizontal="center"/>
    </xf>
    <xf numFmtId="0" fontId="8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3" fillId="2" borderId="0" xfId="0" applyFont="1" applyFill="1" applyAlignment="1">
      <alignment horizontal="center"/>
    </xf>
    <xf numFmtId="0" fontId="8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0" fillId="2" borderId="28" xfId="0" applyFont="1" applyFill="1" applyBorder="1" applyAlignment="1">
      <alignment horizontal="center" vertical="center"/>
    </xf>
    <xf numFmtId="9" fontId="98" fillId="18" borderId="29" xfId="2" applyFont="1" applyFill="1" applyBorder="1" applyAlignment="1">
      <alignment horizontal="center"/>
    </xf>
    <xf numFmtId="0" fontId="83" fillId="20" borderId="12" xfId="0" applyFont="1" applyFill="1" applyBorder="1"/>
    <xf numFmtId="9" fontId="88" fillId="0" borderId="0" xfId="2" applyFont="1" applyAlignment="1">
      <alignment horizontal="center"/>
    </xf>
    <xf numFmtId="0" fontId="83" fillId="0" borderId="12" xfId="0" applyFont="1" applyBorder="1"/>
    <xf numFmtId="176" fontId="0" fillId="0" borderId="12" xfId="0" applyNumberFormat="1" applyBorder="1"/>
    <xf numFmtId="1" fontId="101" fillId="2" borderId="12" xfId="0" applyNumberFormat="1" applyFont="1" applyFill="1" applyBorder="1"/>
    <xf numFmtId="9" fontId="101" fillId="2" borderId="12" xfId="0" applyNumberFormat="1" applyFont="1" applyFill="1" applyBorder="1"/>
    <xf numFmtId="0" fontId="93" fillId="2" borderId="12" xfId="0" applyFont="1" applyFill="1" applyBorder="1"/>
    <xf numFmtId="1" fontId="90" fillId="3" borderId="45" xfId="0" applyNumberFormat="1" applyFont="1" applyFill="1" applyBorder="1" applyAlignment="1">
      <alignment horizontal="center" vertical="center" wrapText="1"/>
    </xf>
    <xf numFmtId="43" fontId="90" fillId="3" borderId="45" xfId="1" applyFont="1" applyFill="1" applyBorder="1" applyAlignment="1">
      <alignment horizontal="center" vertical="center" wrapText="1"/>
    </xf>
    <xf numFmtId="0" fontId="8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9" fillId="2" borderId="28" xfId="0" applyFont="1" applyFill="1" applyBorder="1" applyAlignment="1">
      <alignment vertical="center"/>
    </xf>
    <xf numFmtId="20" fontId="7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8" fillId="8" borderId="20" xfId="0" applyFont="1" applyFill="1" applyBorder="1" applyAlignment="1">
      <alignment horizontal="center" vertical="center"/>
    </xf>
    <xf numFmtId="14" fontId="88" fillId="7" borderId="12" xfId="0" applyNumberFormat="1" applyFont="1" applyFill="1" applyBorder="1" applyAlignment="1">
      <alignment horizontal="center" vertical="center"/>
    </xf>
    <xf numFmtId="20" fontId="76" fillId="2" borderId="28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9" fontId="88" fillId="8" borderId="12" xfId="0" applyNumberFormat="1" applyFont="1" applyFill="1" applyBorder="1" applyAlignment="1">
      <alignment horizontal="center" vertical="center"/>
    </xf>
    <xf numFmtId="1" fontId="8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14" fontId="8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8" fillId="2" borderId="20" xfId="0" applyFont="1" applyFill="1" applyBorder="1" applyAlignment="1">
      <alignment horizontal="center" vertical="center"/>
    </xf>
    <xf numFmtId="14" fontId="88" fillId="7" borderId="28" xfId="0" applyNumberFormat="1" applyFont="1" applyFill="1" applyBorder="1" applyAlignment="1">
      <alignment vertical="center"/>
    </xf>
    <xf numFmtId="0" fontId="89" fillId="2" borderId="28" xfId="0" applyFont="1" applyFill="1" applyBorder="1"/>
    <xf numFmtId="0" fontId="88" fillId="2" borderId="28" xfId="0" applyFont="1" applyFill="1" applyBorder="1" applyAlignment="1">
      <alignment horizontal="center" vertical="center"/>
    </xf>
    <xf numFmtId="14" fontId="88" fillId="7" borderId="10" xfId="0" applyNumberFormat="1" applyFont="1" applyFill="1" applyBorder="1" applyAlignment="1">
      <alignment vertical="center"/>
    </xf>
    <xf numFmtId="14" fontId="88" fillId="7" borderId="10" xfId="0" applyNumberFormat="1" applyFont="1" applyFill="1" applyBorder="1" applyAlignment="1">
      <alignment horizontal="center" vertical="center"/>
    </xf>
    <xf numFmtId="14" fontId="88" fillId="2" borderId="10" xfId="0" applyNumberFormat="1" applyFont="1" applyFill="1" applyBorder="1" applyAlignment="1">
      <alignment vertical="center"/>
    </xf>
    <xf numFmtId="14" fontId="88" fillId="2" borderId="10" xfId="0" applyNumberFormat="1" applyFont="1" applyFill="1" applyBorder="1" applyAlignment="1">
      <alignment horizontal="center" vertical="center"/>
    </xf>
    <xf numFmtId="0" fontId="88" fillId="2" borderId="10" xfId="0" applyFont="1" applyFill="1" applyBorder="1" applyAlignment="1">
      <alignment horizontal="center" vertical="center"/>
    </xf>
    <xf numFmtId="1" fontId="88" fillId="8" borderId="10" xfId="0" applyNumberFormat="1" applyFont="1" applyFill="1" applyBorder="1" applyAlignment="1">
      <alignment horizontal="center" vertical="center"/>
    </xf>
    <xf numFmtId="0" fontId="88" fillId="8" borderId="10" xfId="0" applyFont="1" applyFill="1" applyBorder="1" applyAlignment="1">
      <alignment horizontal="center" vertical="center"/>
    </xf>
    <xf numFmtId="14" fontId="88" fillId="7" borderId="17" xfId="0" applyNumberFormat="1" applyFont="1" applyFill="1" applyBorder="1" applyAlignment="1">
      <alignment vertical="center"/>
    </xf>
    <xf numFmtId="14" fontId="88" fillId="2" borderId="17" xfId="0" applyNumberFormat="1" applyFont="1" applyFill="1" applyBorder="1" applyAlignment="1">
      <alignment vertical="center"/>
    </xf>
    <xf numFmtId="14" fontId="88" fillId="2" borderId="17" xfId="0" applyNumberFormat="1" applyFont="1" applyFill="1" applyBorder="1" applyAlignment="1">
      <alignment horizontal="center" vertical="center"/>
    </xf>
    <xf numFmtId="0" fontId="8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8" fillId="9" borderId="28" xfId="0" applyFont="1" applyFill="1" applyBorder="1" applyAlignment="1">
      <alignment horizontal="center" vertical="center"/>
    </xf>
    <xf numFmtId="0" fontId="89" fillId="2" borderId="10" xfId="0" applyFont="1" applyFill="1" applyBorder="1"/>
    <xf numFmtId="0" fontId="89" fillId="2" borderId="17" xfId="0" applyFont="1" applyFill="1" applyBorder="1"/>
    <xf numFmtId="0" fontId="0" fillId="2" borderId="17" xfId="0" applyFill="1" applyBorder="1"/>
    <xf numFmtId="0" fontId="88" fillId="9" borderId="17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9" fontId="88" fillId="2" borderId="12" xfId="0" applyNumberFormat="1" applyFont="1" applyFill="1" applyBorder="1" applyAlignment="1">
      <alignment horizontal="center" vertical="center"/>
    </xf>
    <xf numFmtId="1" fontId="88" fillId="8" borderId="28" xfId="0" applyNumberFormat="1" applyFont="1" applyFill="1" applyBorder="1" applyAlignment="1">
      <alignment horizontal="center" vertical="center"/>
    </xf>
    <xf numFmtId="0" fontId="83" fillId="18" borderId="28" xfId="0" applyFont="1" applyFill="1" applyBorder="1" applyAlignment="1">
      <alignment horizontal="center" vertical="center"/>
    </xf>
    <xf numFmtId="0" fontId="8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8" fillId="0" borderId="47" xfId="0" applyNumberFormat="1" applyFont="1" applyBorder="1" applyAlignment="1">
      <alignment horizontal="center"/>
    </xf>
    <xf numFmtId="1" fontId="88" fillId="0" borderId="12" xfId="0" applyNumberFormat="1" applyFont="1" applyBorder="1" applyAlignment="1">
      <alignment horizontal="center"/>
    </xf>
    <xf numFmtId="174" fontId="88" fillId="0" borderId="12" xfId="0" applyNumberFormat="1" applyFont="1" applyBorder="1" applyAlignment="1">
      <alignment horizontal="center"/>
    </xf>
    <xf numFmtId="0" fontId="8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8" fillId="2" borderId="12" xfId="0" applyFont="1" applyFill="1" applyBorder="1" applyAlignment="1">
      <alignment vertical="top" wrapText="1"/>
    </xf>
    <xf numFmtId="0" fontId="8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3" fillId="18" borderId="30" xfId="0" applyFont="1" applyFill="1" applyBorder="1" applyAlignment="1">
      <alignment horizontal="center" vertical="center"/>
    </xf>
    <xf numFmtId="0" fontId="8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3" fillId="20" borderId="12" xfId="0" applyFont="1" applyFill="1" applyBorder="1" applyAlignment="1">
      <alignment horizontal="center"/>
    </xf>
    <xf numFmtId="0" fontId="83" fillId="18" borderId="20" xfId="0" applyFont="1" applyFill="1" applyBorder="1" applyAlignment="1">
      <alignment horizontal="center" vertical="center"/>
    </xf>
    <xf numFmtId="0" fontId="83" fillId="18" borderId="21" xfId="0" applyFont="1" applyFill="1" applyBorder="1" applyAlignment="1">
      <alignment horizontal="center" vertical="center"/>
    </xf>
    <xf numFmtId="43" fontId="8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6" fillId="2" borderId="12" xfId="0" applyNumberFormat="1" applyFont="1" applyFill="1" applyBorder="1" applyAlignment="1">
      <alignment horizontal="center" vertical="center"/>
    </xf>
    <xf numFmtId="0" fontId="83" fillId="18" borderId="30" xfId="0" applyFont="1" applyFill="1" applyBorder="1" applyAlignment="1">
      <alignment horizontal="center"/>
    </xf>
    <xf numFmtId="0" fontId="83" fillId="18" borderId="32" xfId="0" applyFont="1" applyFill="1" applyBorder="1" applyAlignment="1">
      <alignment horizontal="center"/>
    </xf>
    <xf numFmtId="0" fontId="8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3" fillId="4" borderId="12" xfId="0" applyFont="1" applyFill="1" applyBorder="1"/>
    <xf numFmtId="0" fontId="83" fillId="18" borderId="12" xfId="0" applyFont="1" applyFill="1" applyBorder="1"/>
    <xf numFmtId="0" fontId="83" fillId="18" borderId="12" xfId="0" applyFont="1" applyFill="1" applyBorder="1" applyAlignment="1">
      <alignment horizontal="left"/>
    </xf>
    <xf numFmtId="0" fontId="64" fillId="2" borderId="12" xfId="0" applyFont="1" applyFill="1" applyBorder="1"/>
    <xf numFmtId="0" fontId="82" fillId="3" borderId="0" xfId="0" applyFont="1" applyFill="1" applyAlignment="1">
      <alignment horizontal="center"/>
    </xf>
    <xf numFmtId="0" fontId="82" fillId="3" borderId="19" xfId="0" applyFont="1" applyFill="1" applyBorder="1" applyAlignment="1">
      <alignment horizontal="center"/>
    </xf>
    <xf numFmtId="0" fontId="8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4" fillId="2" borderId="28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8" fillId="3" borderId="19" xfId="0" applyFont="1" applyFill="1" applyBorder="1" applyAlignment="1">
      <alignment horizontal="center" vertical="center"/>
    </xf>
    <xf numFmtId="165" fontId="98" fillId="3" borderId="21" xfId="1" applyNumberFormat="1" applyFont="1" applyFill="1" applyBorder="1" applyAlignment="1">
      <alignment horizontal="center" vertical="center"/>
    </xf>
    <xf numFmtId="166" fontId="98" fillId="3" borderId="21" xfId="0" applyNumberFormat="1" applyFont="1" applyFill="1" applyBorder="1" applyAlignment="1">
      <alignment horizontal="center" vertical="center"/>
    </xf>
    <xf numFmtId="9" fontId="98" fillId="3" borderId="21" xfId="2" applyFont="1" applyFill="1" applyBorder="1" applyAlignment="1">
      <alignment horizontal="center" vertical="center"/>
    </xf>
    <xf numFmtId="9" fontId="98" fillId="3" borderId="22" xfId="2" applyFont="1" applyFill="1" applyBorder="1" applyAlignment="1">
      <alignment horizontal="center" vertical="center" wrapText="1"/>
    </xf>
    <xf numFmtId="14" fontId="103" fillId="2" borderId="9" xfId="0" applyNumberFormat="1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vertical="center"/>
    </xf>
    <xf numFmtId="165" fontId="103" fillId="2" borderId="10" xfId="1" applyNumberFormat="1" applyFont="1" applyFill="1" applyBorder="1" applyAlignment="1">
      <alignment horizontal="center" vertical="center"/>
    </xf>
    <xf numFmtId="166" fontId="103" fillId="2" borderId="10" xfId="0" applyNumberFormat="1" applyFont="1" applyFill="1" applyBorder="1" applyAlignment="1">
      <alignment horizontal="center" vertical="center"/>
    </xf>
    <xf numFmtId="9" fontId="103" fillId="2" borderId="10" xfId="2" applyFont="1" applyFill="1" applyBorder="1" applyAlignment="1">
      <alignment horizontal="center" vertical="center"/>
    </xf>
    <xf numFmtId="167" fontId="103" fillId="2" borderId="11" xfId="1" applyNumberFormat="1" applyFont="1" applyFill="1" applyBorder="1" applyAlignment="1">
      <alignment horizontal="center" vertical="center"/>
    </xf>
    <xf numFmtId="0" fontId="103" fillId="2" borderId="11" xfId="0" applyFont="1" applyFill="1" applyBorder="1" applyAlignment="1">
      <alignment horizontal="center" vertical="center"/>
    </xf>
    <xf numFmtId="1" fontId="103" fillId="2" borderId="11" xfId="0" applyNumberFormat="1" applyFont="1" applyFill="1" applyBorder="1" applyAlignment="1">
      <alignment horizontal="center" vertical="center"/>
    </xf>
    <xf numFmtId="165" fontId="103" fillId="2" borderId="10" xfId="0" applyNumberFormat="1" applyFont="1" applyFill="1" applyBorder="1" applyAlignment="1">
      <alignment horizontal="center" vertical="center"/>
    </xf>
    <xf numFmtId="0" fontId="103" fillId="2" borderId="12" xfId="0" applyFont="1" applyFill="1" applyBorder="1"/>
    <xf numFmtId="14" fontId="103" fillId="2" borderId="14" xfId="0" applyNumberFormat="1" applyFont="1" applyFill="1" applyBorder="1" applyAlignment="1">
      <alignment horizontal="center" vertical="center"/>
    </xf>
    <xf numFmtId="0" fontId="103" fillId="2" borderId="15" xfId="0" applyFont="1" applyFill="1" applyBorder="1" applyAlignment="1">
      <alignment vertical="center"/>
    </xf>
    <xf numFmtId="165" fontId="103" fillId="2" borderId="15" xfId="1" applyNumberFormat="1" applyFont="1" applyFill="1" applyBorder="1" applyAlignment="1">
      <alignment horizontal="center" vertical="center"/>
    </xf>
    <xf numFmtId="166" fontId="103" fillId="2" borderId="15" xfId="0" applyNumberFormat="1" applyFont="1" applyFill="1" applyBorder="1" applyAlignment="1">
      <alignment horizontal="center" vertical="center"/>
    </xf>
    <xf numFmtId="9" fontId="103" fillId="2" borderId="15" xfId="2" applyFont="1" applyFill="1" applyBorder="1" applyAlignment="1">
      <alignment horizontal="center" vertical="center"/>
    </xf>
    <xf numFmtId="165" fontId="103" fillId="2" borderId="17" xfId="1" applyNumberFormat="1" applyFont="1" applyFill="1" applyBorder="1" applyAlignment="1">
      <alignment horizontal="center" vertical="center"/>
    </xf>
    <xf numFmtId="167" fontId="103" fillId="2" borderId="16" xfId="1" applyNumberFormat="1" applyFont="1" applyFill="1" applyBorder="1" applyAlignment="1">
      <alignment horizontal="center" vertical="center"/>
    </xf>
    <xf numFmtId="165" fontId="103" fillId="2" borderId="12" xfId="0" applyNumberFormat="1" applyFont="1" applyFill="1" applyBorder="1"/>
    <xf numFmtId="168" fontId="103" fillId="2" borderId="12" xfId="0" applyNumberFormat="1" applyFont="1" applyFill="1" applyBorder="1"/>
    <xf numFmtId="165" fontId="103" fillId="2" borderId="15" xfId="0" applyNumberFormat="1" applyFont="1" applyFill="1" applyBorder="1" applyAlignment="1">
      <alignment horizontal="center" vertical="center"/>
    </xf>
    <xf numFmtId="165" fontId="103" fillId="2" borderId="17" xfId="0" applyNumberFormat="1" applyFont="1" applyFill="1" applyBorder="1" applyAlignment="1">
      <alignment horizontal="center" vertical="center"/>
    </xf>
    <xf numFmtId="167" fontId="103" fillId="2" borderId="12" xfId="0" applyNumberFormat="1" applyFont="1" applyFill="1" applyBorder="1"/>
    <xf numFmtId="0" fontId="103" fillId="2" borderId="17" xfId="0" applyFont="1" applyFill="1" applyBorder="1" applyAlignment="1">
      <alignment vertical="center"/>
    </xf>
    <xf numFmtId="1" fontId="103" fillId="2" borderId="16" xfId="0" applyNumberFormat="1" applyFont="1" applyFill="1" applyBorder="1" applyAlignment="1">
      <alignment horizontal="center" vertical="center"/>
    </xf>
    <xf numFmtId="14" fontId="103" fillId="2" borderId="19" xfId="0" applyNumberFormat="1" applyFont="1" applyFill="1" applyBorder="1" applyAlignment="1">
      <alignment horizontal="center" vertical="center"/>
    </xf>
    <xf numFmtId="0" fontId="103" fillId="2" borderId="20" xfId="0" applyFont="1" applyFill="1" applyBorder="1" applyAlignment="1">
      <alignment vertical="center"/>
    </xf>
    <xf numFmtId="165" fontId="103" fillId="2" borderId="20" xfId="1" applyNumberFormat="1" applyFont="1" applyFill="1" applyBorder="1" applyAlignment="1">
      <alignment horizontal="center" vertical="center"/>
    </xf>
    <xf numFmtId="166" fontId="103" fillId="2" borderId="21" xfId="0" applyNumberFormat="1" applyFont="1" applyFill="1" applyBorder="1" applyAlignment="1">
      <alignment horizontal="center" vertical="center"/>
    </xf>
    <xf numFmtId="9" fontId="103" fillId="2" borderId="21" xfId="2" applyFont="1" applyFill="1" applyBorder="1" applyAlignment="1">
      <alignment horizontal="center" vertical="center"/>
    </xf>
    <xf numFmtId="167" fontId="103" fillId="2" borderId="22" xfId="1" applyNumberFormat="1" applyFont="1" applyFill="1" applyBorder="1" applyAlignment="1">
      <alignment horizontal="center" vertical="center"/>
    </xf>
    <xf numFmtId="1" fontId="103" fillId="2" borderId="22" xfId="0" applyNumberFormat="1" applyFont="1" applyFill="1" applyBorder="1" applyAlignment="1">
      <alignment horizontal="center" vertical="center"/>
    </xf>
    <xf numFmtId="165" fontId="103" fillId="2" borderId="21" xfId="0" applyNumberFormat="1" applyFont="1" applyFill="1" applyBorder="1" applyAlignment="1">
      <alignment horizontal="center" vertical="center"/>
    </xf>
    <xf numFmtId="165" fontId="103" fillId="2" borderId="20" xfId="0" applyNumberFormat="1" applyFont="1" applyFill="1" applyBorder="1" applyAlignment="1">
      <alignment horizontal="center" vertical="center"/>
    </xf>
    <xf numFmtId="165" fontId="103" fillId="2" borderId="23" xfId="0" applyNumberFormat="1" applyFont="1" applyFill="1" applyBorder="1" applyAlignment="1">
      <alignment horizontal="center" vertical="center"/>
    </xf>
    <xf numFmtId="165" fontId="103" fillId="2" borderId="25" xfId="0" applyNumberFormat="1" applyFont="1" applyFill="1" applyBorder="1" applyAlignment="1">
      <alignment horizontal="center" vertical="center"/>
    </xf>
    <xf numFmtId="0" fontId="103" fillId="2" borderId="16" xfId="0" applyFont="1" applyFill="1" applyBorder="1" applyAlignment="1">
      <alignment horizontal="center" vertical="center"/>
    </xf>
    <xf numFmtId="0" fontId="103" fillId="2" borderId="27" xfId="0" applyFont="1" applyFill="1" applyBorder="1" applyAlignment="1">
      <alignment vertical="center"/>
    </xf>
    <xf numFmtId="165" fontId="103" fillId="2" borderId="27" xfId="1" applyNumberFormat="1" applyFont="1" applyFill="1" applyBorder="1" applyAlignment="1">
      <alignment horizontal="center" vertical="center"/>
    </xf>
    <xf numFmtId="166" fontId="103" fillId="2" borderId="27" xfId="0" applyNumberFormat="1" applyFont="1" applyFill="1" applyBorder="1" applyAlignment="1">
      <alignment horizontal="center" vertical="center"/>
    </xf>
    <xf numFmtId="9" fontId="103" fillId="2" borderId="27" xfId="2" applyFont="1" applyFill="1" applyBorder="1" applyAlignment="1">
      <alignment horizontal="center" vertical="center"/>
    </xf>
    <xf numFmtId="165" fontId="103" fillId="2" borderId="15" xfId="0" applyNumberFormat="1" applyFont="1" applyFill="1" applyBorder="1" applyAlignment="1">
      <alignment vertical="center"/>
    </xf>
    <xf numFmtId="165" fontId="103" fillId="2" borderId="17" xfId="0" applyNumberFormat="1" applyFont="1" applyFill="1" applyBorder="1" applyAlignment="1">
      <alignment vertical="center"/>
    </xf>
    <xf numFmtId="175" fontId="103" fillId="2" borderId="27" xfId="2" applyNumberFormat="1" applyFont="1" applyFill="1" applyBorder="1" applyAlignment="1">
      <alignment horizontal="center" vertical="center"/>
    </xf>
    <xf numFmtId="14" fontId="98" fillId="4" borderId="19" xfId="0" applyNumberFormat="1" applyFont="1" applyFill="1" applyBorder="1" applyAlignment="1">
      <alignment horizontal="center" vertical="center"/>
    </xf>
    <xf numFmtId="0" fontId="98" fillId="4" borderId="21" xfId="0" applyFont="1" applyFill="1" applyBorder="1" applyAlignment="1">
      <alignment vertical="center"/>
    </xf>
    <xf numFmtId="165" fontId="98" fillId="4" borderId="21" xfId="1" applyNumberFormat="1" applyFont="1" applyFill="1" applyBorder="1" applyAlignment="1">
      <alignment horizontal="center" vertical="center"/>
    </xf>
    <xf numFmtId="166" fontId="98" fillId="4" borderId="21" xfId="0" applyNumberFormat="1" applyFont="1" applyFill="1" applyBorder="1" applyAlignment="1">
      <alignment horizontal="center" vertical="center"/>
    </xf>
    <xf numFmtId="9" fontId="98" fillId="4" borderId="21" xfId="2" applyFont="1" applyFill="1" applyBorder="1" applyAlignment="1">
      <alignment horizontal="center" vertical="center"/>
    </xf>
    <xf numFmtId="167" fontId="98" fillId="4" borderId="22" xfId="1" applyNumberFormat="1" applyFont="1" applyFill="1" applyBorder="1" applyAlignment="1">
      <alignment horizontal="center" vertical="center"/>
    </xf>
    <xf numFmtId="0" fontId="98" fillId="4" borderId="22" xfId="0" applyFont="1" applyFill="1" applyBorder="1" applyAlignment="1">
      <alignment horizontal="center" vertical="center"/>
    </xf>
    <xf numFmtId="1" fontId="98" fillId="4" borderId="22" xfId="0" applyNumberFormat="1" applyFont="1" applyFill="1" applyBorder="1" applyAlignment="1">
      <alignment horizontal="center" vertical="center"/>
    </xf>
    <xf numFmtId="165" fontId="98" fillId="4" borderId="21" xfId="0" applyNumberFormat="1" applyFont="1" applyFill="1" applyBorder="1" applyAlignment="1">
      <alignment horizontal="center" vertical="center"/>
    </xf>
    <xf numFmtId="0" fontId="98" fillId="4" borderId="17" xfId="0" applyFont="1" applyFill="1" applyBorder="1"/>
    <xf numFmtId="165" fontId="98" fillId="4" borderId="17" xfId="1" applyNumberFormat="1" applyFont="1" applyFill="1" applyBorder="1" applyAlignment="1">
      <alignment horizontal="center" vertical="center"/>
    </xf>
    <xf numFmtId="9" fontId="98" fillId="4" borderId="17" xfId="2" applyFont="1" applyFill="1" applyBorder="1" applyAlignment="1">
      <alignment horizontal="center" vertical="center"/>
    </xf>
    <xf numFmtId="1" fontId="98" fillId="4" borderId="17" xfId="0" applyNumberFormat="1" applyFont="1" applyFill="1" applyBorder="1" applyAlignment="1">
      <alignment horizontal="center"/>
    </xf>
    <xf numFmtId="165" fontId="9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8" fillId="4" borderId="54" xfId="0" applyNumberFormat="1" applyFont="1" applyFill="1" applyBorder="1" applyAlignment="1">
      <alignment vertical="center"/>
    </xf>
    <xf numFmtId="0" fontId="98" fillId="3" borderId="22" xfId="0" applyFont="1" applyFill="1" applyBorder="1" applyAlignment="1">
      <alignment horizontal="center" vertical="center" wrapText="1"/>
    </xf>
    <xf numFmtId="0" fontId="98" fillId="3" borderId="21" xfId="0" applyFont="1" applyFill="1" applyBorder="1" applyAlignment="1">
      <alignment horizontal="center" vertical="center"/>
    </xf>
    <xf numFmtId="0" fontId="98" fillId="3" borderId="21" xfId="0" applyFont="1" applyFill="1" applyBorder="1" applyAlignment="1">
      <alignment horizontal="center" vertical="center" wrapText="1"/>
    </xf>
    <xf numFmtId="0" fontId="98" fillId="20" borderId="28" xfId="0" applyFont="1" applyFill="1" applyBorder="1" applyAlignment="1">
      <alignment horizontal="center" vertical="center"/>
    </xf>
    <xf numFmtId="14" fontId="103" fillId="17" borderId="9" xfId="0" applyNumberFormat="1" applyFont="1" applyFill="1" applyBorder="1" applyAlignment="1">
      <alignment horizontal="center" vertical="center"/>
    </xf>
    <xf numFmtId="0" fontId="103" fillId="17" borderId="10" xfId="0" applyFont="1" applyFill="1" applyBorder="1" applyAlignment="1">
      <alignment vertical="center"/>
    </xf>
    <xf numFmtId="165" fontId="103" fillId="17" borderId="10" xfId="1" applyNumberFormat="1" applyFont="1" applyFill="1" applyBorder="1" applyAlignment="1">
      <alignment horizontal="center" vertical="center"/>
    </xf>
    <xf numFmtId="166" fontId="103" fillId="17" borderId="10" xfId="0" applyNumberFormat="1" applyFont="1" applyFill="1" applyBorder="1" applyAlignment="1">
      <alignment horizontal="center" vertical="center"/>
    </xf>
    <xf numFmtId="9" fontId="103" fillId="17" borderId="10" xfId="2" applyFont="1" applyFill="1" applyBorder="1" applyAlignment="1">
      <alignment horizontal="center" vertical="center"/>
    </xf>
    <xf numFmtId="167" fontId="103" fillId="17" borderId="11" xfId="1" applyNumberFormat="1" applyFont="1" applyFill="1" applyBorder="1" applyAlignment="1">
      <alignment horizontal="center" vertical="center"/>
    </xf>
    <xf numFmtId="1" fontId="103" fillId="17" borderId="11" xfId="0" applyNumberFormat="1" applyFont="1" applyFill="1" applyBorder="1" applyAlignment="1">
      <alignment horizontal="center" vertical="center"/>
    </xf>
    <xf numFmtId="165" fontId="103" fillId="17" borderId="10" xfId="0" applyNumberFormat="1" applyFont="1" applyFill="1" applyBorder="1" applyAlignment="1">
      <alignment horizontal="center" vertical="center"/>
    </xf>
    <xf numFmtId="0" fontId="103" fillId="17" borderId="12" xfId="0" applyFont="1" applyFill="1" applyBorder="1"/>
    <xf numFmtId="14" fontId="103" fillId="17" borderId="14" xfId="0" applyNumberFormat="1" applyFont="1" applyFill="1" applyBorder="1" applyAlignment="1">
      <alignment horizontal="center" vertical="center"/>
    </xf>
    <xf numFmtId="0" fontId="103" fillId="17" borderId="15" xfId="0" applyFont="1" applyFill="1" applyBorder="1" applyAlignment="1">
      <alignment vertical="center"/>
    </xf>
    <xf numFmtId="165" fontId="103" fillId="17" borderId="17" xfId="1" applyNumberFormat="1" applyFont="1" applyFill="1" applyBorder="1" applyAlignment="1">
      <alignment horizontal="center" vertical="center"/>
    </xf>
    <xf numFmtId="9" fontId="103" fillId="17" borderId="15" xfId="2" applyFont="1" applyFill="1" applyBorder="1" applyAlignment="1">
      <alignment horizontal="center" vertical="center"/>
    </xf>
    <xf numFmtId="167" fontId="103" fillId="17" borderId="16" xfId="1" applyNumberFormat="1" applyFont="1" applyFill="1" applyBorder="1" applyAlignment="1">
      <alignment horizontal="center" vertical="center"/>
    </xf>
    <xf numFmtId="165" fontId="103" fillId="17" borderId="15" xfId="0" applyNumberFormat="1" applyFont="1" applyFill="1" applyBorder="1" applyAlignment="1">
      <alignment horizontal="center" vertical="center"/>
    </xf>
    <xf numFmtId="165" fontId="103" fillId="17" borderId="12" xfId="0" applyNumberFormat="1" applyFont="1" applyFill="1" applyBorder="1"/>
    <xf numFmtId="165" fontId="103" fillId="17" borderId="17" xfId="0" applyNumberFormat="1" applyFont="1" applyFill="1" applyBorder="1" applyAlignment="1">
      <alignment horizontal="center" vertical="center"/>
    </xf>
    <xf numFmtId="0" fontId="103" fillId="17" borderId="17" xfId="0" applyFont="1" applyFill="1" applyBorder="1" applyAlignment="1">
      <alignment vertical="center"/>
    </xf>
    <xf numFmtId="1" fontId="10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3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0" fillId="2" borderId="7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left" vertical="center"/>
    </xf>
    <xf numFmtId="0" fontId="103" fillId="2" borderId="12" xfId="0" applyFont="1" applyFill="1" applyBorder="1" applyAlignment="1">
      <alignment wrapText="1"/>
    </xf>
    <xf numFmtId="0" fontId="5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3" fillId="4" borderId="12" xfId="0" applyFont="1" applyFill="1" applyBorder="1" applyAlignment="1">
      <alignment horizontal="center" wrapText="1"/>
    </xf>
    <xf numFmtId="166" fontId="104" fillId="17" borderId="10" xfId="0" applyNumberFormat="1" applyFont="1" applyFill="1" applyBorder="1" applyAlignment="1">
      <alignment horizontal="center" vertical="center"/>
    </xf>
    <xf numFmtId="166" fontId="104" fillId="2" borderId="21" xfId="0" applyNumberFormat="1" applyFont="1" applyFill="1" applyBorder="1" applyAlignment="1">
      <alignment horizontal="center" vertical="center"/>
    </xf>
    <xf numFmtId="166" fontId="104" fillId="17" borderId="15" xfId="0" applyNumberFormat="1" applyFont="1" applyFill="1" applyBorder="1" applyAlignment="1">
      <alignment horizontal="center" vertical="center"/>
    </xf>
    <xf numFmtId="166" fontId="104" fillId="2" borderId="15" xfId="0" applyNumberFormat="1" applyFont="1" applyFill="1" applyBorder="1" applyAlignment="1">
      <alignment horizontal="center" vertical="center"/>
    </xf>
    <xf numFmtId="166" fontId="104" fillId="2" borderId="10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8" fillId="18" borderId="12" xfId="0" applyFont="1" applyFill="1" applyBorder="1" applyAlignment="1">
      <alignment horizontal="center"/>
    </xf>
    <xf numFmtId="0" fontId="8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3" fillId="18" borderId="12" xfId="0" applyNumberFormat="1" applyFont="1" applyFill="1" applyBorder="1" applyAlignment="1">
      <alignment horizontal="center" wrapText="1"/>
    </xf>
    <xf numFmtId="14" fontId="57" fillId="2" borderId="12" xfId="0" applyNumberFormat="1" applyFont="1" applyFill="1" applyBorder="1"/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173" fontId="88" fillId="0" borderId="47" xfId="0" applyNumberFormat="1" applyFont="1" applyBorder="1" applyAlignment="1">
      <alignment horizontal="center"/>
    </xf>
    <xf numFmtId="1" fontId="88" fillId="0" borderId="20" xfId="0" applyNumberFormat="1" applyFont="1" applyBorder="1" applyAlignment="1">
      <alignment horizontal="center"/>
    </xf>
    <xf numFmtId="0" fontId="88" fillId="0" borderId="20" xfId="0" applyFont="1" applyBorder="1"/>
    <xf numFmtId="9" fontId="88" fillId="0" borderId="20" xfId="0" applyNumberFormat="1" applyFont="1" applyBorder="1" applyAlignment="1">
      <alignment horizontal="center"/>
    </xf>
    <xf numFmtId="0" fontId="88" fillId="0" borderId="20" xfId="0" applyFont="1" applyBorder="1" applyAlignment="1">
      <alignment horizontal="center"/>
    </xf>
    <xf numFmtId="173" fontId="88" fillId="14" borderId="12" xfId="0" applyNumberFormat="1" applyFont="1" applyFill="1" applyBorder="1" applyAlignment="1">
      <alignment horizontal="center"/>
    </xf>
    <xf numFmtId="43" fontId="88" fillId="14" borderId="12" xfId="1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/>
    </xf>
    <xf numFmtId="0" fontId="88" fillId="14" borderId="12" xfId="0" applyFont="1" applyFill="1" applyBorder="1"/>
    <xf numFmtId="1" fontId="88" fillId="21" borderId="12" xfId="0" applyNumberFormat="1" applyFont="1" applyFill="1" applyBorder="1" applyAlignment="1">
      <alignment horizontal="center"/>
    </xf>
    <xf numFmtId="2" fontId="88" fillId="21" borderId="12" xfId="0" applyNumberFormat="1" applyFont="1" applyFill="1" applyBorder="1" applyAlignment="1">
      <alignment horizontal="center"/>
    </xf>
    <xf numFmtId="176" fontId="88" fillId="21" borderId="12" xfId="0" applyNumberFormat="1" applyFont="1" applyFill="1" applyBorder="1" applyAlignment="1">
      <alignment horizontal="center"/>
    </xf>
    <xf numFmtId="9" fontId="88" fillId="21" borderId="12" xfId="0" applyNumberFormat="1" applyFont="1" applyFill="1" applyBorder="1" applyAlignment="1">
      <alignment horizontal="center"/>
    </xf>
    <xf numFmtId="0" fontId="88" fillId="14" borderId="12" xfId="0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 wrapText="1"/>
    </xf>
    <xf numFmtId="43" fontId="88" fillId="21" borderId="12" xfId="1" applyFont="1" applyFill="1" applyBorder="1" applyAlignment="1">
      <alignment horizontal="center"/>
    </xf>
    <xf numFmtId="1" fontId="88" fillId="14" borderId="48" xfId="0" applyNumberFormat="1" applyFont="1" applyFill="1" applyBorder="1" applyAlignment="1">
      <alignment horizontal="center"/>
    </xf>
    <xf numFmtId="0" fontId="8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6" fillId="16" borderId="0" xfId="0" applyFont="1" applyFill="1"/>
    <xf numFmtId="0" fontId="0" fillId="16" borderId="0" xfId="0" applyFill="1"/>
    <xf numFmtId="180" fontId="86" fillId="16" borderId="0" xfId="3" applyNumberFormat="1" applyFont="1" applyFill="1"/>
    <xf numFmtId="0" fontId="83" fillId="0" borderId="0" xfId="0" applyFont="1" applyAlignment="1">
      <alignment horizontal="center"/>
    </xf>
    <xf numFmtId="0" fontId="83" fillId="18" borderId="7" xfId="0" applyFont="1" applyFill="1" applyBorder="1" applyAlignment="1">
      <alignment horizontal="center"/>
    </xf>
    <xf numFmtId="0" fontId="8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3" fillId="4" borderId="12" xfId="0" applyNumberFormat="1" applyFont="1" applyFill="1" applyBorder="1" applyAlignment="1">
      <alignment horizontal="center"/>
    </xf>
    <xf numFmtId="0" fontId="8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9" fillId="2" borderId="7" xfId="0" applyFont="1" applyFill="1" applyBorder="1" applyAlignment="1">
      <alignment vertical="center"/>
    </xf>
    <xf numFmtId="0" fontId="48" fillId="2" borderId="28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2" fillId="2" borderId="13" xfId="0" applyNumberFormat="1" applyFont="1" applyFill="1" applyBorder="1" applyAlignment="1">
      <alignment vertical="center"/>
    </xf>
    <xf numFmtId="14" fontId="82" fillId="2" borderId="14" xfId="0" applyNumberFormat="1" applyFont="1" applyFill="1" applyBorder="1" applyAlignment="1">
      <alignment vertical="center"/>
    </xf>
    <xf numFmtId="1" fontId="9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left" vertical="center"/>
    </xf>
    <xf numFmtId="14" fontId="43" fillId="2" borderId="20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4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2" fillId="2" borderId="12" xfId="0" applyNumberFormat="1" applyFont="1" applyFill="1" applyBorder="1" applyAlignment="1">
      <alignment horizontal="center" vertical="center"/>
    </xf>
    <xf numFmtId="1" fontId="82" fillId="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20" fontId="82" fillId="23" borderId="12" xfId="0" applyNumberFormat="1" applyFont="1" applyFill="1" applyBorder="1" applyAlignment="1">
      <alignment horizontal="center" vertical="center"/>
    </xf>
    <xf numFmtId="1" fontId="82" fillId="23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20" fontId="82" fillId="22" borderId="12" xfId="0" applyNumberFormat="1" applyFont="1" applyFill="1" applyBorder="1" applyAlignment="1">
      <alignment horizontal="center" vertical="center"/>
    </xf>
    <xf numFmtId="1" fontId="82" fillId="22" borderId="12" xfId="0" applyNumberFormat="1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14" fontId="53" fillId="22" borderId="10" xfId="0" applyNumberFormat="1" applyFont="1" applyFill="1" applyBorder="1" applyAlignment="1">
      <alignment horizontal="center" vertical="center"/>
    </xf>
    <xf numFmtId="14" fontId="53" fillId="22" borderId="17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3" fillId="23" borderId="17" xfId="0" applyNumberFormat="1" applyFont="1" applyFill="1" applyBorder="1" applyAlignment="1">
      <alignment horizontal="center" vertical="center"/>
    </xf>
    <xf numFmtId="14" fontId="82" fillId="23" borderId="17" xfId="0" applyNumberFormat="1" applyFont="1" applyFill="1" applyBorder="1" applyAlignment="1">
      <alignment horizontal="center" vertical="center"/>
    </xf>
    <xf numFmtId="14" fontId="5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 wrapText="1"/>
    </xf>
    <xf numFmtId="14" fontId="4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6" fillId="22" borderId="28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4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3" fillId="2" borderId="0" xfId="0" applyFont="1" applyFill="1"/>
    <xf numFmtId="0" fontId="83" fillId="22" borderId="10" xfId="0" applyFont="1" applyFill="1" applyBorder="1" applyAlignment="1">
      <alignment horizontal="center"/>
    </xf>
    <xf numFmtId="0" fontId="83" fillId="22" borderId="17" xfId="0" applyFont="1" applyFill="1" applyBorder="1" applyAlignment="1">
      <alignment horizontal="center"/>
    </xf>
    <xf numFmtId="0" fontId="83" fillId="23" borderId="10" xfId="0" applyFont="1" applyFill="1" applyBorder="1" applyAlignment="1">
      <alignment horizontal="center"/>
    </xf>
    <xf numFmtId="0" fontId="83" fillId="23" borderId="17" xfId="0" applyFont="1" applyFill="1" applyBorder="1" applyAlignment="1">
      <alignment horizontal="center"/>
    </xf>
    <xf numFmtId="0" fontId="83" fillId="23" borderId="28" xfId="0" applyFont="1" applyFill="1" applyBorder="1" applyAlignment="1">
      <alignment horizontal="center"/>
    </xf>
    <xf numFmtId="0" fontId="83" fillId="23" borderId="20" xfId="0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/>
    </xf>
    <xf numFmtId="0" fontId="83" fillId="22" borderId="28" xfId="0" applyFont="1" applyFill="1" applyBorder="1" applyAlignment="1">
      <alignment horizontal="center"/>
    </xf>
    <xf numFmtId="0" fontId="83" fillId="23" borderId="12" xfId="0" applyFont="1" applyFill="1" applyBorder="1" applyAlignment="1">
      <alignment horizontal="center"/>
    </xf>
    <xf numFmtId="0" fontId="83" fillId="2" borderId="20" xfId="0" applyFont="1" applyFill="1" applyBorder="1" applyAlignment="1">
      <alignment horizontal="center"/>
    </xf>
    <xf numFmtId="0" fontId="83" fillId="2" borderId="10" xfId="0" applyFont="1" applyFill="1" applyBorder="1" applyAlignment="1">
      <alignment horizontal="center"/>
    </xf>
    <xf numFmtId="14" fontId="50" fillId="22" borderId="12" xfId="0" applyNumberFormat="1" applyFont="1" applyFill="1" applyBorder="1" applyAlignment="1">
      <alignment horizontal="center" vertical="center" wrapText="1"/>
    </xf>
    <xf numFmtId="14" fontId="4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3" fillId="2" borderId="0" xfId="0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20" fontId="79" fillId="22" borderId="12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top" wrapText="1"/>
    </xf>
    <xf numFmtId="0" fontId="52" fillId="22" borderId="12" xfId="0" applyFont="1" applyFill="1" applyBorder="1" applyAlignment="1">
      <alignment horizontal="left" vertical="center" wrapText="1"/>
    </xf>
    <xf numFmtId="0" fontId="52" fillId="23" borderId="12" xfId="0" applyFont="1" applyFill="1" applyBorder="1" applyAlignment="1">
      <alignment horizontal="left" vertical="center" wrapText="1"/>
    </xf>
    <xf numFmtId="20" fontId="76" fillId="23" borderId="12" xfId="0" applyNumberFormat="1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/>
    </xf>
    <xf numFmtId="0" fontId="79" fillId="22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47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 wrapText="1"/>
    </xf>
    <xf numFmtId="0" fontId="73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center" wrapText="1"/>
    </xf>
    <xf numFmtId="0" fontId="73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0" fontId="43" fillId="23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0" fillId="2" borderId="20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" fontId="82" fillId="23" borderId="28" xfId="0" applyNumberFormat="1" applyFont="1" applyFill="1" applyBorder="1" applyAlignment="1">
      <alignment horizontal="center" vertical="center"/>
    </xf>
    <xf numFmtId="0" fontId="69" fillId="23" borderId="20" xfId="0" applyFont="1" applyFill="1" applyBorder="1" applyAlignment="1">
      <alignment horizontal="center" vertical="center"/>
    </xf>
    <xf numFmtId="20" fontId="82" fillId="23" borderId="20" xfId="0" applyNumberFormat="1" applyFont="1" applyFill="1" applyBorder="1" applyAlignment="1">
      <alignment horizontal="center" vertical="center"/>
    </xf>
    <xf numFmtId="0" fontId="68" fillId="23" borderId="28" xfId="0" applyFont="1" applyFill="1" applyBorder="1" applyAlignment="1">
      <alignment horizontal="center" vertical="center"/>
    </xf>
    <xf numFmtId="20" fontId="82" fillId="23" borderId="28" xfId="0" applyNumberFormat="1" applyFont="1" applyFill="1" applyBorder="1" applyAlignment="1">
      <alignment horizontal="center" vertical="center"/>
    </xf>
    <xf numFmtId="0" fontId="68" fillId="23" borderId="70" xfId="0" applyFont="1" applyFill="1" applyBorder="1" applyAlignment="1">
      <alignment horizontal="center" vertical="center"/>
    </xf>
    <xf numFmtId="20" fontId="82" fillId="23" borderId="70" xfId="0" applyNumberFormat="1" applyFont="1" applyFill="1" applyBorder="1" applyAlignment="1">
      <alignment horizontal="center" vertical="center"/>
    </xf>
    <xf numFmtId="1" fontId="82" fillId="23" borderId="70" xfId="0" applyNumberFormat="1" applyFont="1" applyFill="1" applyBorder="1" applyAlignment="1">
      <alignment horizontal="center" vertical="center"/>
    </xf>
    <xf numFmtId="0" fontId="40" fillId="23" borderId="70" xfId="0" applyFont="1" applyFill="1" applyBorder="1" applyAlignment="1">
      <alignment horizontal="left" vertical="center" wrapText="1"/>
    </xf>
    <xf numFmtId="1" fontId="82" fillId="22" borderId="7" xfId="0" applyNumberFormat="1" applyFont="1" applyFill="1" applyBorder="1" applyAlignment="1">
      <alignment horizontal="center" vertical="center"/>
    </xf>
    <xf numFmtId="0" fontId="83" fillId="22" borderId="20" xfId="0" applyFont="1" applyFill="1" applyBorder="1" applyAlignment="1">
      <alignment horizontal="left"/>
    </xf>
    <xf numFmtId="0" fontId="40" fillId="22" borderId="68" xfId="0" applyFont="1" applyFill="1" applyBorder="1" applyAlignment="1">
      <alignment horizontal="left" vertical="center" wrapText="1"/>
    </xf>
    <xf numFmtId="1" fontId="8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9" fillId="22" borderId="12" xfId="0" applyNumberFormat="1" applyFont="1" applyFill="1" applyBorder="1" applyAlignment="1">
      <alignment horizontal="left" vertical="center" wrapText="1"/>
    </xf>
    <xf numFmtId="0" fontId="38" fillId="23" borderId="68" xfId="0" applyFont="1" applyFill="1" applyBorder="1" applyAlignment="1">
      <alignment horizontal="left" vertical="center" wrapText="1"/>
    </xf>
    <xf numFmtId="0" fontId="38" fillId="23" borderId="28" xfId="0" applyFont="1" applyFill="1" applyBorder="1" applyAlignment="1">
      <alignment horizontal="left" vertical="center" wrapText="1"/>
    </xf>
    <xf numFmtId="0" fontId="88" fillId="24" borderId="47" xfId="0" applyFont="1" applyFill="1" applyBorder="1"/>
    <xf numFmtId="173" fontId="88" fillId="24" borderId="48" xfId="0" applyNumberFormat="1" applyFont="1" applyFill="1" applyBorder="1" applyAlignment="1">
      <alignment horizontal="center"/>
    </xf>
    <xf numFmtId="1" fontId="88" fillId="24" borderId="48" xfId="0" applyNumberFormat="1" applyFont="1" applyFill="1" applyBorder="1" applyAlignment="1">
      <alignment horizontal="center"/>
    </xf>
    <xf numFmtId="174" fontId="88" fillId="24" borderId="48" xfId="0" applyNumberFormat="1" applyFont="1" applyFill="1" applyBorder="1" applyAlignment="1">
      <alignment horizontal="center"/>
    </xf>
    <xf numFmtId="176" fontId="88" fillId="24" borderId="48" xfId="0" applyNumberFormat="1" applyFont="1" applyFill="1" applyBorder="1" applyAlignment="1">
      <alignment horizontal="center"/>
    </xf>
    <xf numFmtId="9" fontId="88" fillId="24" borderId="48" xfId="0" applyNumberFormat="1" applyFont="1" applyFill="1" applyBorder="1" applyAlignment="1">
      <alignment horizontal="center"/>
    </xf>
    <xf numFmtId="9" fontId="88" fillId="24" borderId="49" xfId="0" applyNumberFormat="1" applyFont="1" applyFill="1" applyBorder="1" applyAlignment="1">
      <alignment horizontal="center"/>
    </xf>
    <xf numFmtId="9" fontId="88" fillId="24" borderId="12" xfId="0" applyNumberFormat="1" applyFont="1" applyFill="1" applyBorder="1" applyAlignment="1">
      <alignment horizontal="center"/>
    </xf>
    <xf numFmtId="0" fontId="88" fillId="24" borderId="12" xfId="0" applyFont="1" applyFill="1" applyBorder="1"/>
    <xf numFmtId="0" fontId="88" fillId="24" borderId="48" xfId="0" applyFont="1" applyFill="1" applyBorder="1"/>
    <xf numFmtId="0" fontId="88" fillId="24" borderId="48" xfId="0" applyFont="1" applyFill="1" applyBorder="1" applyAlignment="1">
      <alignment horizontal="center"/>
    </xf>
    <xf numFmtId="0" fontId="88" fillId="24" borderId="0" xfId="0" applyFont="1" applyFill="1"/>
    <xf numFmtId="0" fontId="0" fillId="24" borderId="0" xfId="0" applyFill="1"/>
    <xf numFmtId="0" fontId="88" fillId="24" borderId="47" xfId="0" applyFont="1" applyFill="1" applyBorder="1" applyAlignment="1">
      <alignment horizontal="center"/>
    </xf>
    <xf numFmtId="0" fontId="88" fillId="24" borderId="50" xfId="0" applyFont="1" applyFill="1" applyBorder="1" applyAlignment="1">
      <alignment horizontal="center"/>
    </xf>
    <xf numFmtId="1" fontId="88" fillId="24" borderId="50" xfId="0" applyNumberFormat="1" applyFont="1" applyFill="1" applyBorder="1" applyAlignment="1">
      <alignment horizontal="center"/>
    </xf>
    <xf numFmtId="176" fontId="8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8" fillId="24" borderId="49" xfId="0" applyFont="1" applyFill="1" applyBorder="1"/>
    <xf numFmtId="0" fontId="88" fillId="24" borderId="49" xfId="0" applyFont="1" applyFill="1" applyBorder="1" applyAlignment="1">
      <alignment horizontal="center"/>
    </xf>
    <xf numFmtId="9" fontId="88" fillId="24" borderId="47" xfId="0" applyNumberFormat="1" applyFont="1" applyFill="1" applyBorder="1" applyAlignment="1">
      <alignment horizontal="center"/>
    </xf>
    <xf numFmtId="2" fontId="88" fillId="24" borderId="48" xfId="0" applyNumberFormat="1" applyFont="1" applyFill="1" applyBorder="1" applyAlignment="1">
      <alignment horizontal="center"/>
    </xf>
    <xf numFmtId="1" fontId="88" fillId="24" borderId="47" xfId="0" applyNumberFormat="1" applyFont="1" applyFill="1" applyBorder="1" applyAlignment="1">
      <alignment horizontal="center"/>
    </xf>
    <xf numFmtId="1" fontId="88" fillId="24" borderId="12" xfId="0" applyNumberFormat="1" applyFont="1" applyFill="1" applyBorder="1" applyAlignment="1">
      <alignment horizontal="center"/>
    </xf>
    <xf numFmtId="0" fontId="8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6" fillId="2" borderId="17" xfId="0" applyNumberFormat="1" applyFont="1" applyFill="1" applyBorder="1" applyAlignment="1">
      <alignment horizontal="center" vertical="center"/>
    </xf>
    <xf numFmtId="0" fontId="83" fillId="17" borderId="0" xfId="0" applyFont="1" applyFill="1" applyAlignment="1">
      <alignment horizontal="center" vertical="center"/>
    </xf>
    <xf numFmtId="14" fontId="41" fillId="22" borderId="20" xfId="0" applyNumberFormat="1" applyFont="1" applyFill="1" applyBorder="1" applyAlignment="1">
      <alignment horizontal="center" vertical="center"/>
    </xf>
    <xf numFmtId="14" fontId="37" fillId="17" borderId="12" xfId="0" applyNumberFormat="1" applyFon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0" fillId="23" borderId="28" xfId="0" applyNumberFormat="1" applyFont="1" applyFill="1" applyBorder="1" applyAlignment="1">
      <alignment horizontal="left" vertical="center" wrapText="1"/>
    </xf>
    <xf numFmtId="0" fontId="83" fillId="23" borderId="21" xfId="0" applyFont="1" applyFill="1" applyBorder="1" applyAlignment="1">
      <alignment horizontal="center"/>
    </xf>
    <xf numFmtId="14" fontId="40" fillId="23" borderId="10" xfId="0" applyNumberFormat="1" applyFont="1" applyFill="1" applyBorder="1" applyAlignment="1">
      <alignment horizontal="center" vertical="center"/>
    </xf>
    <xf numFmtId="14" fontId="40" fillId="23" borderId="17" xfId="0" applyNumberFormat="1" applyFont="1" applyFill="1" applyBorder="1" applyAlignment="1">
      <alignment horizontal="left" vertical="center" wrapText="1"/>
    </xf>
    <xf numFmtId="14" fontId="3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4" fillId="17" borderId="28" xfId="0" applyNumberFormat="1" applyFont="1" applyFill="1" applyBorder="1" applyAlignment="1">
      <alignment horizontal="left" vertical="center" wrapText="1"/>
    </xf>
    <xf numFmtId="14" fontId="36" fillId="22" borderId="28" xfId="0" applyNumberFormat="1" applyFont="1" applyFill="1" applyBorder="1" applyAlignment="1">
      <alignment horizontal="center" vertical="center"/>
    </xf>
    <xf numFmtId="0" fontId="8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6" fillId="5" borderId="18" xfId="0" applyFont="1" applyFill="1" applyBorder="1"/>
    <xf numFmtId="0" fontId="86" fillId="5" borderId="67" xfId="0" applyFont="1" applyFill="1" applyBorder="1"/>
    <xf numFmtId="170" fontId="86" fillId="5" borderId="0" xfId="3" applyNumberFormat="1" applyFont="1" applyFill="1" applyBorder="1"/>
    <xf numFmtId="0" fontId="86" fillId="5" borderId="13" xfId="0" applyFont="1" applyFill="1" applyBorder="1"/>
    <xf numFmtId="0" fontId="86" fillId="5" borderId="51" xfId="0" applyFont="1" applyFill="1" applyBorder="1"/>
    <xf numFmtId="0" fontId="86" fillId="5" borderId="26" xfId="0" applyFont="1" applyFill="1" applyBorder="1"/>
    <xf numFmtId="181" fontId="0" fillId="2" borderId="0" xfId="0" applyNumberFormat="1" applyFill="1"/>
    <xf numFmtId="0" fontId="87" fillId="5" borderId="0" xfId="0" applyFont="1" applyFill="1"/>
    <xf numFmtId="169" fontId="86" fillId="5" borderId="0" xfId="3" applyNumberFormat="1" applyFont="1" applyFill="1" applyBorder="1"/>
    <xf numFmtId="10" fontId="8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5" fillId="2" borderId="0" xfId="0" applyFont="1" applyFill="1"/>
    <xf numFmtId="180" fontId="86" fillId="0" borderId="72" xfId="3" applyNumberFormat="1" applyFont="1" applyFill="1" applyBorder="1"/>
    <xf numFmtId="0" fontId="83" fillId="3" borderId="71" xfId="0" applyFont="1" applyFill="1" applyBorder="1"/>
    <xf numFmtId="178" fontId="0" fillId="2" borderId="72" xfId="0" applyNumberFormat="1" applyFill="1" applyBorder="1"/>
    <xf numFmtId="0" fontId="86" fillId="23" borderId="18" xfId="0" applyFont="1" applyFill="1" applyBorder="1"/>
    <xf numFmtId="0" fontId="86" fillId="23" borderId="0" xfId="0" applyFont="1" applyFill="1"/>
    <xf numFmtId="171" fontId="86" fillId="23" borderId="0" xfId="0" applyNumberFormat="1" applyFont="1" applyFill="1"/>
    <xf numFmtId="0" fontId="86" fillId="23" borderId="67" xfId="0" applyFont="1" applyFill="1" applyBorder="1"/>
    <xf numFmtId="172" fontId="86" fillId="23" borderId="0" xfId="0" applyNumberFormat="1" applyFont="1" applyFill="1"/>
    <xf numFmtId="1" fontId="82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left" vertical="center"/>
    </xf>
    <xf numFmtId="14" fontId="82" fillId="23" borderId="74" xfId="0" applyNumberFormat="1" applyFont="1" applyFill="1" applyBorder="1" applyAlignment="1">
      <alignment horizontal="center" vertical="center"/>
    </xf>
    <xf numFmtId="20" fontId="82" fillId="23" borderId="74" xfId="0" applyNumberFormat="1" applyFont="1" applyFill="1" applyBorder="1" applyAlignment="1">
      <alignment horizontal="center" vertical="center"/>
    </xf>
    <xf numFmtId="1" fontId="82" fillId="23" borderId="74" xfId="0" applyNumberFormat="1" applyFont="1" applyFill="1" applyBorder="1" applyAlignment="1">
      <alignment horizontal="center" vertical="center"/>
    </xf>
    <xf numFmtId="0" fontId="41" fillId="23" borderId="74" xfId="0" applyFont="1" applyFill="1" applyBorder="1" applyAlignment="1">
      <alignment horizontal="left" vertical="center" wrapText="1"/>
    </xf>
    <xf numFmtId="0" fontId="67" fillId="23" borderId="76" xfId="0" applyFont="1" applyFill="1" applyBorder="1" applyAlignment="1">
      <alignment horizontal="center" vertical="center"/>
    </xf>
    <xf numFmtId="20" fontId="82" fillId="23" borderId="76" xfId="0" applyNumberFormat="1" applyFont="1" applyFill="1" applyBorder="1" applyAlignment="1">
      <alignment horizontal="center" vertical="center"/>
    </xf>
    <xf numFmtId="1" fontId="82" fillId="23" borderId="76" xfId="0" applyNumberFormat="1" applyFont="1" applyFill="1" applyBorder="1" applyAlignment="1">
      <alignment horizontal="center" vertical="center"/>
    </xf>
    <xf numFmtId="0" fontId="67" fillId="23" borderId="76" xfId="0" applyFont="1" applyFill="1" applyBorder="1" applyAlignment="1">
      <alignment horizontal="left" vertical="center"/>
    </xf>
    <xf numFmtId="20" fontId="82" fillId="22" borderId="28" xfId="0" applyNumberFormat="1" applyFont="1" applyFill="1" applyBorder="1" applyAlignment="1">
      <alignment horizontal="center" vertical="center"/>
    </xf>
    <xf numFmtId="1" fontId="82" fillId="22" borderId="28" xfId="0" applyNumberFormat="1" applyFont="1" applyFill="1" applyBorder="1" applyAlignment="1">
      <alignment horizontal="center" vertical="center"/>
    </xf>
    <xf numFmtId="0" fontId="34" fillId="22" borderId="28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 wrapText="1"/>
    </xf>
    <xf numFmtId="14" fontId="43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left" vertical="center" wrapText="1"/>
    </xf>
    <xf numFmtId="14" fontId="36" fillId="23" borderId="12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0" fontId="33" fillId="23" borderId="20" xfId="0" applyFont="1" applyFill="1" applyBorder="1" applyAlignment="1">
      <alignment horizontal="center" vertical="center"/>
    </xf>
    <xf numFmtId="0" fontId="33" fillId="23" borderId="74" xfId="0" applyFont="1" applyFill="1" applyBorder="1" applyAlignment="1">
      <alignment horizontal="center" vertical="center"/>
    </xf>
    <xf numFmtId="0" fontId="3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1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9" fontId="83" fillId="22" borderId="12" xfId="0" applyNumberFormat="1" applyFont="1" applyFill="1" applyBorder="1" applyAlignment="1">
      <alignment horizontal="center"/>
    </xf>
    <xf numFmtId="1" fontId="83" fillId="22" borderId="27" xfId="0" applyNumberFormat="1" applyFont="1" applyFill="1" applyBorder="1" applyAlignment="1">
      <alignment horizontal="center" vertical="center"/>
    </xf>
    <xf numFmtId="1" fontId="83" fillId="22" borderId="12" xfId="0" applyNumberFormat="1" applyFont="1" applyFill="1" applyBorder="1" applyAlignment="1">
      <alignment horizontal="center"/>
    </xf>
    <xf numFmtId="176" fontId="83" fillId="22" borderId="23" xfId="0" applyNumberFormat="1" applyFont="1" applyFill="1" applyBorder="1" applyAlignment="1">
      <alignment horizontal="center" vertical="center"/>
    </xf>
    <xf numFmtId="176" fontId="83" fillId="22" borderId="11" xfId="0" applyNumberFormat="1" applyFont="1" applyFill="1" applyBorder="1" applyAlignment="1">
      <alignment horizontal="center" vertical="center"/>
    </xf>
    <xf numFmtId="176" fontId="83" fillId="22" borderId="25" xfId="0" applyNumberFormat="1" applyFont="1" applyFill="1" applyBorder="1" applyAlignment="1">
      <alignment horizontal="center" vertical="center"/>
    </xf>
    <xf numFmtId="176" fontId="83" fillId="22" borderId="54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3" fillId="23" borderId="10" xfId="0" applyNumberFormat="1" applyFont="1" applyFill="1" applyBorder="1" applyAlignment="1">
      <alignment horizontal="left" vertical="center" wrapText="1"/>
    </xf>
    <xf numFmtId="14" fontId="33" fillId="22" borderId="28" xfId="0" applyNumberFormat="1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83" fillId="2" borderId="7" xfId="0" applyFont="1" applyFill="1" applyBorder="1" applyAlignment="1">
      <alignment horizontal="center"/>
    </xf>
    <xf numFmtId="0" fontId="76" fillId="22" borderId="12" xfId="0" applyFont="1" applyFill="1" applyBorder="1" applyAlignment="1">
      <alignment horizontal="center" vertical="center"/>
    </xf>
    <xf numFmtId="20" fontId="76" fillId="22" borderId="12" xfId="0" applyNumberFormat="1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/>
    </xf>
    <xf numFmtId="14" fontId="37" fillId="23" borderId="12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1" fillId="2" borderId="28" xfId="0" applyNumberFormat="1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5" fillId="23" borderId="76" xfId="0" applyNumberFormat="1" applyFont="1" applyFill="1" applyBorder="1" applyAlignment="1">
      <alignment horizontal="center" vertical="center"/>
    </xf>
    <xf numFmtId="0" fontId="8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3" fillId="3" borderId="30" xfId="0" applyFont="1" applyFill="1" applyBorder="1" applyAlignment="1">
      <alignment horizontal="center" vertical="center"/>
    </xf>
    <xf numFmtId="0" fontId="83" fillId="3" borderId="31" xfId="0" applyFont="1" applyFill="1" applyBorder="1" applyAlignment="1">
      <alignment horizontal="center" vertical="center"/>
    </xf>
    <xf numFmtId="0" fontId="83" fillId="3" borderId="20" xfId="0" applyFont="1" applyFill="1" applyBorder="1" applyAlignment="1">
      <alignment horizontal="center" vertical="center"/>
    </xf>
    <xf numFmtId="0" fontId="83" fillId="3" borderId="20" xfId="0" applyFont="1" applyFill="1" applyBorder="1" applyAlignment="1">
      <alignment horizontal="center" vertical="center" wrapText="1"/>
    </xf>
    <xf numFmtId="1" fontId="83" fillId="23" borderId="74" xfId="0" applyNumberFormat="1" applyFont="1" applyFill="1" applyBorder="1" applyAlignment="1">
      <alignment horizontal="center"/>
    </xf>
    <xf numFmtId="1" fontId="8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 wrapText="1"/>
    </xf>
    <xf numFmtId="14" fontId="3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3" fillId="23" borderId="7" xfId="0" applyFont="1" applyFill="1" applyBorder="1" applyAlignment="1">
      <alignment horizontal="center"/>
    </xf>
    <xf numFmtId="14" fontId="83" fillId="23" borderId="12" xfId="0" applyNumberFormat="1" applyFont="1" applyFill="1" applyBorder="1" applyAlignment="1">
      <alignment horizontal="center" vertical="center"/>
    </xf>
    <xf numFmtId="176" fontId="83" fillId="23" borderId="25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center" vertical="center"/>
    </xf>
    <xf numFmtId="166" fontId="82" fillId="23" borderId="12" xfId="0" applyNumberFormat="1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0" fontId="28" fillId="2" borderId="7" xfId="0" applyFont="1" applyFill="1" applyBorder="1" applyAlignment="1">
      <alignment vertical="center"/>
    </xf>
    <xf numFmtId="0" fontId="27" fillId="22" borderId="12" xfId="0" applyFont="1" applyFill="1" applyBorder="1" applyAlignment="1">
      <alignment horizontal="left" vertical="center" wrapText="1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/>
    </xf>
    <xf numFmtId="14" fontId="83" fillId="22" borderId="12" xfId="0" applyNumberFormat="1" applyFont="1" applyFill="1" applyBorder="1" applyAlignment="1">
      <alignment horizontal="center" vertical="center" wrapText="1"/>
    </xf>
    <xf numFmtId="14" fontId="40" fillId="23" borderId="12" xfId="0" applyNumberFormat="1" applyFont="1" applyFill="1" applyBorder="1" applyAlignment="1">
      <alignment horizontal="center" vertical="center" wrapText="1"/>
    </xf>
    <xf numFmtId="14" fontId="39" fillId="22" borderId="12" xfId="0" applyNumberFormat="1" applyFont="1" applyFill="1" applyBorder="1" applyAlignment="1">
      <alignment horizontal="center" vertic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106" fillId="2" borderId="1" xfId="0" applyFont="1" applyFill="1" applyBorder="1"/>
    <xf numFmtId="0" fontId="106" fillId="2" borderId="2" xfId="0" applyFont="1" applyFill="1" applyBorder="1"/>
    <xf numFmtId="0" fontId="106" fillId="2" borderId="3" xfId="0" applyFont="1" applyFill="1" applyBorder="1"/>
    <xf numFmtId="0" fontId="106" fillId="2" borderId="0" xfId="0" applyFont="1" applyFill="1"/>
    <xf numFmtId="0" fontId="107" fillId="2" borderId="18" xfId="0" applyFont="1" applyFill="1" applyBorder="1" applyAlignment="1">
      <alignment horizontal="center"/>
    </xf>
    <xf numFmtId="0" fontId="108" fillId="2" borderId="18" xfId="0" applyFont="1" applyFill="1" applyBorder="1"/>
    <xf numFmtId="0" fontId="107" fillId="2" borderId="1" xfId="0" applyFont="1" applyFill="1" applyBorder="1"/>
    <xf numFmtId="0" fontId="107" fillId="2" borderId="2" xfId="0" applyFont="1" applyFill="1" applyBorder="1"/>
    <xf numFmtId="0" fontId="107" fillId="2" borderId="3" xfId="0" applyFont="1" applyFill="1" applyBorder="1"/>
    <xf numFmtId="0" fontId="107" fillId="2" borderId="0" xfId="0" applyFont="1" applyFill="1"/>
    <xf numFmtId="0" fontId="106" fillId="2" borderId="18" xfId="0" applyFont="1" applyFill="1" applyBorder="1"/>
    <xf numFmtId="0" fontId="106" fillId="2" borderId="67" xfId="0" applyFont="1" applyFill="1" applyBorder="1"/>
    <xf numFmtId="0" fontId="107" fillId="4" borderId="12" xfId="0" applyFont="1" applyFill="1" applyBorder="1" applyAlignment="1">
      <alignment horizontal="center"/>
    </xf>
    <xf numFmtId="0" fontId="106" fillId="2" borderId="18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6" fillId="2" borderId="12" xfId="0" applyFont="1" applyFill="1" applyBorder="1"/>
    <xf numFmtId="0" fontId="106" fillId="2" borderId="13" xfId="0" applyFont="1" applyFill="1" applyBorder="1"/>
    <xf numFmtId="0" fontId="106" fillId="2" borderId="51" xfId="0" applyFont="1" applyFill="1" applyBorder="1"/>
    <xf numFmtId="0" fontId="106" fillId="2" borderId="26" xfId="0" applyFont="1" applyFill="1" applyBorder="1"/>
    <xf numFmtId="14" fontId="108" fillId="2" borderId="12" xfId="0" applyNumberFormat="1" applyFont="1" applyFill="1" applyBorder="1" applyAlignment="1">
      <alignment horizontal="center"/>
    </xf>
    <xf numFmtId="14" fontId="106" fillId="2" borderId="12" xfId="0" applyNumberFormat="1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8" fillId="18" borderId="29" xfId="0" applyFont="1" applyFill="1" applyBorder="1" applyAlignment="1">
      <alignment vertical="center"/>
    </xf>
    <xf numFmtId="0" fontId="9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3" fillId="22" borderId="12" xfId="0" applyNumberFormat="1" applyFont="1" applyFill="1" applyBorder="1" applyAlignment="1">
      <alignment horizontal="center" vertical="center"/>
    </xf>
    <xf numFmtId="9" fontId="8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3" fillId="3" borderId="12" xfId="0" applyFont="1" applyFill="1" applyBorder="1" applyAlignment="1">
      <alignment horizontal="center" vertical="center"/>
    </xf>
    <xf numFmtId="0" fontId="79" fillId="22" borderId="28" xfId="0" applyFont="1" applyFill="1" applyBorder="1" applyAlignment="1">
      <alignment horizontal="center" vertical="center"/>
    </xf>
    <xf numFmtId="20" fontId="79" fillId="22" borderId="28" xfId="0" applyNumberFormat="1" applyFont="1" applyFill="1" applyBorder="1" applyAlignment="1">
      <alignment horizontal="center" vertical="center"/>
    </xf>
    <xf numFmtId="0" fontId="5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3" fillId="3" borderId="12" xfId="0" applyFont="1" applyFill="1" applyBorder="1" applyAlignment="1">
      <alignment horizontal="center" vertical="center" wrapText="1"/>
    </xf>
    <xf numFmtId="14" fontId="83" fillId="22" borderId="28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0" fontId="83" fillId="2" borderId="20" xfId="0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 vertical="center"/>
    </xf>
    <xf numFmtId="14" fontId="82" fillId="17" borderId="12" xfId="0" applyNumberFormat="1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/>
    </xf>
    <xf numFmtId="0" fontId="83" fillId="23" borderId="74" xfId="0" applyFont="1" applyFill="1" applyBorder="1" applyAlignment="1">
      <alignment horizontal="center" vertical="center"/>
    </xf>
    <xf numFmtId="0" fontId="83" fillId="23" borderId="76" xfId="0" applyFont="1" applyFill="1" applyBorder="1" applyAlignment="1">
      <alignment horizontal="center" vertical="center"/>
    </xf>
    <xf numFmtId="0" fontId="83" fillId="22" borderId="10" xfId="0" applyFont="1" applyFill="1" applyBorder="1" applyAlignment="1">
      <alignment horizontal="center" vertical="center"/>
    </xf>
    <xf numFmtId="0" fontId="83" fillId="22" borderId="20" xfId="0" applyFont="1" applyFill="1" applyBorder="1" applyAlignment="1">
      <alignment horizontal="center" vertical="center"/>
    </xf>
    <xf numFmtId="0" fontId="83" fillId="23" borderId="10" xfId="0" applyFont="1" applyFill="1" applyBorder="1" applyAlignment="1">
      <alignment horizontal="center" vertical="center"/>
    </xf>
    <xf numFmtId="0" fontId="83" fillId="2" borderId="10" xfId="0" applyFont="1" applyFill="1" applyBorder="1" applyAlignment="1">
      <alignment horizontal="center" vertical="center"/>
    </xf>
    <xf numFmtId="0" fontId="83" fillId="3" borderId="78" xfId="0" applyFont="1" applyFill="1" applyBorder="1" applyAlignment="1">
      <alignment horizontal="center" vertical="center" wrapText="1"/>
    </xf>
    <xf numFmtId="0" fontId="83" fillId="23" borderId="81" xfId="0" applyFont="1" applyFill="1" applyBorder="1" applyAlignment="1">
      <alignment horizontal="center" vertical="center"/>
    </xf>
    <xf numFmtId="0" fontId="83" fillId="23" borderId="83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3" fillId="23" borderId="12" xfId="0" applyFont="1" applyFill="1" applyBorder="1" applyAlignment="1">
      <alignment horizontal="left" vertical="center" wrapText="1"/>
    </xf>
    <xf numFmtId="166" fontId="82" fillId="17" borderId="12" xfId="0" applyNumberFormat="1" applyFont="1" applyFill="1" applyBorder="1" applyAlignment="1">
      <alignment horizontal="center" vertical="center"/>
    </xf>
    <xf numFmtId="1" fontId="8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14" fontId="23" fillId="17" borderId="12" xfId="0" applyNumberFormat="1" applyFont="1" applyFill="1" applyBorder="1" applyAlignment="1">
      <alignment horizontal="center" vertical="center"/>
    </xf>
    <xf numFmtId="0" fontId="8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9" fillId="2" borderId="72" xfId="0" applyFont="1" applyFill="1" applyBorder="1" applyAlignment="1">
      <alignment wrapText="1"/>
    </xf>
    <xf numFmtId="1" fontId="110" fillId="2" borderId="71" xfId="0" applyNumberFormat="1" applyFont="1" applyFill="1" applyBorder="1" applyAlignment="1">
      <alignment horizontal="center" vertical="center"/>
    </xf>
    <xf numFmtId="1" fontId="111" fillId="2" borderId="71" xfId="0" applyNumberFormat="1" applyFont="1" applyFill="1" applyBorder="1" applyAlignment="1">
      <alignment horizontal="center" vertical="center"/>
    </xf>
    <xf numFmtId="9" fontId="11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3" fillId="18" borderId="60" xfId="0" applyFont="1" applyFill="1" applyBorder="1" applyAlignment="1">
      <alignment horizontal="center"/>
    </xf>
    <xf numFmtId="0" fontId="8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3" fillId="19" borderId="12" xfId="0" applyFont="1" applyFill="1" applyBorder="1" applyAlignment="1">
      <alignment horizontal="center" vertical="center"/>
    </xf>
    <xf numFmtId="14" fontId="82" fillId="19" borderId="12" xfId="0" applyNumberFormat="1" applyFont="1" applyFill="1" applyBorder="1" applyAlignment="1">
      <alignment horizontal="center" vertical="center"/>
    </xf>
    <xf numFmtId="0" fontId="8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3" fillId="4" borderId="12" xfId="0" applyNumberFormat="1" applyFont="1" applyFill="1" applyBorder="1" applyAlignment="1">
      <alignment horizontal="center"/>
    </xf>
    <xf numFmtId="14" fontId="2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3" fillId="18" borderId="12" xfId="0" applyNumberFormat="1" applyFont="1" applyFill="1" applyBorder="1" applyAlignment="1">
      <alignment horizontal="center"/>
    </xf>
    <xf numFmtId="14" fontId="103" fillId="2" borderId="4" xfId="0" applyNumberFormat="1" applyFont="1" applyFill="1" applyBorder="1" applyAlignment="1">
      <alignment horizontal="center" vertical="center"/>
    </xf>
    <xf numFmtId="14" fontId="2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2" fillId="19" borderId="12" xfId="0" applyFont="1" applyFill="1" applyBorder="1" applyAlignment="1">
      <alignment horizontal="center" vertical="center"/>
    </xf>
    <xf numFmtId="166" fontId="82" fillId="19" borderId="12" xfId="0" applyNumberFormat="1" applyFont="1" applyFill="1" applyBorder="1" applyAlignment="1">
      <alignment horizontal="center" vertical="center"/>
    </xf>
    <xf numFmtId="1" fontId="82" fillId="19" borderId="12" xfId="0" applyNumberFormat="1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8" fillId="24" borderId="12" xfId="0" applyNumberFormat="1" applyFont="1" applyFill="1" applyBorder="1" applyAlignment="1">
      <alignment horizontal="center"/>
    </xf>
    <xf numFmtId="1" fontId="103" fillId="2" borderId="15" xfId="0" applyNumberFormat="1" applyFont="1" applyFill="1" applyBorder="1" applyAlignment="1">
      <alignment horizontal="center" vertical="center"/>
    </xf>
    <xf numFmtId="1" fontId="103" fillId="2" borderId="25" xfId="0" applyNumberFormat="1" applyFont="1" applyFill="1" applyBorder="1" applyAlignment="1">
      <alignment horizontal="center" vertical="center"/>
    </xf>
    <xf numFmtId="0" fontId="103" fillId="2" borderId="5" xfId="0" applyFont="1" applyFill="1" applyBorder="1" applyAlignment="1">
      <alignment vertical="center"/>
    </xf>
    <xf numFmtId="165" fontId="103" fillId="2" borderId="5" xfId="1" applyNumberFormat="1" applyFont="1" applyFill="1" applyBorder="1" applyAlignment="1">
      <alignment horizontal="center" vertical="center"/>
    </xf>
    <xf numFmtId="166" fontId="103" fillId="2" borderId="5" xfId="0" applyNumberFormat="1" applyFont="1" applyFill="1" applyBorder="1" applyAlignment="1">
      <alignment horizontal="center" vertical="center"/>
    </xf>
    <xf numFmtId="9" fontId="103" fillId="2" borderId="5" xfId="2" applyFont="1" applyFill="1" applyBorder="1" applyAlignment="1">
      <alignment horizontal="center" vertical="center"/>
    </xf>
    <xf numFmtId="167" fontId="103" fillId="2" borderId="6" xfId="1" applyNumberFormat="1" applyFont="1" applyFill="1" applyBorder="1" applyAlignment="1">
      <alignment horizontal="center" vertical="center"/>
    </xf>
    <xf numFmtId="0" fontId="103" fillId="2" borderId="6" xfId="0" applyFont="1" applyFill="1" applyBorder="1" applyAlignment="1">
      <alignment horizontal="center" vertical="center"/>
    </xf>
    <xf numFmtId="1" fontId="103" fillId="2" borderId="6" xfId="0" applyNumberFormat="1" applyFont="1" applyFill="1" applyBorder="1" applyAlignment="1">
      <alignment horizontal="center" vertical="center"/>
    </xf>
    <xf numFmtId="1" fontId="103" fillId="2" borderId="5" xfId="0" applyNumberFormat="1" applyFont="1" applyFill="1" applyBorder="1" applyAlignment="1">
      <alignment horizontal="center" vertical="center"/>
    </xf>
    <xf numFmtId="1" fontId="103" fillId="2" borderId="59" xfId="0" applyNumberFormat="1" applyFont="1" applyFill="1" applyBorder="1" applyAlignment="1">
      <alignment horizontal="center" vertical="center"/>
    </xf>
    <xf numFmtId="167" fontId="103" fillId="2" borderId="32" xfId="1" applyNumberFormat="1" applyFont="1" applyFill="1" applyBorder="1" applyAlignment="1">
      <alignment horizontal="center" vertical="center"/>
    </xf>
    <xf numFmtId="0" fontId="103" fillId="2" borderId="32" xfId="0" applyFont="1" applyFill="1" applyBorder="1" applyAlignment="1">
      <alignment horizontal="center" vertical="center"/>
    </xf>
    <xf numFmtId="14" fontId="103" fillId="2" borderId="12" xfId="0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165" fontId="103" fillId="2" borderId="12" xfId="1" applyNumberFormat="1" applyFont="1" applyFill="1" applyBorder="1" applyAlignment="1">
      <alignment horizontal="center" vertical="center"/>
    </xf>
    <xf numFmtId="166" fontId="103" fillId="2" borderId="12" xfId="0" applyNumberFormat="1" applyFont="1" applyFill="1" applyBorder="1" applyAlignment="1">
      <alignment horizontal="center" vertical="center"/>
    </xf>
    <xf numFmtId="9" fontId="103" fillId="2" borderId="12" xfId="2" applyFont="1" applyFill="1" applyBorder="1" applyAlignment="1">
      <alignment horizontal="center" vertical="center"/>
    </xf>
    <xf numFmtId="167" fontId="103" fillId="2" borderId="12" xfId="1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1" fontId="103" fillId="2" borderId="12" xfId="0" applyNumberFormat="1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0" fontId="8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9" fillId="19" borderId="12" xfId="0" applyNumberFormat="1" applyFont="1" applyFill="1" applyBorder="1" applyAlignment="1">
      <alignment horizontal="center" vertical="center" wrapText="1"/>
    </xf>
    <xf numFmtId="173" fontId="88" fillId="0" borderId="0" xfId="0" applyNumberFormat="1" applyFont="1" applyAlignment="1">
      <alignment horizontal="center"/>
    </xf>
    <xf numFmtId="173" fontId="88" fillId="0" borderId="49" xfId="0" applyNumberFormat="1" applyFont="1" applyBorder="1" applyAlignment="1">
      <alignment horizontal="center"/>
    </xf>
    <xf numFmtId="174" fontId="88" fillId="0" borderId="47" xfId="0" applyNumberFormat="1" applyFont="1" applyBorder="1" applyAlignment="1">
      <alignment horizontal="center"/>
    </xf>
    <xf numFmtId="176" fontId="88" fillId="0" borderId="47" xfId="0" applyNumberFormat="1" applyFont="1" applyBorder="1" applyAlignment="1">
      <alignment horizontal="center"/>
    </xf>
    <xf numFmtId="1" fontId="88" fillId="21" borderId="28" xfId="0" applyNumberFormat="1" applyFont="1" applyFill="1" applyBorder="1" applyAlignment="1">
      <alignment horizontal="center"/>
    </xf>
    <xf numFmtId="2" fontId="88" fillId="21" borderId="28" xfId="0" applyNumberFormat="1" applyFont="1" applyFill="1" applyBorder="1" applyAlignment="1">
      <alignment horizontal="center"/>
    </xf>
    <xf numFmtId="176" fontId="88" fillId="21" borderId="28" xfId="0" applyNumberFormat="1" applyFont="1" applyFill="1" applyBorder="1" applyAlignment="1">
      <alignment horizontal="center"/>
    </xf>
    <xf numFmtId="9" fontId="88" fillId="21" borderId="28" xfId="0" applyNumberFormat="1" applyFont="1" applyFill="1" applyBorder="1" applyAlignment="1">
      <alignment horizontal="center"/>
    </xf>
    <xf numFmtId="0" fontId="88" fillId="21" borderId="28" xfId="0" applyFont="1" applyFill="1" applyBorder="1" applyAlignment="1">
      <alignment horizontal="center"/>
    </xf>
    <xf numFmtId="176" fontId="88" fillId="0" borderId="12" xfId="0" applyNumberFormat="1" applyFont="1" applyBorder="1" applyAlignment="1">
      <alignment horizontal="center"/>
    </xf>
    <xf numFmtId="9" fontId="88" fillId="22" borderId="48" xfId="2" applyFont="1" applyFill="1" applyBorder="1" applyAlignment="1">
      <alignment horizontal="center" vertical="center"/>
    </xf>
    <xf numFmtId="0" fontId="88" fillId="0" borderId="49" xfId="0" applyFont="1" applyBorder="1"/>
    <xf numFmtId="0" fontId="88" fillId="24" borderId="7" xfId="0" applyFont="1" applyFill="1" applyBorder="1"/>
    <xf numFmtId="0" fontId="88" fillId="0" borderId="7" xfId="0" applyFont="1" applyBorder="1"/>
    <xf numFmtId="0" fontId="88" fillId="0" borderId="30" xfId="0" applyFont="1" applyBorder="1"/>
    <xf numFmtId="0" fontId="88" fillId="24" borderId="8" xfId="0" applyFont="1" applyFill="1" applyBorder="1" applyAlignment="1">
      <alignment horizontal="center"/>
    </xf>
    <xf numFmtId="0" fontId="88" fillId="0" borderId="8" xfId="0" applyFont="1" applyBorder="1" applyAlignment="1">
      <alignment horizontal="center"/>
    </xf>
    <xf numFmtId="0" fontId="88" fillId="0" borderId="31" xfId="0" applyFont="1" applyBorder="1" applyAlignment="1">
      <alignment horizontal="center"/>
    </xf>
    <xf numFmtId="14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8" fillId="4" borderId="28" xfId="0" applyNumberFormat="1" applyFont="1" applyFill="1" applyBorder="1" applyAlignment="1">
      <alignment horizontal="center" vertical="center"/>
    </xf>
    <xf numFmtId="0" fontId="103" fillId="2" borderId="22" xfId="0" applyFont="1" applyFill="1" applyBorder="1" applyAlignment="1">
      <alignment horizontal="center" vertical="center"/>
    </xf>
    <xf numFmtId="1" fontId="103" fillId="2" borderId="21" xfId="0" applyNumberFormat="1" applyFont="1" applyFill="1" applyBorder="1" applyAlignment="1">
      <alignment horizontal="center" vertical="center"/>
    </xf>
    <xf numFmtId="1" fontId="103" fillId="2" borderId="61" xfId="0" applyNumberFormat="1" applyFont="1" applyFill="1" applyBorder="1" applyAlignment="1">
      <alignment horizontal="center" vertical="center"/>
    </xf>
    <xf numFmtId="1" fontId="103" fillId="2" borderId="32" xfId="0" applyNumberFormat="1" applyFont="1" applyFill="1" applyBorder="1" applyAlignment="1">
      <alignment horizontal="center" vertical="center"/>
    </xf>
    <xf numFmtId="165" fontId="103" fillId="2" borderId="28" xfId="0" applyNumberFormat="1" applyFont="1" applyFill="1" applyBorder="1" applyAlignment="1">
      <alignment horizontal="center" vertical="center"/>
    </xf>
    <xf numFmtId="165" fontId="103" fillId="2" borderId="66" xfId="0" applyNumberFormat="1" applyFont="1" applyFill="1" applyBorder="1" applyAlignment="1">
      <alignment horizontal="center" vertical="center"/>
    </xf>
    <xf numFmtId="165" fontId="103" fillId="2" borderId="12" xfId="0" applyNumberFormat="1" applyFont="1" applyFill="1" applyBorder="1" applyAlignment="1">
      <alignment horizontal="center" vertical="center"/>
    </xf>
    <xf numFmtId="14" fontId="103" fillId="2" borderId="33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14" fontId="57" fillId="18" borderId="12" xfId="0" applyNumberFormat="1" applyFont="1" applyFill="1" applyBorder="1"/>
    <xf numFmtId="0" fontId="16" fillId="17" borderId="12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vertical="center"/>
    </xf>
    <xf numFmtId="14" fontId="1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5" fillId="17" borderId="12" xfId="0" applyFont="1" applyFill="1" applyBorder="1" applyAlignment="1">
      <alignment horizontal="center" vertical="center"/>
    </xf>
    <xf numFmtId="166" fontId="15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14" fontId="13" fillId="17" borderId="12" xfId="0" applyNumberFormat="1" applyFont="1" applyFill="1" applyBorder="1" applyAlignment="1">
      <alignment horizontal="center" vertical="center"/>
    </xf>
    <xf numFmtId="174" fontId="106" fillId="2" borderId="12" xfId="0" applyNumberFormat="1" applyFon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3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166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14" fontId="1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1" fillId="2" borderId="7" xfId="0" applyFont="1" applyFill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0" fillId="19" borderId="12" xfId="0" applyFont="1" applyFill="1" applyBorder="1" applyAlignment="1">
      <alignment horizontal="center" vertical="center"/>
    </xf>
    <xf numFmtId="166" fontId="10" fillId="19" borderId="12" xfId="0" applyNumberFormat="1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176" fontId="0" fillId="0" borderId="0" xfId="0" applyNumberFormat="1"/>
    <xf numFmtId="14" fontId="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3" fillId="18" borderId="20" xfId="1" applyFont="1" applyFill="1" applyBorder="1" applyAlignment="1">
      <alignment horizontal="center"/>
    </xf>
    <xf numFmtId="43" fontId="8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3" fillId="19" borderId="12" xfId="0" applyFont="1" applyFill="1" applyBorder="1"/>
    <xf numFmtId="1" fontId="8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6" fillId="2" borderId="7" xfId="0" applyFont="1" applyFill="1" applyBorder="1" applyAlignment="1">
      <alignment vertic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14" fontId="6" fillId="17" borderId="12" xfId="0" applyNumberFormat="1" applyFont="1" applyFill="1" applyBorder="1" applyAlignment="1">
      <alignment horizontal="center" vertical="center"/>
    </xf>
    <xf numFmtId="14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" fillId="19" borderId="12" xfId="0" applyNumberFormat="1" applyFont="1" applyFill="1" applyBorder="1" applyAlignment="1">
      <alignment horizontal="center" vertical="center"/>
    </xf>
    <xf numFmtId="0" fontId="82" fillId="2" borderId="0" xfId="0" applyFont="1" applyFill="1" applyAlignment="1">
      <alignment vertical="center"/>
    </xf>
    <xf numFmtId="0" fontId="98" fillId="4" borderId="12" xfId="0" applyFont="1" applyFill="1" applyBorder="1"/>
    <xf numFmtId="165" fontId="103" fillId="2" borderId="52" xfId="0" applyNumberFormat="1" applyFont="1" applyFill="1" applyBorder="1" applyAlignment="1">
      <alignment horizontal="center" vertical="center"/>
    </xf>
    <xf numFmtId="0" fontId="83" fillId="19" borderId="7" xfId="0" applyFont="1" applyFill="1" applyBorder="1" applyAlignment="1">
      <alignment horizontal="center"/>
    </xf>
    <xf numFmtId="0" fontId="8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0" fontId="8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176" fontId="0" fillId="19" borderId="25" xfId="0" applyNumberFormat="1" applyFill="1" applyBorder="1" applyAlignment="1">
      <alignment vertical="center"/>
    </xf>
    <xf numFmtId="2" fontId="0" fillId="19" borderId="54" xfId="0" applyNumberFormat="1" applyFill="1" applyBorder="1" applyAlignment="1">
      <alignment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103" fillId="2" borderId="28" xfId="0" applyFont="1" applyFill="1" applyBorder="1"/>
    <xf numFmtId="165" fontId="9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" fillId="19" borderId="12" xfId="0" applyFont="1" applyFill="1" applyBorder="1" applyAlignment="1">
      <alignment horizontal="left" vertical="center"/>
    </xf>
    <xf numFmtId="1" fontId="0" fillId="19" borderId="25" xfId="0" applyNumberFormat="1" applyFill="1" applyBorder="1" applyAlignment="1">
      <alignment vertical="center"/>
    </xf>
    <xf numFmtId="1" fontId="0" fillId="19" borderId="54" xfId="0" applyNumberFormat="1" applyFill="1" applyBorder="1" applyAlignment="1">
      <alignment vertical="center"/>
    </xf>
    <xf numFmtId="2" fontId="0" fillId="19" borderId="11" xfId="0" applyNumberFormat="1" applyFill="1" applyBorder="1" applyAlignment="1">
      <alignment vertical="center"/>
    </xf>
    <xf numFmtId="187" fontId="0" fillId="2" borderId="0" xfId="0" applyNumberFormat="1" applyFill="1"/>
    <xf numFmtId="14" fontId="82" fillId="2" borderId="1" xfId="0" applyNumberFormat="1" applyFont="1" applyFill="1" applyBorder="1" applyAlignment="1">
      <alignment horizontal="center" vertical="center"/>
    </xf>
    <xf numFmtId="14" fontId="82" fillId="2" borderId="4" xfId="0" applyNumberFormat="1" applyFont="1" applyFill="1" applyBorder="1" applyAlignment="1">
      <alignment horizontal="center" vertical="center"/>
    </xf>
    <xf numFmtId="14" fontId="82" fillId="2" borderId="13" xfId="0" applyNumberFormat="1" applyFont="1" applyFill="1" applyBorder="1" applyAlignment="1">
      <alignment horizontal="center" vertical="center"/>
    </xf>
    <xf numFmtId="14" fontId="82" fillId="2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3" fillId="17" borderId="67" xfId="0" applyFont="1" applyFill="1" applyBorder="1" applyAlignment="1">
      <alignment horizontal="center" vertical="center"/>
    </xf>
    <xf numFmtId="0" fontId="98" fillId="19" borderId="67" xfId="0" applyFont="1" applyFill="1" applyBorder="1" applyAlignment="1">
      <alignment horizontal="center" vertical="center"/>
    </xf>
    <xf numFmtId="0" fontId="83" fillId="4" borderId="0" xfId="0" applyFont="1" applyFill="1" applyAlignment="1">
      <alignment horizontal="center"/>
    </xf>
    <xf numFmtId="0" fontId="83" fillId="3" borderId="30" xfId="0" applyFont="1" applyFill="1" applyBorder="1" applyAlignment="1">
      <alignment horizontal="center" vertical="center"/>
    </xf>
    <xf numFmtId="0" fontId="83" fillId="3" borderId="31" xfId="0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3" fillId="2" borderId="20" xfId="0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 vertical="center"/>
    </xf>
    <xf numFmtId="14" fontId="82" fillId="17" borderId="1" xfId="0" applyNumberFormat="1" applyFont="1" applyFill="1" applyBorder="1" applyAlignment="1">
      <alignment horizontal="center" vertical="center"/>
    </xf>
    <xf numFmtId="14" fontId="82" fillId="17" borderId="4" xfId="0" applyNumberFormat="1" applyFont="1" applyFill="1" applyBorder="1" applyAlignment="1">
      <alignment horizontal="center" vertical="center"/>
    </xf>
    <xf numFmtId="14" fontId="82" fillId="17" borderId="13" xfId="0" applyNumberFormat="1" applyFont="1" applyFill="1" applyBorder="1" applyAlignment="1">
      <alignment horizontal="center" vertical="center"/>
    </xf>
    <xf numFmtId="14" fontId="82" fillId="17" borderId="14" xfId="0" applyNumberFormat="1" applyFont="1" applyFill="1" applyBorder="1" applyAlignment="1">
      <alignment horizontal="center" vertical="center"/>
    </xf>
    <xf numFmtId="0" fontId="98" fillId="17" borderId="67" xfId="0" applyFont="1" applyFill="1" applyBorder="1" applyAlignment="1">
      <alignment horizontal="center" vertical="center"/>
    </xf>
    <xf numFmtId="0" fontId="83" fillId="19" borderId="67" xfId="0" applyFont="1" applyFill="1" applyBorder="1" applyAlignment="1">
      <alignment horizontal="center" vertical="center"/>
    </xf>
    <xf numFmtId="0" fontId="83" fillId="23" borderId="67" xfId="0" applyFont="1" applyFill="1" applyBorder="1" applyAlignment="1">
      <alignment horizontal="center" vertical="center"/>
    </xf>
    <xf numFmtId="0" fontId="83" fillId="22" borderId="67" xfId="0" applyFont="1" applyFill="1" applyBorder="1" applyAlignment="1">
      <alignment horizontal="center" vertical="center"/>
    </xf>
    <xf numFmtId="14" fontId="51" fillId="23" borderId="74" xfId="0" applyNumberFormat="1" applyFont="1" applyFill="1" applyBorder="1" applyAlignment="1">
      <alignment horizontal="center" vertical="center" wrapText="1"/>
    </xf>
    <xf numFmtId="14" fontId="82" fillId="23" borderId="76" xfId="0" applyNumberFormat="1" applyFont="1" applyFill="1" applyBorder="1" applyAlignment="1">
      <alignment horizontal="center" vertical="center" wrapText="1"/>
    </xf>
    <xf numFmtId="0" fontId="83" fillId="23" borderId="12" xfId="0" applyFont="1" applyFill="1" applyBorder="1" applyAlignment="1">
      <alignment horizontal="center" vertical="center"/>
    </xf>
    <xf numFmtId="0" fontId="83" fillId="23" borderId="7" xfId="0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1" fontId="83" fillId="22" borderId="12" xfId="0" applyNumberFormat="1" applyFont="1" applyFill="1" applyBorder="1" applyAlignment="1">
      <alignment horizontal="center" vertical="center"/>
    </xf>
    <xf numFmtId="14" fontId="82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3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3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2" fillId="23" borderId="73" xfId="0" applyNumberFormat="1" applyFont="1" applyFill="1" applyBorder="1" applyAlignment="1">
      <alignment horizontal="center" vertical="center"/>
    </xf>
    <xf numFmtId="14" fontId="82" fillId="23" borderId="74" xfId="0" applyNumberFormat="1" applyFont="1" applyFill="1" applyBorder="1" applyAlignment="1">
      <alignment horizontal="center" vertical="center"/>
    </xf>
    <xf numFmtId="14" fontId="82" fillId="23" borderId="75" xfId="0" applyNumberFormat="1" applyFont="1" applyFill="1" applyBorder="1" applyAlignment="1">
      <alignment horizontal="center" vertical="center"/>
    </xf>
    <xf numFmtId="14" fontId="82" fillId="23" borderId="76" xfId="0" applyNumberFormat="1" applyFont="1" applyFill="1" applyBorder="1" applyAlignment="1">
      <alignment horizontal="center" vertical="center"/>
    </xf>
    <xf numFmtId="1" fontId="83" fillId="23" borderId="21" xfId="0" applyNumberFormat="1" applyFont="1" applyFill="1" applyBorder="1" applyAlignment="1">
      <alignment horizontal="center" vertical="center"/>
    </xf>
    <xf numFmtId="1" fontId="83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2" fillId="19" borderId="1" xfId="0" applyNumberFormat="1" applyFont="1" applyFill="1" applyBorder="1" applyAlignment="1">
      <alignment horizontal="center" vertical="center"/>
    </xf>
    <xf numFmtId="14" fontId="82" fillId="19" borderId="4" xfId="0" applyNumberFormat="1" applyFont="1" applyFill="1" applyBorder="1" applyAlignment="1">
      <alignment horizontal="center" vertical="center"/>
    </xf>
    <xf numFmtId="14" fontId="82" fillId="19" borderId="13" xfId="0" applyNumberFormat="1" applyFont="1" applyFill="1" applyBorder="1" applyAlignment="1">
      <alignment horizontal="center" vertical="center"/>
    </xf>
    <xf numFmtId="14" fontId="82" fillId="19" borderId="14" xfId="0" applyNumberFormat="1" applyFont="1" applyFill="1" applyBorder="1" applyAlignment="1">
      <alignment horizontal="center" vertical="center"/>
    </xf>
    <xf numFmtId="14" fontId="82" fillId="23" borderId="1" xfId="0" applyNumberFormat="1" applyFont="1" applyFill="1" applyBorder="1" applyAlignment="1">
      <alignment horizontal="center" vertical="center"/>
    </xf>
    <xf numFmtId="14" fontId="82" fillId="23" borderId="4" xfId="0" applyNumberFormat="1" applyFont="1" applyFill="1" applyBorder="1" applyAlignment="1">
      <alignment horizontal="center" vertical="center"/>
    </xf>
    <xf numFmtId="14" fontId="82" fillId="23" borderId="13" xfId="0" applyNumberFormat="1" applyFont="1" applyFill="1" applyBorder="1" applyAlignment="1">
      <alignment horizontal="center" vertical="center"/>
    </xf>
    <xf numFmtId="14" fontId="82" fillId="23" borderId="14" xfId="0" applyNumberFormat="1" applyFont="1" applyFill="1" applyBorder="1" applyAlignment="1">
      <alignment horizontal="center" vertical="center"/>
    </xf>
    <xf numFmtId="14" fontId="82" fillId="22" borderId="1" xfId="0" applyNumberFormat="1" applyFont="1" applyFill="1" applyBorder="1" applyAlignment="1">
      <alignment horizontal="center" vertical="center"/>
    </xf>
    <xf numFmtId="14" fontId="82" fillId="22" borderId="4" xfId="0" applyNumberFormat="1" applyFont="1" applyFill="1" applyBorder="1" applyAlignment="1">
      <alignment horizontal="center" vertical="center"/>
    </xf>
    <xf numFmtId="14" fontId="82" fillId="22" borderId="13" xfId="0" applyNumberFormat="1" applyFont="1" applyFill="1" applyBorder="1" applyAlignment="1">
      <alignment horizontal="center" vertical="center"/>
    </xf>
    <xf numFmtId="14" fontId="82" fillId="22" borderId="14" xfId="0" applyNumberFormat="1" applyFont="1" applyFill="1" applyBorder="1" applyAlignment="1">
      <alignment horizontal="center" vertical="center"/>
    </xf>
    <xf numFmtId="14" fontId="82" fillId="2" borderId="84" xfId="0" applyNumberFormat="1" applyFont="1" applyFill="1" applyBorder="1" applyAlignment="1">
      <alignment horizontal="center" vertical="center"/>
    </xf>
    <xf numFmtId="14" fontId="82" fillId="2" borderId="31" xfId="0" applyNumberFormat="1" applyFont="1" applyFill="1" applyBorder="1" applyAlignment="1">
      <alignment horizontal="center" vertical="center"/>
    </xf>
    <xf numFmtId="14" fontId="82" fillId="22" borderId="84" xfId="0" applyNumberFormat="1" applyFont="1" applyFill="1" applyBorder="1" applyAlignment="1">
      <alignment horizontal="center" vertical="center"/>
    </xf>
    <xf numFmtId="14" fontId="82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4" fillId="25" borderId="36" xfId="0" applyFont="1" applyFill="1" applyBorder="1" applyAlignment="1">
      <alignment horizontal="center" vertical="center" wrapText="1"/>
    </xf>
    <xf numFmtId="0" fontId="84" fillId="25" borderId="55" xfId="0" applyFont="1" applyFill="1" applyBorder="1" applyAlignment="1">
      <alignment horizontal="center" vertical="center" wrapText="1"/>
    </xf>
    <xf numFmtId="0" fontId="84" fillId="25" borderId="56" xfId="0" applyFont="1" applyFill="1" applyBorder="1" applyAlignment="1">
      <alignment horizontal="center" vertical="center" wrapText="1"/>
    </xf>
    <xf numFmtId="14" fontId="82" fillId="2" borderId="18" xfId="0" applyNumberFormat="1" applyFont="1" applyFill="1" applyBorder="1" applyAlignment="1">
      <alignment horizontal="center" vertical="center"/>
    </xf>
    <xf numFmtId="14" fontId="82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83" fillId="4" borderId="12" xfId="0" applyFont="1" applyFill="1" applyBorder="1" applyAlignment="1">
      <alignment horizontal="center"/>
    </xf>
    <xf numFmtId="0" fontId="83" fillId="20" borderId="12" xfId="0" applyFont="1" applyFill="1" applyBorder="1" applyAlignment="1">
      <alignment horizontal="center"/>
    </xf>
    <xf numFmtId="0" fontId="90" fillId="3" borderId="41" xfId="0" applyFont="1" applyFill="1" applyBorder="1" applyAlignment="1">
      <alignment horizontal="center" vertical="center" wrapText="1"/>
    </xf>
    <xf numFmtId="0" fontId="89" fillId="3" borderId="42" xfId="0" applyFont="1" applyFill="1" applyBorder="1" applyAlignment="1">
      <alignment vertical="center"/>
    </xf>
    <xf numFmtId="0" fontId="89" fillId="3" borderId="43" xfId="0" applyFont="1" applyFill="1" applyBorder="1" applyAlignment="1">
      <alignment vertical="center"/>
    </xf>
    <xf numFmtId="0" fontId="95" fillId="15" borderId="51" xfId="0" applyFont="1" applyFill="1" applyBorder="1" applyAlignment="1">
      <alignment horizontal="center"/>
    </xf>
    <xf numFmtId="0" fontId="96" fillId="15" borderId="0" xfId="0" applyFont="1" applyFill="1" applyAlignment="1">
      <alignment horizontal="center"/>
    </xf>
    <xf numFmtId="0" fontId="100" fillId="3" borderId="42" xfId="0" applyFont="1" applyFill="1" applyBorder="1" applyAlignment="1">
      <alignment horizontal="center" vertical="center"/>
    </xf>
    <xf numFmtId="0" fontId="100" fillId="3" borderId="43" xfId="0" applyFont="1" applyFill="1" applyBorder="1" applyAlignment="1">
      <alignment horizontal="center" vertical="center"/>
    </xf>
    <xf numFmtId="0" fontId="90" fillId="3" borderId="42" xfId="0" applyFont="1" applyFill="1" applyBorder="1" applyAlignment="1">
      <alignment horizontal="center" vertical="center" wrapText="1"/>
    </xf>
    <xf numFmtId="0" fontId="90" fillId="3" borderId="43" xfId="0" applyFont="1" applyFill="1" applyBorder="1" applyAlignment="1">
      <alignment horizontal="center" vertical="center" wrapText="1"/>
    </xf>
    <xf numFmtId="0" fontId="90" fillId="3" borderId="40" xfId="0" applyFont="1" applyFill="1" applyBorder="1" applyAlignment="1">
      <alignment horizontal="center" vertical="center" wrapText="1"/>
    </xf>
    <xf numFmtId="0" fontId="89" fillId="3" borderId="44" xfId="0" applyFont="1" applyFill="1" applyBorder="1" applyAlignment="1">
      <alignment vertical="center"/>
    </xf>
    <xf numFmtId="1" fontId="90" fillId="3" borderId="41" xfId="0" applyNumberFormat="1" applyFont="1" applyFill="1" applyBorder="1" applyAlignment="1">
      <alignment horizontal="center" vertical="center" wrapText="1"/>
    </xf>
    <xf numFmtId="1" fontId="90" fillId="3" borderId="40" xfId="0" applyNumberFormat="1" applyFont="1" applyFill="1" applyBorder="1" applyAlignment="1">
      <alignment horizontal="center" vertical="center" wrapText="1"/>
    </xf>
    <xf numFmtId="0" fontId="89" fillId="3" borderId="46" xfId="0" applyFont="1" applyFill="1" applyBorder="1" applyAlignment="1">
      <alignment vertical="center"/>
    </xf>
    <xf numFmtId="1" fontId="90" fillId="3" borderId="44" xfId="0" applyNumberFormat="1" applyFont="1" applyFill="1" applyBorder="1" applyAlignment="1">
      <alignment horizontal="center" vertical="center" wrapText="1"/>
    </xf>
    <xf numFmtId="177" fontId="83" fillId="4" borderId="12" xfId="0" applyNumberFormat="1" applyFont="1" applyFill="1" applyBorder="1" applyAlignment="1">
      <alignment horizontal="center"/>
    </xf>
    <xf numFmtId="0" fontId="83" fillId="19" borderId="57" xfId="0" applyFont="1" applyFill="1" applyBorder="1" applyAlignment="1">
      <alignment horizontal="center"/>
    </xf>
    <xf numFmtId="0" fontId="83" fillId="19" borderId="10" xfId="0" applyFont="1" applyFill="1" applyBorder="1" applyAlignment="1">
      <alignment horizontal="center"/>
    </xf>
    <xf numFmtId="177" fontId="83" fillId="19" borderId="10" xfId="0" applyNumberFormat="1" applyFont="1" applyFill="1" applyBorder="1" applyAlignment="1">
      <alignment horizontal="center"/>
    </xf>
    <xf numFmtId="0" fontId="83" fillId="19" borderId="23" xfId="0" applyFont="1" applyFill="1" applyBorder="1" applyAlignment="1">
      <alignment horizontal="center"/>
    </xf>
    <xf numFmtId="0" fontId="98" fillId="18" borderId="0" xfId="0" applyFont="1" applyFill="1" applyAlignment="1">
      <alignment horizontal="center"/>
    </xf>
    <xf numFmtId="0" fontId="83" fillId="3" borderId="7" xfId="0" applyFont="1" applyFill="1" applyBorder="1" applyAlignment="1">
      <alignment horizontal="center"/>
    </xf>
    <xf numFmtId="0" fontId="83" fillId="3" borderId="8" xfId="0" applyFont="1" applyFill="1" applyBorder="1" applyAlignment="1">
      <alignment horizontal="center"/>
    </xf>
    <xf numFmtId="0" fontId="83" fillId="3" borderId="29" xfId="0" applyFont="1" applyFill="1" applyBorder="1" applyAlignment="1">
      <alignment horizontal="center"/>
    </xf>
    <xf numFmtId="0" fontId="83" fillId="3" borderId="53" xfId="0" applyFont="1" applyFill="1" applyBorder="1" applyAlignment="1">
      <alignment horizontal="center"/>
    </xf>
    <xf numFmtId="0" fontId="83" fillId="3" borderId="33" xfId="0" applyFont="1" applyFill="1" applyBorder="1" applyAlignment="1">
      <alignment horizontal="center"/>
    </xf>
    <xf numFmtId="0" fontId="83" fillId="18" borderId="7" xfId="0" applyFont="1" applyFill="1" applyBorder="1" applyAlignment="1">
      <alignment horizontal="center"/>
    </xf>
    <xf numFmtId="0" fontId="83" fillId="18" borderId="29" xfId="0" applyFont="1" applyFill="1" applyBorder="1" applyAlignment="1">
      <alignment horizontal="center"/>
    </xf>
    <xf numFmtId="0" fontId="83" fillId="18" borderId="8" xfId="0" applyFont="1" applyFill="1" applyBorder="1" applyAlignment="1">
      <alignment horizontal="center"/>
    </xf>
    <xf numFmtId="14" fontId="103" fillId="2" borderId="12" xfId="0" applyNumberFormat="1" applyFont="1" applyFill="1" applyBorder="1" applyAlignment="1">
      <alignment horizontal="center" vertical="center"/>
    </xf>
    <xf numFmtId="165" fontId="103" fillId="2" borderId="20" xfId="0" applyNumberFormat="1" applyFont="1" applyFill="1" applyBorder="1" applyAlignment="1">
      <alignment horizontal="center" vertical="center"/>
    </xf>
    <xf numFmtId="165" fontId="103" fillId="2" borderId="28" xfId="0" applyNumberFormat="1" applyFont="1" applyFill="1" applyBorder="1" applyAlignment="1">
      <alignment horizontal="center" vertical="center"/>
    </xf>
    <xf numFmtId="165" fontId="103" fillId="2" borderId="12" xfId="0" applyNumberFormat="1" applyFont="1" applyFill="1" applyBorder="1" applyAlignment="1">
      <alignment horizontal="center" vertical="center"/>
    </xf>
    <xf numFmtId="14" fontId="103" fillId="2" borderId="1" xfId="0" applyNumberFormat="1" applyFont="1" applyFill="1" applyBorder="1" applyAlignment="1">
      <alignment horizontal="center" vertical="center"/>
    </xf>
    <xf numFmtId="14" fontId="103" fillId="2" borderId="4" xfId="0" applyNumberFormat="1" applyFont="1" applyFill="1" applyBorder="1" applyAlignment="1">
      <alignment horizontal="center" vertical="center"/>
    </xf>
    <xf numFmtId="14" fontId="103" fillId="2" borderId="18" xfId="0" applyNumberFormat="1" applyFont="1" applyFill="1" applyBorder="1" applyAlignment="1">
      <alignment horizontal="center" vertical="center"/>
    </xf>
    <xf numFmtId="14" fontId="103" fillId="2" borderId="19" xfId="0" applyNumberFormat="1" applyFont="1" applyFill="1" applyBorder="1" applyAlignment="1">
      <alignment horizontal="center" vertical="center"/>
    </xf>
    <xf numFmtId="165" fontId="103" fillId="2" borderId="63" xfId="0" applyNumberFormat="1" applyFont="1" applyFill="1" applyBorder="1" applyAlignment="1">
      <alignment horizontal="center" vertical="center"/>
    </xf>
    <xf numFmtId="165" fontId="103" fillId="2" borderId="64" xfId="0" applyNumberFormat="1" applyFont="1" applyFill="1" applyBorder="1" applyAlignment="1">
      <alignment horizontal="center" vertical="center"/>
    </xf>
    <xf numFmtId="165" fontId="103" fillId="2" borderId="65" xfId="0" applyNumberFormat="1" applyFont="1" applyFill="1" applyBorder="1" applyAlignment="1">
      <alignment horizontal="center" vertical="center"/>
    </xf>
    <xf numFmtId="165" fontId="103" fillId="2" borderId="86" xfId="0" applyNumberFormat="1" applyFont="1" applyFill="1" applyBorder="1" applyAlignment="1">
      <alignment horizontal="center" vertical="center"/>
    </xf>
    <xf numFmtId="14" fontId="103" fillId="2" borderId="13" xfId="0" applyNumberFormat="1" applyFont="1" applyFill="1" applyBorder="1" applyAlignment="1">
      <alignment horizontal="center" vertical="center"/>
    </xf>
    <xf numFmtId="14" fontId="103" fillId="2" borderId="14" xfId="0" applyNumberFormat="1" applyFont="1" applyFill="1" applyBorder="1" applyAlignment="1">
      <alignment horizontal="center" vertical="center"/>
    </xf>
    <xf numFmtId="165" fontId="103" fillId="2" borderId="6" xfId="0" applyNumberFormat="1" applyFont="1" applyFill="1" applyBorder="1" applyAlignment="1">
      <alignment horizontal="center" vertical="center"/>
    </xf>
    <xf numFmtId="0" fontId="103" fillId="2" borderId="16" xfId="0" applyFont="1" applyFill="1" applyBorder="1" applyAlignment="1">
      <alignment horizontal="center" vertical="center"/>
    </xf>
    <xf numFmtId="165" fontId="103" fillId="2" borderId="5" xfId="0" applyNumberFormat="1" applyFont="1" applyFill="1" applyBorder="1" applyAlignment="1">
      <alignment horizontal="center" vertical="center"/>
    </xf>
    <xf numFmtId="165" fontId="103" fillId="2" borderId="15" xfId="0" applyNumberFormat="1" applyFont="1" applyFill="1" applyBorder="1" applyAlignment="1">
      <alignment horizontal="center" vertical="center"/>
    </xf>
    <xf numFmtId="165" fontId="103" fillId="2" borderId="0" xfId="0" applyNumberFormat="1" applyFont="1" applyFill="1" applyAlignment="1">
      <alignment horizontal="center" vertical="center"/>
    </xf>
    <xf numFmtId="0" fontId="103" fillId="2" borderId="53" xfId="0" applyFont="1" applyFill="1" applyBorder="1" applyAlignment="1">
      <alignment horizontal="center" vertical="center"/>
    </xf>
    <xf numFmtId="14" fontId="103" fillId="17" borderId="1" xfId="0" applyNumberFormat="1" applyFont="1" applyFill="1" applyBorder="1" applyAlignment="1">
      <alignment horizontal="center" vertical="center"/>
    </xf>
    <xf numFmtId="14" fontId="103" fillId="17" borderId="4" xfId="0" applyNumberFormat="1" applyFont="1" applyFill="1" applyBorder="1" applyAlignment="1">
      <alignment horizontal="center" vertical="center"/>
    </xf>
    <xf numFmtId="14" fontId="103" fillId="17" borderId="13" xfId="0" applyNumberFormat="1" applyFont="1" applyFill="1" applyBorder="1" applyAlignment="1">
      <alignment horizontal="center" vertical="center"/>
    </xf>
    <xf numFmtId="14" fontId="103" fillId="17" borderId="14" xfId="0" applyNumberFormat="1" applyFont="1" applyFill="1" applyBorder="1" applyAlignment="1">
      <alignment horizontal="center" vertical="center"/>
    </xf>
    <xf numFmtId="165" fontId="103" fillId="17" borderId="5" xfId="0" applyNumberFormat="1" applyFont="1" applyFill="1" applyBorder="1" applyAlignment="1">
      <alignment horizontal="center" vertical="center"/>
    </xf>
    <xf numFmtId="165" fontId="103" fillId="17" borderId="15" xfId="0" applyNumberFormat="1" applyFont="1" applyFill="1" applyBorder="1" applyAlignment="1">
      <alignment horizontal="center" vertical="center"/>
    </xf>
    <xf numFmtId="0" fontId="98" fillId="3" borderId="18" xfId="0" applyFont="1" applyFill="1" applyBorder="1" applyAlignment="1">
      <alignment horizontal="center" vertical="center"/>
    </xf>
    <xf numFmtId="0" fontId="98" fillId="3" borderId="19" xfId="0" applyFont="1" applyFill="1" applyBorder="1" applyAlignment="1">
      <alignment horizontal="center" vertical="center"/>
    </xf>
    <xf numFmtId="0" fontId="103" fillId="2" borderId="20" xfId="0" applyFont="1" applyFill="1" applyBorder="1" applyAlignment="1">
      <alignment horizontal="left" wrapText="1"/>
    </xf>
    <xf numFmtId="0" fontId="103" fillId="2" borderId="28" xfId="0" applyFont="1" applyFill="1" applyBorder="1" applyAlignment="1">
      <alignment horizontal="left" wrapText="1"/>
    </xf>
    <xf numFmtId="0" fontId="113" fillId="3" borderId="36" xfId="0" applyFont="1" applyFill="1" applyBorder="1" applyAlignment="1">
      <alignment horizontal="center"/>
    </xf>
    <xf numFmtId="0" fontId="113" fillId="3" borderId="55" xfId="0" applyFont="1" applyFill="1" applyBorder="1" applyAlignment="1">
      <alignment horizontal="center"/>
    </xf>
    <xf numFmtId="0" fontId="113" fillId="3" borderId="56" xfId="0" applyFont="1" applyFill="1" applyBorder="1" applyAlignment="1">
      <alignment horizontal="center"/>
    </xf>
    <xf numFmtId="165" fontId="103" fillId="2" borderId="21" xfId="0" applyNumberFormat="1" applyFont="1" applyFill="1" applyBorder="1" applyAlignment="1">
      <alignment horizontal="center" vertical="center"/>
    </xf>
    <xf numFmtId="14" fontId="98" fillId="4" borderId="18" xfId="0" applyNumberFormat="1" applyFont="1" applyFill="1" applyBorder="1" applyAlignment="1">
      <alignment horizontal="center" vertical="center"/>
    </xf>
    <xf numFmtId="14" fontId="98" fillId="4" borderId="19" xfId="0" applyNumberFormat="1" applyFont="1" applyFill="1" applyBorder="1" applyAlignment="1">
      <alignment horizontal="center" vertical="center"/>
    </xf>
    <xf numFmtId="0" fontId="98" fillId="4" borderId="24" xfId="0" applyFont="1" applyFill="1" applyBorder="1" applyAlignment="1">
      <alignment horizontal="center"/>
    </xf>
    <xf numFmtId="0" fontId="98" fillId="4" borderId="17" xfId="0" applyFont="1" applyFill="1" applyBorder="1" applyAlignment="1">
      <alignment horizontal="center"/>
    </xf>
    <xf numFmtId="0" fontId="93" fillId="20" borderId="7" xfId="0" applyFont="1" applyFill="1" applyBorder="1" applyAlignment="1">
      <alignment horizontal="center"/>
    </xf>
    <xf numFmtId="0" fontId="93" fillId="20" borderId="8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14" fontId="82" fillId="2" borderId="33" xfId="0" applyNumberFormat="1" applyFont="1" applyFill="1" applyBorder="1" applyAlignment="1">
      <alignment horizontal="center" vertical="center"/>
    </xf>
    <xf numFmtId="0" fontId="83" fillId="3" borderId="30" xfId="0" applyFont="1" applyFill="1" applyBorder="1" applyAlignment="1">
      <alignment horizontal="center"/>
    </xf>
    <xf numFmtId="0" fontId="83" fillId="3" borderId="34" xfId="0" applyFont="1" applyFill="1" applyBorder="1" applyAlignment="1">
      <alignment horizontal="center"/>
    </xf>
    <xf numFmtId="0" fontId="83" fillId="3" borderId="31" xfId="0" applyFont="1" applyFill="1" applyBorder="1" applyAlignment="1">
      <alignment horizontal="center"/>
    </xf>
    <xf numFmtId="0" fontId="82" fillId="3" borderId="36" xfId="0" applyFont="1" applyFill="1" applyBorder="1" applyAlignment="1">
      <alignment horizontal="center"/>
    </xf>
    <xf numFmtId="0" fontId="82" fillId="3" borderId="37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83" fillId="18" borderId="0" xfId="0" applyFont="1" applyFill="1" applyAlignment="1">
      <alignment horizontal="center"/>
    </xf>
    <xf numFmtId="0" fontId="105" fillId="23" borderId="20" xfId="0" applyFont="1" applyFill="1" applyBorder="1" applyAlignment="1">
      <alignment horizontal="center" vertical="center"/>
    </xf>
    <xf numFmtId="0" fontId="105" fillId="23" borderId="21" xfId="0" applyFont="1" applyFill="1" applyBorder="1" applyAlignment="1">
      <alignment horizontal="center" vertical="center"/>
    </xf>
    <xf numFmtId="0" fontId="105" fillId="23" borderId="28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0" fontId="98" fillId="17" borderId="21" xfId="0" applyFon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0" fontId="102" fillId="17" borderId="20" xfId="0" applyFont="1" applyFill="1" applyBorder="1" applyAlignment="1">
      <alignment horizontal="center" vertical="center"/>
    </xf>
    <xf numFmtId="0" fontId="102" fillId="17" borderId="21" xfId="0" applyFont="1" applyFill="1" applyBorder="1" applyAlignment="1">
      <alignment horizontal="center" vertical="center"/>
    </xf>
    <xf numFmtId="0" fontId="102" fillId="17" borderId="28" xfId="0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19" borderId="12" xfId="0" applyNumberFormat="1" applyFont="1" applyFill="1" applyBorder="1" applyAlignment="1">
      <alignment horizontal="center" vertical="center"/>
    </xf>
    <xf numFmtId="14" fontId="82" fillId="19" borderId="12" xfId="0" applyNumberFormat="1" applyFont="1" applyFill="1" applyBorder="1" applyAlignment="1">
      <alignment horizontal="center" vertical="center"/>
    </xf>
    <xf numFmtId="9" fontId="83" fillId="17" borderId="12" xfId="2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14" fontId="82" fillId="17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65" fillId="23" borderId="73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9" fontId="83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5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5" fillId="22" borderId="28" xfId="0" applyNumberFormat="1" applyFont="1" applyFill="1" applyBorder="1" applyAlignment="1">
      <alignment horizontal="center" vertical="center"/>
    </xf>
    <xf numFmtId="14" fontId="82" fillId="22" borderId="28" xfId="0" applyNumberFormat="1" applyFont="1" applyFill="1" applyBorder="1" applyAlignment="1">
      <alignment horizontal="center" vertical="center"/>
    </xf>
    <xf numFmtId="0" fontId="105" fillId="23" borderId="34" xfId="0" applyFont="1" applyFill="1" applyBorder="1" applyAlignment="1">
      <alignment horizontal="center" vertical="center"/>
    </xf>
    <xf numFmtId="0" fontId="105" fillId="23" borderId="0" xfId="0" applyFont="1" applyFill="1" applyAlignment="1">
      <alignment horizontal="center" vertical="center"/>
    </xf>
    <xf numFmtId="0" fontId="105" fillId="23" borderId="77" xfId="0" applyFont="1" applyFill="1" applyBorder="1" applyAlignment="1">
      <alignment horizontal="center" vertical="center"/>
    </xf>
    <xf numFmtId="0" fontId="105" fillId="23" borderId="30" xfId="0" applyFont="1" applyFill="1" applyBorder="1" applyAlignment="1">
      <alignment horizontal="center" vertical="center"/>
    </xf>
    <xf numFmtId="0" fontId="105" fillId="23" borderId="22" xfId="0" applyFont="1" applyFill="1" applyBorder="1" applyAlignment="1">
      <alignment horizontal="center" vertical="center"/>
    </xf>
    <xf numFmtId="0" fontId="105" fillId="23" borderId="32" xfId="0" applyFont="1" applyFill="1" applyBorder="1" applyAlignment="1">
      <alignment horizontal="center" vertical="center"/>
    </xf>
    <xf numFmtId="14" fontId="65" fillId="23" borderId="69" xfId="0" applyNumberFormat="1" applyFont="1" applyFill="1" applyBorder="1" applyAlignment="1">
      <alignment horizontal="center" vertical="center"/>
    </xf>
    <xf numFmtId="14" fontId="82" fillId="23" borderId="70" xfId="0" applyNumberFormat="1" applyFont="1" applyFill="1" applyBorder="1" applyAlignment="1">
      <alignment horizontal="center" vertical="center"/>
    </xf>
    <xf numFmtId="14" fontId="65" fillId="23" borderId="28" xfId="0" applyNumberFormat="1" applyFont="1" applyFill="1" applyBorder="1" applyAlignment="1">
      <alignment horizontal="center" vertical="center"/>
    </xf>
    <xf numFmtId="14" fontId="82" fillId="23" borderId="28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65" fillId="23" borderId="75" xfId="0" applyNumberFormat="1" applyFont="1" applyFill="1" applyBorder="1" applyAlignment="1">
      <alignment horizontal="center" vertical="center"/>
    </xf>
    <xf numFmtId="0" fontId="83" fillId="3" borderId="22" xfId="0" applyFont="1" applyFill="1" applyBorder="1" applyAlignment="1">
      <alignment horizontal="center"/>
    </xf>
    <xf numFmtId="0" fontId="83" fillId="3" borderId="0" xfId="0" applyFont="1" applyFill="1" applyAlignment="1">
      <alignment horizontal="center"/>
    </xf>
    <xf numFmtId="0" fontId="83" fillId="3" borderId="12" xfId="0" applyFont="1" applyFill="1" applyBorder="1" applyAlignment="1">
      <alignment horizontal="center" vertical="center"/>
    </xf>
    <xf numFmtId="0" fontId="105" fillId="22" borderId="30" xfId="0" applyFont="1" applyFill="1" applyBorder="1" applyAlignment="1">
      <alignment horizontal="center" vertical="center"/>
    </xf>
    <xf numFmtId="0" fontId="105" fillId="22" borderId="22" xfId="0" applyFont="1" applyFill="1" applyBorder="1" applyAlignment="1">
      <alignment horizontal="center" vertical="center"/>
    </xf>
    <xf numFmtId="0" fontId="105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0" fontId="98" fillId="19" borderId="21" xfId="0" applyFont="1" applyFill="1" applyBorder="1" applyAlignment="1">
      <alignment horizontal="center" vertical="center"/>
    </xf>
    <xf numFmtId="0" fontId="98" fillId="19" borderId="28" xfId="0" applyFont="1" applyFill="1" applyBorder="1" applyAlignment="1">
      <alignment horizontal="center" vertical="center"/>
    </xf>
    <xf numFmtId="0" fontId="105" fillId="19" borderId="20" xfId="0" applyFont="1" applyFill="1" applyBorder="1" applyAlignment="1">
      <alignment horizontal="center" vertical="center"/>
    </xf>
    <xf numFmtId="0" fontId="105" fillId="19" borderId="21" xfId="0" applyFont="1" applyFill="1" applyBorder="1" applyAlignment="1">
      <alignment horizontal="center" vertical="center"/>
    </xf>
    <xf numFmtId="0" fontId="105" fillId="19" borderId="28" xfId="0" applyFont="1" applyFill="1" applyBorder="1" applyAlignment="1">
      <alignment horizontal="center" vertical="center"/>
    </xf>
    <xf numFmtId="0" fontId="105" fillId="23" borderId="20" xfId="0" applyFont="1" applyFill="1" applyBorder="1" applyAlignment="1">
      <alignment horizontal="center" vertical="center" wrapText="1"/>
    </xf>
    <xf numFmtId="0" fontId="105" fillId="23" borderId="21" xfId="0" applyFont="1" applyFill="1" applyBorder="1" applyAlignment="1">
      <alignment horizontal="center" vertical="center" wrapText="1"/>
    </xf>
    <xf numFmtId="0" fontId="105" fillId="23" borderId="28" xfId="0" applyFont="1" applyFill="1" applyBorder="1" applyAlignment="1">
      <alignment horizontal="center" vertical="center" wrapText="1"/>
    </xf>
    <xf numFmtId="0" fontId="83" fillId="18" borderId="20" xfId="0" applyFont="1" applyFill="1" applyBorder="1" applyAlignment="1">
      <alignment horizontal="center" vertical="center"/>
    </xf>
    <xf numFmtId="0" fontId="83" fillId="18" borderId="21" xfId="0" applyFont="1" applyFill="1" applyBorder="1" applyAlignment="1">
      <alignment horizontal="center" vertical="center"/>
    </xf>
    <xf numFmtId="0" fontId="83" fillId="18" borderId="28" xfId="0" applyFont="1" applyFill="1" applyBorder="1" applyAlignment="1">
      <alignment horizontal="center" vertical="center"/>
    </xf>
    <xf numFmtId="0" fontId="87" fillId="17" borderId="20" xfId="0" applyFont="1" applyFill="1" applyBorder="1" applyAlignment="1">
      <alignment horizontal="center" vertical="center"/>
    </xf>
    <xf numFmtId="0" fontId="87" fillId="17" borderId="21" xfId="0" applyFont="1" applyFill="1" applyBorder="1" applyAlignment="1">
      <alignment horizontal="center" vertical="center"/>
    </xf>
    <xf numFmtId="0" fontId="87" fillId="17" borderId="28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2" borderId="21" xfId="0" applyFont="1" applyFill="1" applyBorder="1" applyAlignment="1">
      <alignment horizontal="center" vertical="center"/>
    </xf>
    <xf numFmtId="0" fontId="98" fillId="22" borderId="28" xfId="0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0" fontId="98" fillId="23" borderId="21" xfId="0" applyFont="1" applyFill="1" applyBorder="1" applyAlignment="1">
      <alignment horizontal="center" vertical="center"/>
    </xf>
    <xf numFmtId="0" fontId="98" fillId="23" borderId="28" xfId="0" applyFont="1" applyFill="1" applyBorder="1" applyAlignment="1">
      <alignment horizontal="center" vertical="center"/>
    </xf>
    <xf numFmtId="0" fontId="83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83" fillId="18" borderId="57" xfId="0" applyFont="1" applyFill="1" applyBorder="1" applyAlignment="1">
      <alignment horizontal="center"/>
    </xf>
    <xf numFmtId="0" fontId="83" fillId="18" borderId="10" xfId="0" applyFont="1" applyFill="1" applyBorder="1" applyAlignment="1">
      <alignment horizontal="center"/>
    </xf>
    <xf numFmtId="0" fontId="8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3" fillId="16" borderId="36" xfId="0" applyFont="1" applyFill="1" applyBorder="1" applyAlignment="1">
      <alignment horizontal="center"/>
    </xf>
    <xf numFmtId="0" fontId="93" fillId="16" borderId="55" xfId="0" applyFont="1" applyFill="1" applyBorder="1" applyAlignment="1">
      <alignment horizontal="center"/>
    </xf>
    <xf numFmtId="0" fontId="93" fillId="16" borderId="56" xfId="0" applyFont="1" applyFill="1" applyBorder="1" applyAlignment="1">
      <alignment horizontal="center"/>
    </xf>
    <xf numFmtId="0" fontId="83" fillId="4" borderId="18" xfId="0" applyFont="1" applyFill="1" applyBorder="1" applyAlignment="1">
      <alignment horizontal="center"/>
    </xf>
    <xf numFmtId="0" fontId="83" fillId="4" borderId="67" xfId="0" applyFont="1" applyFill="1" applyBorder="1" applyAlignment="1">
      <alignment horizontal="center"/>
    </xf>
    <xf numFmtId="0" fontId="98" fillId="4" borderId="0" xfId="0" applyFont="1" applyFill="1" applyAlignment="1">
      <alignment horizontal="center"/>
    </xf>
    <xf numFmtId="14" fontId="82" fillId="2" borderId="32" xfId="0" applyNumberFormat="1" applyFont="1" applyFill="1" applyBorder="1" applyAlignment="1">
      <alignment horizontal="center" vertical="center"/>
    </xf>
    <xf numFmtId="0" fontId="83" fillId="18" borderId="20" xfId="0" applyFont="1" applyFill="1" applyBorder="1" applyAlignment="1">
      <alignment horizontal="center" wrapText="1"/>
    </xf>
    <xf numFmtId="0" fontId="83" fillId="18" borderId="28" xfId="0" applyFont="1" applyFill="1" applyBorder="1" applyAlignment="1">
      <alignment horizontal="center" wrapText="1"/>
    </xf>
    <xf numFmtId="0" fontId="83" fillId="18" borderId="12" xfId="0" applyFont="1" applyFill="1" applyBorder="1" applyAlignment="1">
      <alignment horizontal="center"/>
    </xf>
    <xf numFmtId="0" fontId="102" fillId="4" borderId="36" xfId="0" applyFont="1" applyFill="1" applyBorder="1" applyAlignment="1">
      <alignment horizontal="center"/>
    </xf>
    <xf numFmtId="0" fontId="102" fillId="4" borderId="55" xfId="0" applyFont="1" applyFill="1" applyBorder="1" applyAlignment="1">
      <alignment horizontal="center"/>
    </xf>
    <xf numFmtId="0" fontId="102" fillId="4" borderId="56" xfId="0" applyFont="1" applyFill="1" applyBorder="1" applyAlignment="1">
      <alignment horizontal="center"/>
    </xf>
    <xf numFmtId="0" fontId="83" fillId="18" borderId="12" xfId="0" applyFont="1" applyFill="1" applyBorder="1" applyAlignment="1">
      <alignment horizontal="center" vertical="center" wrapText="1"/>
    </xf>
    <xf numFmtId="17" fontId="102" fillId="4" borderId="36" xfId="0" applyNumberFormat="1" applyFont="1" applyFill="1" applyBorder="1" applyAlignment="1">
      <alignment horizontal="center"/>
    </xf>
    <xf numFmtId="17" fontId="102" fillId="4" borderId="55" xfId="0" applyNumberFormat="1" applyFont="1" applyFill="1" applyBorder="1" applyAlignment="1">
      <alignment horizontal="center"/>
    </xf>
    <xf numFmtId="17" fontId="102" fillId="4" borderId="56" xfId="0" applyNumberFormat="1" applyFont="1" applyFill="1" applyBorder="1" applyAlignment="1">
      <alignment horizontal="center"/>
    </xf>
    <xf numFmtId="0" fontId="83" fillId="18" borderId="20" xfId="0" applyFont="1" applyFill="1" applyBorder="1" applyAlignment="1">
      <alignment horizontal="center" vertical="center" wrapText="1"/>
    </xf>
    <xf numFmtId="0" fontId="83" fillId="18" borderId="21" xfId="0" applyFont="1" applyFill="1" applyBorder="1" applyAlignment="1">
      <alignment horizontal="center" vertical="center" wrapText="1"/>
    </xf>
    <xf numFmtId="0" fontId="83" fillId="18" borderId="28" xfId="0" applyFont="1" applyFill="1" applyBorder="1" applyAlignment="1">
      <alignment horizontal="center" vertical="center" wrapText="1"/>
    </xf>
    <xf numFmtId="0" fontId="83" fillId="18" borderId="30" xfId="0" applyFont="1" applyFill="1" applyBorder="1" applyAlignment="1">
      <alignment horizontal="center" vertical="center"/>
    </xf>
    <xf numFmtId="0" fontId="83" fillId="18" borderId="34" xfId="0" applyFont="1" applyFill="1" applyBorder="1" applyAlignment="1">
      <alignment horizontal="center" vertical="center"/>
    </xf>
    <xf numFmtId="0" fontId="83" fillId="18" borderId="31" xfId="0" applyFont="1" applyFill="1" applyBorder="1" applyAlignment="1">
      <alignment horizontal="center" vertical="center"/>
    </xf>
    <xf numFmtId="0" fontId="83" fillId="18" borderId="32" xfId="0" applyFont="1" applyFill="1" applyBorder="1" applyAlignment="1">
      <alignment horizontal="center" vertical="center"/>
    </xf>
    <xf numFmtId="0" fontId="83" fillId="18" borderId="53" xfId="0" applyFont="1" applyFill="1" applyBorder="1" applyAlignment="1">
      <alignment horizontal="center" vertical="center"/>
    </xf>
    <xf numFmtId="0" fontId="83" fillId="18" borderId="33" xfId="0" applyFont="1" applyFill="1" applyBorder="1" applyAlignment="1">
      <alignment horizontal="center" vertical="center"/>
    </xf>
    <xf numFmtId="43" fontId="83" fillId="18" borderId="20" xfId="1" applyFont="1" applyFill="1" applyBorder="1" applyAlignment="1">
      <alignment horizontal="center" vertical="center"/>
    </xf>
    <xf numFmtId="43" fontId="83" fillId="18" borderId="21" xfId="1" applyFont="1" applyFill="1" applyBorder="1" applyAlignment="1">
      <alignment horizontal="center" vertical="center"/>
    </xf>
    <xf numFmtId="43" fontId="83" fillId="18" borderId="28" xfId="1" applyFont="1" applyFill="1" applyBorder="1" applyAlignment="1">
      <alignment horizontal="center" vertical="center"/>
    </xf>
    <xf numFmtId="0" fontId="83" fillId="19" borderId="7" xfId="0" applyFont="1" applyFill="1" applyBorder="1" applyAlignment="1">
      <alignment horizontal="center"/>
    </xf>
    <xf numFmtId="0" fontId="83" fillId="19" borderId="29" xfId="0" applyFont="1" applyFill="1" applyBorder="1" applyAlignment="1">
      <alignment horizontal="center"/>
    </xf>
    <xf numFmtId="0" fontId="83" fillId="19" borderId="8" xfId="0" applyFont="1" applyFill="1" applyBorder="1" applyAlignment="1">
      <alignment horizontal="center"/>
    </xf>
    <xf numFmtId="178" fontId="83" fillId="18" borderId="7" xfId="0" applyNumberFormat="1" applyFont="1" applyFill="1" applyBorder="1" applyAlignment="1">
      <alignment horizontal="center"/>
    </xf>
    <xf numFmtId="178" fontId="83" fillId="18" borderId="29" xfId="0" applyNumberFormat="1" applyFont="1" applyFill="1" applyBorder="1" applyAlignment="1">
      <alignment horizontal="center"/>
    </xf>
    <xf numFmtId="178" fontId="83" fillId="18" borderId="8" xfId="0" applyNumberFormat="1" applyFont="1" applyFill="1" applyBorder="1" applyAlignment="1">
      <alignment horizontal="center"/>
    </xf>
    <xf numFmtId="0" fontId="97" fillId="4" borderId="1" xfId="0" applyFont="1" applyFill="1" applyBorder="1" applyAlignment="1">
      <alignment horizontal="center" vertical="center"/>
    </xf>
    <xf numFmtId="0" fontId="97" fillId="4" borderId="2" xfId="0" applyFont="1" applyFill="1" applyBorder="1" applyAlignment="1">
      <alignment horizontal="center" vertical="center"/>
    </xf>
    <xf numFmtId="0" fontId="97" fillId="4" borderId="3" xfId="0" applyFont="1" applyFill="1" applyBorder="1" applyAlignment="1">
      <alignment horizontal="center" vertical="center"/>
    </xf>
    <xf numFmtId="0" fontId="97" fillId="4" borderId="13" xfId="0" applyFont="1" applyFill="1" applyBorder="1" applyAlignment="1">
      <alignment horizontal="center" vertical="center"/>
    </xf>
    <xf numFmtId="0" fontId="97" fillId="4" borderId="51" xfId="0" applyFont="1" applyFill="1" applyBorder="1" applyAlignment="1">
      <alignment horizontal="center" vertical="center"/>
    </xf>
    <xf numFmtId="0" fontId="97" fillId="4" borderId="26" xfId="0" applyFont="1" applyFill="1" applyBorder="1" applyAlignment="1">
      <alignment horizontal="center" vertical="center"/>
    </xf>
    <xf numFmtId="0" fontId="88" fillId="8" borderId="12" xfId="0" applyFont="1" applyFill="1" applyBorder="1" applyAlignment="1">
      <alignment horizontal="center" vertical="center"/>
    </xf>
    <xf numFmtId="0" fontId="88" fillId="8" borderId="20" xfId="0" applyFont="1" applyFill="1" applyBorder="1" applyAlignment="1">
      <alignment horizontal="center" vertical="center"/>
    </xf>
    <xf numFmtId="0" fontId="88" fillId="8" borderId="21" xfId="0" applyFont="1" applyFill="1" applyBorder="1" applyAlignment="1">
      <alignment horizontal="center" vertical="center"/>
    </xf>
    <xf numFmtId="0" fontId="88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9" fillId="2" borderId="20" xfId="0" applyFont="1" applyFill="1" applyBorder="1" applyAlignment="1">
      <alignment horizontal="center"/>
    </xf>
    <xf numFmtId="0" fontId="89" fillId="2" borderId="21" xfId="0" applyFont="1" applyFill="1" applyBorder="1" applyAlignment="1">
      <alignment horizontal="center"/>
    </xf>
    <xf numFmtId="0" fontId="89" fillId="2" borderId="28" xfId="0" applyFont="1" applyFill="1" applyBorder="1" applyAlignment="1">
      <alignment horizontal="center"/>
    </xf>
    <xf numFmtId="0" fontId="88" fillId="2" borderId="59" xfId="0" applyFont="1" applyFill="1" applyBorder="1" applyAlignment="1">
      <alignment horizontal="center" vertical="top" wrapText="1"/>
    </xf>
    <xf numFmtId="0" fontId="88" fillId="2" borderId="61" xfId="0" applyFont="1" applyFill="1" applyBorder="1" applyAlignment="1">
      <alignment horizontal="center" vertical="top" wrapText="1"/>
    </xf>
    <xf numFmtId="0" fontId="88" fillId="2" borderId="62" xfId="0" applyFont="1" applyFill="1" applyBorder="1" applyAlignment="1">
      <alignment horizontal="center" vertical="top" wrapText="1"/>
    </xf>
    <xf numFmtId="0" fontId="88" fillId="2" borderId="63" xfId="0" applyFont="1" applyFill="1" applyBorder="1" applyAlignment="1">
      <alignment horizontal="center" vertical="top" wrapText="1"/>
    </xf>
    <xf numFmtId="0" fontId="88" fillId="2" borderId="64" xfId="0" applyFont="1" applyFill="1" applyBorder="1" applyAlignment="1">
      <alignment horizontal="center" vertical="top" wrapText="1"/>
    </xf>
    <xf numFmtId="0" fontId="8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8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9" fillId="2" borderId="12" xfId="0" applyFont="1" applyFill="1" applyBorder="1"/>
    <xf numFmtId="14" fontId="88" fillId="7" borderId="12" xfId="0" applyNumberFormat="1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 vertical="center"/>
    </xf>
    <xf numFmtId="14" fontId="88" fillId="7" borderId="20" xfId="0" applyNumberFormat="1" applyFont="1" applyFill="1" applyBorder="1" applyAlignment="1">
      <alignment horizontal="center" vertical="center"/>
    </xf>
    <xf numFmtId="14" fontId="88" fillId="7" borderId="21" xfId="0" applyNumberFormat="1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/>
    </xf>
    <xf numFmtId="14" fontId="88" fillId="7" borderId="57" xfId="0" applyNumberFormat="1" applyFont="1" applyFill="1" applyBorder="1" applyAlignment="1">
      <alignment horizontal="center" vertical="center"/>
    </xf>
    <xf numFmtId="14" fontId="88" fillId="7" borderId="60" xfId="0" applyNumberFormat="1" applyFont="1" applyFill="1" applyBorder="1" applyAlignment="1">
      <alignment horizontal="center" vertical="center"/>
    </xf>
    <xf numFmtId="14" fontId="88" fillId="7" borderId="24" xfId="0" applyNumberFormat="1" applyFont="1" applyFill="1" applyBorder="1" applyAlignment="1">
      <alignment horizontal="center" vertical="center"/>
    </xf>
    <xf numFmtId="14" fontId="8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9" fillId="2" borderId="20" xfId="0" applyFont="1" applyFill="1" applyBorder="1" applyAlignment="1">
      <alignment horizontal="center" vertical="center"/>
    </xf>
    <xf numFmtId="0" fontId="89" fillId="2" borderId="21" xfId="0" applyFont="1" applyFill="1" applyBorder="1" applyAlignment="1">
      <alignment horizontal="center" vertical="center"/>
    </xf>
    <xf numFmtId="0" fontId="89" fillId="2" borderId="28" xfId="0" applyFont="1" applyFill="1" applyBorder="1" applyAlignment="1">
      <alignment horizontal="center" vertical="center"/>
    </xf>
    <xf numFmtId="0" fontId="90" fillId="11" borderId="7" xfId="0" applyFont="1" applyFill="1" applyBorder="1" applyAlignment="1">
      <alignment horizontal="center" vertical="center"/>
    </xf>
    <xf numFmtId="0" fontId="90" fillId="11" borderId="29" xfId="0" applyFont="1" applyFill="1" applyBorder="1" applyAlignment="1">
      <alignment horizontal="center" vertical="center"/>
    </xf>
    <xf numFmtId="0" fontId="90" fillId="11" borderId="8" xfId="0" applyFont="1" applyFill="1" applyBorder="1" applyAlignment="1">
      <alignment horizontal="center" vertical="center"/>
    </xf>
    <xf numFmtId="20" fontId="90" fillId="11" borderId="7" xfId="0" applyNumberFormat="1" applyFont="1" applyFill="1" applyBorder="1" applyAlignment="1">
      <alignment horizontal="center" vertical="center"/>
    </xf>
    <xf numFmtId="20" fontId="90" fillId="11" borderId="29" xfId="0" applyNumberFormat="1" applyFont="1" applyFill="1" applyBorder="1" applyAlignment="1">
      <alignment horizontal="center" vertical="center"/>
    </xf>
    <xf numFmtId="20" fontId="90" fillId="11" borderId="8" xfId="0" applyNumberFormat="1" applyFont="1" applyFill="1" applyBorder="1" applyAlignment="1">
      <alignment horizontal="center" vertical="center"/>
    </xf>
    <xf numFmtId="20" fontId="92" fillId="10" borderId="7" xfId="0" applyNumberFormat="1" applyFont="1" applyFill="1" applyBorder="1" applyAlignment="1">
      <alignment horizontal="center"/>
    </xf>
    <xf numFmtId="20" fontId="92" fillId="10" borderId="29" xfId="0" applyNumberFormat="1" applyFont="1" applyFill="1" applyBorder="1" applyAlignment="1">
      <alignment horizontal="center"/>
    </xf>
    <xf numFmtId="20" fontId="92" fillId="10" borderId="8" xfId="0" applyNumberFormat="1" applyFont="1" applyFill="1" applyBorder="1" applyAlignment="1">
      <alignment horizontal="center"/>
    </xf>
    <xf numFmtId="14" fontId="88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3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5" xfId="0" applyNumberFormat="1" applyFont="1" applyFill="1" applyBorder="1" applyAlignment="1">
      <alignment horizontal="center" vertical="center" wrapText="1"/>
    </xf>
    <xf numFmtId="14" fontId="8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82" fillId="23" borderId="18" xfId="0" applyNumberFormat="1" applyFont="1" applyFill="1" applyBorder="1" applyAlignment="1">
      <alignment horizontal="center" vertical="center"/>
    </xf>
    <xf numFmtId="14" fontId="82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2" fillId="23" borderId="36" xfId="0" applyNumberFormat="1" applyFont="1" applyFill="1" applyBorder="1" applyAlignment="1">
      <alignment horizontal="center" vertical="center"/>
    </xf>
    <xf numFmtId="14" fontId="82" fillId="23" borderId="37" xfId="0" applyNumberFormat="1" applyFont="1" applyFill="1" applyBorder="1" applyAlignment="1">
      <alignment horizontal="center" vertical="center"/>
    </xf>
    <xf numFmtId="14" fontId="82" fillId="0" borderId="30" xfId="0" applyNumberFormat="1" applyFont="1" applyBorder="1" applyAlignment="1">
      <alignment horizontal="center" vertical="center"/>
    </xf>
    <xf numFmtId="14" fontId="82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6090</c:v>
                </c:pt>
                <c:pt idx="1">
                  <c:v>4150</c:v>
                </c:pt>
                <c:pt idx="2">
                  <c:v>4000</c:v>
                </c:pt>
                <c:pt idx="3">
                  <c:v>325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1.5246713205432376</c:v>
                </c:pt>
                <c:pt idx="1">
                  <c:v>1.0389796355097596</c:v>
                </c:pt>
                <c:pt idx="2">
                  <c:v>1.001426154708202</c:v>
                </c:pt>
                <c:pt idx="3">
                  <c:v>8.1365875070041407E-2</c:v>
                </c:pt>
                <c:pt idx="4">
                  <c:v>5.6330221202336363E-2</c:v>
                </c:pt>
                <c:pt idx="5">
                  <c:v>5.2574873122180607E-2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02" t="s">
        <v>337</v>
      </c>
      <c r="D3" s="1302"/>
      <c r="E3" s="1302"/>
      <c r="F3" s="1302"/>
      <c r="G3" s="1302"/>
      <c r="H3" s="1302"/>
      <c r="L3" s="1302" t="s">
        <v>337</v>
      </c>
      <c r="M3" s="1302"/>
      <c r="N3" s="1302"/>
      <c r="O3" s="1302"/>
      <c r="P3" s="1302"/>
      <c r="Q3" s="1302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07" t="s">
        <v>124</v>
      </c>
      <c r="I1" s="1307"/>
      <c r="J1" s="1307"/>
      <c r="K1" s="1307"/>
      <c r="L1" s="1307"/>
      <c r="M1" s="1307"/>
      <c r="N1" s="1307"/>
      <c r="O1" s="1307"/>
      <c r="P1" s="1307"/>
      <c r="Q1" s="1307"/>
      <c r="R1" s="1307"/>
      <c r="S1" s="1307"/>
      <c r="T1" s="1307"/>
      <c r="U1" s="1307"/>
      <c r="V1" s="1307"/>
      <c r="W1" s="1307"/>
      <c r="X1" s="1307"/>
      <c r="Y1" s="1307"/>
      <c r="Z1" s="1307"/>
      <c r="AA1" s="1307"/>
      <c r="AB1" s="1307"/>
      <c r="AC1" s="1307"/>
      <c r="AD1" s="1307"/>
      <c r="AE1" s="1307"/>
      <c r="AF1" s="1307"/>
      <c r="AG1" s="1307"/>
      <c r="AH1" s="1307"/>
      <c r="AI1" s="1307"/>
      <c r="AJ1" s="1307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08" t="s">
        <v>125</v>
      </c>
      <c r="I2" s="1308"/>
      <c r="J2" s="1308"/>
      <c r="K2" s="1308"/>
      <c r="L2" s="1308"/>
      <c r="M2" s="1308"/>
      <c r="N2" s="1308"/>
      <c r="O2" s="1308"/>
      <c r="P2" s="1308"/>
      <c r="Q2" s="1308"/>
      <c r="R2" s="1308"/>
      <c r="S2" s="1308"/>
      <c r="T2" s="1308"/>
      <c r="U2" s="1308"/>
      <c r="V2" s="1308"/>
      <c r="W2" s="1308"/>
      <c r="X2" s="1308"/>
      <c r="Y2" s="1308"/>
      <c r="Z2" s="1308"/>
      <c r="AA2" s="1308"/>
      <c r="AB2" s="1308"/>
      <c r="AC2" s="1308"/>
      <c r="AD2" s="1308"/>
      <c r="AE2" s="1308"/>
      <c r="AF2" s="1308"/>
      <c r="AG2" s="1308"/>
      <c r="AH2" s="1308"/>
      <c r="AI2" s="1308"/>
      <c r="AJ2" s="1308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13" t="s">
        <v>72</v>
      </c>
      <c r="C5" s="1315" t="s">
        <v>73</v>
      </c>
      <c r="D5" s="1305"/>
      <c r="E5" s="1305"/>
      <c r="F5" s="1305"/>
      <c r="G5" s="1305"/>
      <c r="H5" s="1306"/>
      <c r="I5" s="1316" t="s">
        <v>431</v>
      </c>
      <c r="J5" s="1316" t="s">
        <v>320</v>
      </c>
      <c r="K5" s="1304" t="s">
        <v>74</v>
      </c>
      <c r="L5" s="1305"/>
      <c r="M5" s="1305"/>
      <c r="N5" s="1313" t="s">
        <v>75</v>
      </c>
      <c r="O5" s="1309" t="s">
        <v>177</v>
      </c>
      <c r="P5" s="1309"/>
      <c r="Q5" s="1309"/>
      <c r="R5" s="1309"/>
      <c r="S5" s="1309"/>
      <c r="T5" s="1309"/>
      <c r="U5" s="1309"/>
      <c r="V5" s="1309"/>
      <c r="W5" s="1309"/>
      <c r="X5" s="1309"/>
      <c r="Y5" s="1310"/>
      <c r="Z5" s="1304" t="s">
        <v>76</v>
      </c>
      <c r="AA5" s="1311"/>
      <c r="AB5" s="1311"/>
      <c r="AC5" s="1311"/>
      <c r="AD5" s="1311"/>
      <c r="AE5" s="1311"/>
      <c r="AF5" s="1311"/>
      <c r="AG5" s="1312"/>
      <c r="AH5" s="1304" t="s">
        <v>77</v>
      </c>
      <c r="AI5" s="1306"/>
      <c r="AJ5" s="1304" t="s">
        <v>78</v>
      </c>
      <c r="AK5" s="1305"/>
      <c r="AL5" s="1305"/>
      <c r="AM5" s="1305"/>
      <c r="AN5" s="1305"/>
      <c r="AO5" s="1306"/>
      <c r="AP5" s="1304" t="s">
        <v>79</v>
      </c>
      <c r="AQ5" s="1306"/>
      <c r="AR5" s="74"/>
      <c r="AS5" s="84" t="s">
        <v>80</v>
      </c>
    </row>
    <row r="6" spans="1:45" ht="29.4" thickBot="1" x14ac:dyDescent="0.35">
      <c r="A6" s="83"/>
      <c r="B6" s="131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14"/>
      <c r="J6" s="1318"/>
      <c r="K6" s="85" t="s">
        <v>86</v>
      </c>
      <c r="L6" s="85" t="s">
        <v>87</v>
      </c>
      <c r="M6" s="85" t="s">
        <v>126</v>
      </c>
      <c r="N6" s="1317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9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9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9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9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9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9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9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9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9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9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9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9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9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9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9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9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9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9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9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9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9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9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9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9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9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9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9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0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9" t="str">
        <f t="shared" si="4"/>
        <v/>
      </c>
      <c r="V34" s="651"/>
      <c r="W34" s="651"/>
      <c r="X34" s="651"/>
      <c r="Y34" s="660"/>
      <c r="Z34" s="666">
        <f>'Reagent Consumption'!O47</f>
        <v>0</v>
      </c>
      <c r="AA34" s="665">
        <f>'Fuel Consumption'!D31</f>
        <v>1099</v>
      </c>
      <c r="AB34" s="666">
        <f>'Reagent Consumption'!Q47</f>
        <v>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9" t="str">
        <f t="shared" si="4"/>
        <v/>
      </c>
      <c r="V35" s="90"/>
      <c r="W35" s="90"/>
      <c r="X35" s="90"/>
      <c r="Y35" s="1050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5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9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2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9" t="str">
        <f t="shared" si="4"/>
        <v/>
      </c>
      <c r="V37" s="650"/>
      <c r="W37" s="650"/>
      <c r="X37" s="650"/>
      <c r="Y37" s="1051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4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9" t="str">
        <f t="shared" si="4"/>
        <v/>
      </c>
      <c r="V38" s="94"/>
      <c r="W38" s="94"/>
      <c r="X38" s="94"/>
      <c r="Y38" s="1052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5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9" t="str">
        <f t="shared" si="4"/>
        <v/>
      </c>
      <c r="V39" s="94"/>
      <c r="W39" s="94"/>
      <c r="X39" s="94"/>
      <c r="Y39" s="1052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5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9" t="str">
        <f t="shared" si="4"/>
        <v/>
      </c>
      <c r="V40" s="94"/>
      <c r="W40" s="94"/>
      <c r="X40" s="94"/>
      <c r="Y40" s="1052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5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9" t="str">
        <f t="shared" si="4"/>
        <v/>
      </c>
      <c r="V41" s="94"/>
      <c r="W41" s="94"/>
      <c r="X41" s="94"/>
      <c r="Y41" s="1052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5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8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9" t="str">
        <f t="shared" si="4"/>
        <v/>
      </c>
      <c r="V42" s="94"/>
      <c r="W42" s="94"/>
      <c r="X42" s="94"/>
      <c r="Y42" s="1052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5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8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9" t="str">
        <f t="shared" si="4"/>
        <v/>
      </c>
      <c r="V43" s="94"/>
      <c r="W43" s="94"/>
      <c r="X43" s="94"/>
      <c r="Y43" s="1052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5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8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9" t="str">
        <f t="shared" si="4"/>
        <v/>
      </c>
      <c r="V44" s="94"/>
      <c r="W44" s="94"/>
      <c r="X44" s="94"/>
      <c r="Y44" s="1052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5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8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9" t="str">
        <f t="shared" si="4"/>
        <v/>
      </c>
      <c r="V45" s="94"/>
      <c r="W45" s="94"/>
      <c r="X45" s="94"/>
      <c r="Y45" s="1052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5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8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9" t="str">
        <f t="shared" si="4"/>
        <v/>
      </c>
      <c r="V46" s="94"/>
      <c r="W46" s="94"/>
      <c r="X46" s="94"/>
      <c r="Y46" s="1052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5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8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9" t="str">
        <f t="shared" si="4"/>
        <v/>
      </c>
      <c r="V47" s="94"/>
      <c r="W47" s="94"/>
      <c r="X47" s="94"/>
      <c r="Y47" s="1052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5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8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9" t="str">
        <f t="shared" si="4"/>
        <v/>
      </c>
      <c r="V48" s="94"/>
      <c r="W48" s="94"/>
      <c r="X48" s="94"/>
      <c r="Y48" s="1052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5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41">
        <f t="shared" si="12"/>
        <v>0</v>
      </c>
      <c r="F49" s="402"/>
      <c r="G49" s="211">
        <f t="shared" si="10"/>
        <v>0</v>
      </c>
      <c r="H49" s="1042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9" t="str">
        <f t="shared" si="4"/>
        <v/>
      </c>
      <c r="V49" s="402"/>
      <c r="W49" s="402"/>
      <c r="X49" s="402"/>
      <c r="Y49" s="1053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6"/>
      <c r="AQ49" s="402"/>
      <c r="AR49" s="74"/>
      <c r="AS49" s="74"/>
    </row>
    <row r="50" spans="1:45" ht="14.4" x14ac:dyDescent="0.3">
      <c r="A50" s="74"/>
      <c r="B50" s="1040">
        <v>46291</v>
      </c>
      <c r="C50" s="212"/>
      <c r="D50" s="401">
        <f>D49+C50</f>
        <v>4558.8372000000008</v>
      </c>
      <c r="E50" s="213"/>
      <c r="F50" s="94"/>
      <c r="G50" s="212"/>
      <c r="H50" s="1048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9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40">
        <v>46292</v>
      </c>
      <c r="C51" s="212"/>
      <c r="D51" s="401">
        <f t="shared" si="14"/>
        <v>4558.8372000000008</v>
      </c>
      <c r="E51" s="213"/>
      <c r="F51" s="94"/>
      <c r="G51" s="212"/>
      <c r="H51" s="1048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9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9">
        <v>46293</v>
      </c>
      <c r="C52" s="212"/>
      <c r="D52" s="401">
        <f t="shared" si="14"/>
        <v>4558.8372000000008</v>
      </c>
      <c r="E52" s="213"/>
      <c r="F52" s="94"/>
      <c r="G52" s="212"/>
      <c r="H52" s="1048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9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40">
        <v>46294</v>
      </c>
      <c r="C53" s="212"/>
      <c r="D53" s="401">
        <f t="shared" si="14"/>
        <v>4558.8372000000008</v>
      </c>
      <c r="E53" s="213"/>
      <c r="F53" s="94"/>
      <c r="G53" s="212"/>
      <c r="H53" s="1048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9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40">
        <v>46295</v>
      </c>
      <c r="C54" s="212"/>
      <c r="D54" s="401">
        <f t="shared" si="14"/>
        <v>4558.8372000000008</v>
      </c>
      <c r="E54" s="213"/>
      <c r="F54" s="94"/>
      <c r="G54" s="212"/>
      <c r="H54" s="1048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9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40">
        <v>46296</v>
      </c>
      <c r="C55" s="212"/>
      <c r="D55" s="401">
        <f t="shared" si="14"/>
        <v>4558.8372000000008</v>
      </c>
      <c r="E55" s="213"/>
      <c r="F55" s="94"/>
      <c r="G55" s="212"/>
      <c r="H55" s="1048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9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3">
        <f>SUM(C7:C49)</f>
        <v>4558.8372000000008</v>
      </c>
      <c r="D56" s="1044"/>
      <c r="E56" s="1044"/>
      <c r="F56" s="1044"/>
      <c r="G56" s="1043">
        <f>SUM(G7:G49)</f>
        <v>3357.6483728381672</v>
      </c>
      <c r="H56" s="1045">
        <f>SUM(H7:H37)</f>
        <v>2.0809667837881678</v>
      </c>
      <c r="I56" s="416">
        <f>'Crushing Down Time Hours'!L45</f>
        <v>0</v>
      </c>
      <c r="J56" s="1043"/>
      <c r="K56" s="1046"/>
      <c r="L56" s="1047"/>
      <c r="M56" s="1047"/>
      <c r="N56" s="1046"/>
      <c r="O56" s="1047">
        <f t="shared" ref="O56:Y56" si="15">SUM(O7:O36)</f>
        <v>0</v>
      </c>
      <c r="P56" s="1047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3675</v>
      </c>
      <c r="AA56" s="407"/>
      <c r="AB56" s="408">
        <f>SUM(AB7:AB49)</f>
        <v>2500</v>
      </c>
      <c r="AC56" s="408">
        <f>SUM(AC7:AC49)</f>
        <v>3325</v>
      </c>
      <c r="AD56" s="408"/>
      <c r="AE56" s="408"/>
      <c r="AF56" s="407">
        <f>SUM(AF7:AF49)</f>
        <v>175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126.72413793103448</v>
      </c>
      <c r="AA57" s="409">
        <f t="shared" si="17"/>
        <v>1060.8620689655172</v>
      </c>
      <c r="AB57" s="409">
        <f t="shared" si="17"/>
        <v>86.206896551724142</v>
      </c>
      <c r="AC57" s="410">
        <f t="shared" si="17"/>
        <v>114.65517241379311</v>
      </c>
      <c r="AD57" s="410"/>
      <c r="AE57" s="410"/>
      <c r="AF57" s="409">
        <f>AVERAGE(AF8:AF36)</f>
        <v>6.0344827586206895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03" t="s">
        <v>204</v>
      </c>
      <c r="X60" s="1303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5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5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03" t="s">
        <v>206</v>
      </c>
      <c r="X66" s="1303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tabSelected="1" zoomScale="88" zoomScaleNormal="100" workbookViewId="0">
      <pane xSplit="1" ySplit="5" topLeftCell="B12" activePane="bottomRight" state="frozen"/>
      <selection pane="topRight" activeCell="B1" sqref="B1"/>
      <selection pane="bottomLeft" activeCell="A2" sqref="A2"/>
      <selection pane="bottomRight" activeCell="T75" sqref="T7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24" t="s">
        <v>279</v>
      </c>
      <c r="C1" s="1324"/>
      <c r="D1" s="1324"/>
      <c r="E1" s="1324"/>
      <c r="F1" s="1324"/>
      <c r="G1" s="1324"/>
      <c r="H1" s="1324"/>
      <c r="I1" s="1324"/>
      <c r="J1" s="1324"/>
      <c r="K1" s="1324"/>
      <c r="L1" s="1324"/>
      <c r="M1" s="1324"/>
      <c r="N1" s="1324"/>
      <c r="O1" s="1324"/>
      <c r="P1" s="1324"/>
      <c r="Q1" s="1324"/>
      <c r="R1" s="1324"/>
      <c r="S1" s="1324"/>
    </row>
    <row r="2" spans="1:42" ht="18" x14ac:dyDescent="0.35">
      <c r="B2" s="1324" t="s">
        <v>280</v>
      </c>
      <c r="C2" s="1324"/>
      <c r="D2" s="1324"/>
      <c r="E2" s="1324"/>
      <c r="F2" s="1324"/>
      <c r="G2" s="1324"/>
      <c r="H2" s="1324"/>
      <c r="I2" s="1324"/>
      <c r="J2" s="1324"/>
      <c r="K2" s="1324"/>
      <c r="L2" s="1324"/>
      <c r="M2" s="1324"/>
      <c r="N2" s="1324"/>
      <c r="O2" s="1324"/>
      <c r="P2" s="1324"/>
      <c r="Q2" s="1324"/>
      <c r="R2" s="1324"/>
      <c r="S2" s="1324"/>
    </row>
    <row r="3" spans="1:42" ht="18" x14ac:dyDescent="0.35">
      <c r="B3" s="1324" t="s">
        <v>281</v>
      </c>
      <c r="C3" s="1324"/>
      <c r="D3" s="1324"/>
      <c r="E3" s="1324"/>
      <c r="F3" s="1324"/>
      <c r="G3" s="1324"/>
      <c r="H3" s="1324"/>
      <c r="I3" s="1324"/>
      <c r="J3" s="1324"/>
      <c r="K3" s="1324"/>
      <c r="L3" s="1324"/>
      <c r="M3" s="1324"/>
      <c r="N3" s="1324"/>
      <c r="O3" s="1324"/>
      <c r="P3" s="1324"/>
      <c r="Q3" s="1324"/>
      <c r="R3" s="1324"/>
      <c r="S3" s="1324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25"/>
      <c r="C5" s="1326"/>
      <c r="D5" s="1325" t="s">
        <v>24</v>
      </c>
      <c r="E5" s="1327"/>
      <c r="F5" s="1326"/>
      <c r="G5" s="1325" t="s">
        <v>25</v>
      </c>
      <c r="H5" s="1327"/>
      <c r="I5" s="1326"/>
      <c r="J5" s="1325" t="s">
        <v>319</v>
      </c>
      <c r="K5" s="1326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328" t="s">
        <v>162</v>
      </c>
      <c r="Y6" s="1328"/>
      <c r="Z6" s="1328"/>
      <c r="AA6" s="1328"/>
      <c r="AB6" s="1328"/>
      <c r="AC6" s="1328"/>
      <c r="AD6" s="1329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SUMIF($A$7:$A$109,N7,$D$7:$D$109)</f>
        <v>0</v>
      </c>
      <c r="P7" s="18">
        <f>SUMIF(A$7:A$52,N7,E$7:E$52)+SUMIF(A$7:A$52,N7,J$7:J$52)</f>
        <v>0</v>
      </c>
      <c r="Q7" s="18">
        <f>SUMIF(A$7:A$142,N7,F$7:F$142)</f>
        <v>0</v>
      </c>
      <c r="R7" s="18">
        <f>SUMIF(A$7:A$71,N7,H$7:H$72)</f>
        <v>0</v>
      </c>
      <c r="S7" s="18">
        <f>SUMIF(A$7:A$72,N7,I$7:I$72)</f>
        <v>0</v>
      </c>
      <c r="T7" s="18">
        <f>SUMIF(A$7:A$72,N7,K$7:K$72)</f>
        <v>0</v>
      </c>
      <c r="U7" s="18">
        <f>SUMIF(A$7:A$72,N7,G$7:G$72)</f>
        <v>0</v>
      </c>
      <c r="V7" s="18">
        <f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7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ref="O8:O71" si="0">SUMIF($A$7:$A$109,N8,$D$7:$D$109)</f>
        <v>0</v>
      </c>
      <c r="P8" s="18">
        <f t="shared" ref="P8:P71" si="1">SUMIF(A$7:A$52,N8,E$7:E$52)+SUMIF(A$7:A$52,N8,J$7:J$52)</f>
        <v>0</v>
      </c>
      <c r="Q8" s="18">
        <f t="shared" ref="Q8:Q71" si="2">SUMIF(A$7:A$142,N8,F$7:F$142)</f>
        <v>0</v>
      </c>
      <c r="R8" s="18">
        <f t="shared" ref="R8:R71" si="3">SUMIF(A$7:A$71,N8,H$7:H$72)</f>
        <v>0</v>
      </c>
      <c r="S8" s="18">
        <f t="shared" ref="S8:S71" si="4">SUMIF(A$7:A$72,N8,I$7:I$72)</f>
        <v>0</v>
      </c>
      <c r="T8" s="18">
        <f t="shared" ref="T8:T71" si="5">SUMIF(A$7:A$72,N8,K$7:K$72)</f>
        <v>0</v>
      </c>
      <c r="U8" s="18">
        <f t="shared" ref="U8:U71" si="6">SUMIF(A$7:A$72,N8,G$7:G$72)</f>
        <v>0</v>
      </c>
      <c r="V8" s="18">
        <f t="shared" ref="V8:V71" si="7">SUMIF(A$7:A$72,N8,I$7:I$72)</f>
        <v>0</v>
      </c>
      <c r="X8" s="120">
        <f>O72+U72</f>
        <v>6090</v>
      </c>
      <c r="Y8" s="120">
        <f t="shared" ref="Y8:Z8" si="8">P72</f>
        <v>4150</v>
      </c>
      <c r="Z8" s="120">
        <f t="shared" si="8"/>
        <v>4000</v>
      </c>
      <c r="AA8" s="120">
        <f>T72</f>
        <v>325</v>
      </c>
      <c r="AB8" s="121">
        <f>R72</f>
        <v>225</v>
      </c>
      <c r="AC8" s="1199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1"/>
        <v>0</v>
      </c>
      <c r="Q9" s="18">
        <f t="shared" si="2"/>
        <v>0</v>
      </c>
      <c r="R9" s="18">
        <f t="shared" si="3"/>
        <v>0</v>
      </c>
      <c r="S9" s="18">
        <f t="shared" si="4"/>
        <v>0</v>
      </c>
      <c r="T9" s="18">
        <f t="shared" si="5"/>
        <v>0</v>
      </c>
      <c r="U9" s="18">
        <f t="shared" si="6"/>
        <v>0</v>
      </c>
      <c r="V9" s="18">
        <f t="shared" si="7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1"/>
        <v>250</v>
      </c>
      <c r="Q10" s="18">
        <f t="shared" si="2"/>
        <v>0</v>
      </c>
      <c r="R10" s="18">
        <f t="shared" si="3"/>
        <v>0</v>
      </c>
      <c r="S10" s="18">
        <f t="shared" si="4"/>
        <v>0</v>
      </c>
      <c r="T10" s="18">
        <f t="shared" si="5"/>
        <v>0</v>
      </c>
      <c r="U10" s="18">
        <f t="shared" si="6"/>
        <v>0</v>
      </c>
      <c r="V10" s="18">
        <f t="shared" si="7"/>
        <v>0</v>
      </c>
      <c r="X10" s="1330" t="s">
        <v>333</v>
      </c>
      <c r="Y10" s="1331"/>
      <c r="Z10" s="1331"/>
      <c r="AA10" s="1331"/>
      <c r="AB10" s="1331"/>
      <c r="AC10" s="1331"/>
      <c r="AD10" s="1332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1"/>
        <v>1250</v>
      </c>
      <c r="Q11" s="18">
        <f t="shared" si="2"/>
        <v>1000</v>
      </c>
      <c r="R11" s="18">
        <f t="shared" si="3"/>
        <v>0</v>
      </c>
      <c r="S11" s="18">
        <f t="shared" si="4"/>
        <v>0</v>
      </c>
      <c r="T11" s="18">
        <f t="shared" si="5"/>
        <v>25</v>
      </c>
      <c r="U11" s="18">
        <f t="shared" si="6"/>
        <v>0</v>
      </c>
      <c r="V11" s="18">
        <f t="shared" si="7"/>
        <v>0</v>
      </c>
      <c r="X11" s="123">
        <f>X8/'Au Cal Leaching Tank'!$N$61</f>
        <v>1.5246713205432376</v>
      </c>
      <c r="Y11" s="123">
        <f>Y8/'Au Cal Leaching Tank'!$N$61</f>
        <v>1.0389796355097596</v>
      </c>
      <c r="Z11" s="123">
        <f>Z8/'Au Cal Leaching Tank'!$N$61</f>
        <v>1.001426154708202</v>
      </c>
      <c r="AA11" s="123">
        <f>AA8/'Au Cal Leaching Tank'!$N$61</f>
        <v>8.1365875070041407E-2</v>
      </c>
      <c r="AB11" s="123">
        <f>AB8/'Au Cal Leaching Tank'!$N$61</f>
        <v>5.6330221202336363E-2</v>
      </c>
      <c r="AC11" s="123">
        <f>(AC8*30)/'Au Cal Leaching Tank'!$N$61</f>
        <v>5.2574873122180607E-2</v>
      </c>
      <c r="AD11" s="1200">
        <f>AD8/'Au Cal Leaching Tank'!$N$61</f>
        <v>1.6273175014008281E-2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1"/>
        <v>500</v>
      </c>
      <c r="Q12" s="18">
        <f t="shared" si="2"/>
        <v>1000</v>
      </c>
      <c r="R12" s="18">
        <f t="shared" si="3"/>
        <v>0</v>
      </c>
      <c r="S12" s="18">
        <f t="shared" si="4"/>
        <v>0</v>
      </c>
      <c r="T12" s="18">
        <f t="shared" si="5"/>
        <v>25</v>
      </c>
      <c r="U12" s="18">
        <f t="shared" si="6"/>
        <v>0</v>
      </c>
      <c r="V12" s="18">
        <f t="shared" si="7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1"/>
        <v>250</v>
      </c>
      <c r="Q13" s="18">
        <f t="shared" si="2"/>
        <v>0</v>
      </c>
      <c r="R13" s="18">
        <f t="shared" si="3"/>
        <v>0</v>
      </c>
      <c r="S13" s="18">
        <f t="shared" si="4"/>
        <v>0</v>
      </c>
      <c r="T13" s="18">
        <f t="shared" si="5"/>
        <v>0</v>
      </c>
      <c r="U13" s="18">
        <f t="shared" si="6"/>
        <v>0</v>
      </c>
      <c r="V13" s="18">
        <f t="shared" si="7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1"/>
        <v>0</v>
      </c>
      <c r="Q14" s="18">
        <f t="shared" si="2"/>
        <v>0</v>
      </c>
      <c r="R14" s="18">
        <f t="shared" si="3"/>
        <v>0</v>
      </c>
      <c r="S14" s="18">
        <f t="shared" si="4"/>
        <v>0</v>
      </c>
      <c r="T14" s="18">
        <f t="shared" si="5"/>
        <v>25</v>
      </c>
      <c r="U14" s="18">
        <f t="shared" si="6"/>
        <v>0</v>
      </c>
      <c r="V14" s="18">
        <f t="shared" si="7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1"/>
        <v>0</v>
      </c>
      <c r="Q15" s="18">
        <f t="shared" si="2"/>
        <v>0</v>
      </c>
      <c r="R15" s="18">
        <f t="shared" si="3"/>
        <v>0</v>
      </c>
      <c r="S15" s="18">
        <f t="shared" si="4"/>
        <v>0</v>
      </c>
      <c r="T15" s="18">
        <f t="shared" si="5"/>
        <v>0</v>
      </c>
      <c r="U15" s="18">
        <f t="shared" si="6"/>
        <v>0</v>
      </c>
      <c r="V15" s="18">
        <f t="shared" si="7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1"/>
        <v>500</v>
      </c>
      <c r="Q16" s="18">
        <f t="shared" si="2"/>
        <v>0</v>
      </c>
      <c r="R16" s="18">
        <f t="shared" si="3"/>
        <v>0</v>
      </c>
      <c r="S16" s="18">
        <f t="shared" si="4"/>
        <v>0</v>
      </c>
      <c r="T16" s="18">
        <f t="shared" si="5"/>
        <v>0</v>
      </c>
      <c r="U16" s="18">
        <f t="shared" si="6"/>
        <v>0</v>
      </c>
      <c r="V16" s="18">
        <f t="shared" si="7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1"/>
        <v>750</v>
      </c>
      <c r="Q17" s="18">
        <f t="shared" si="2"/>
        <v>0</v>
      </c>
      <c r="R17" s="18">
        <f t="shared" si="3"/>
        <v>0</v>
      </c>
      <c r="S17" s="18">
        <f t="shared" si="4"/>
        <v>0</v>
      </c>
      <c r="T17" s="18">
        <f t="shared" si="5"/>
        <v>0</v>
      </c>
      <c r="U17" s="18">
        <f t="shared" si="6"/>
        <v>0</v>
      </c>
      <c r="V17" s="18">
        <f t="shared" si="7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1"/>
        <v>0</v>
      </c>
      <c r="Q18" s="18">
        <f t="shared" si="2"/>
        <v>0</v>
      </c>
      <c r="R18" s="18">
        <f t="shared" si="3"/>
        <v>0</v>
      </c>
      <c r="S18" s="18">
        <f t="shared" si="4"/>
        <v>0</v>
      </c>
      <c r="T18" s="18">
        <f t="shared" si="5"/>
        <v>0</v>
      </c>
      <c r="U18" s="18">
        <f t="shared" si="6"/>
        <v>0</v>
      </c>
      <c r="V18" s="18">
        <f t="shared" si="7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1"/>
        <v>0</v>
      </c>
      <c r="Q19" s="18">
        <f t="shared" si="2"/>
        <v>0</v>
      </c>
      <c r="R19" s="18">
        <f t="shared" si="3"/>
        <v>0</v>
      </c>
      <c r="S19" s="18">
        <f t="shared" si="4"/>
        <v>0</v>
      </c>
      <c r="T19" s="18">
        <f t="shared" si="5"/>
        <v>0</v>
      </c>
      <c r="U19" s="18">
        <f t="shared" si="6"/>
        <v>0</v>
      </c>
      <c r="V19" s="18">
        <f t="shared" si="7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1"/>
        <v>0</v>
      </c>
      <c r="Q20" s="18">
        <f t="shared" si="2"/>
        <v>500</v>
      </c>
      <c r="R20" s="18">
        <f t="shared" si="3"/>
        <v>0</v>
      </c>
      <c r="S20" s="18">
        <f t="shared" si="4"/>
        <v>0</v>
      </c>
      <c r="T20" s="18">
        <f t="shared" si="5"/>
        <v>0</v>
      </c>
      <c r="U20" s="18">
        <f t="shared" si="6"/>
        <v>0</v>
      </c>
      <c r="V20" s="18">
        <f t="shared" si="7"/>
        <v>0</v>
      </c>
      <c r="X20" s="1302" t="s">
        <v>578</v>
      </c>
      <c r="Y20" s="1302"/>
      <c r="Z20" s="1302"/>
      <c r="AA20" s="1302"/>
      <c r="AB20" s="1302"/>
      <c r="AC20" s="130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1"/>
        <v>0</v>
      </c>
      <c r="Q21" s="18">
        <f t="shared" si="2"/>
        <v>500</v>
      </c>
      <c r="R21" s="18">
        <f t="shared" si="3"/>
        <v>0</v>
      </c>
      <c r="S21" s="18">
        <f t="shared" si="4"/>
        <v>0</v>
      </c>
      <c r="T21" s="18">
        <f t="shared" si="5"/>
        <v>50</v>
      </c>
      <c r="U21" s="18">
        <f t="shared" si="6"/>
        <v>0</v>
      </c>
      <c r="V21" s="18">
        <f t="shared" si="7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1"/>
        <v>0</v>
      </c>
      <c r="Q22" s="18">
        <f t="shared" si="2"/>
        <v>0</v>
      </c>
      <c r="R22" s="18">
        <f t="shared" si="3"/>
        <v>0</v>
      </c>
      <c r="S22" s="18">
        <f t="shared" si="4"/>
        <v>0</v>
      </c>
      <c r="T22" s="18">
        <f t="shared" si="5"/>
        <v>0</v>
      </c>
      <c r="U22" s="18">
        <f t="shared" si="6"/>
        <v>0</v>
      </c>
      <c r="V22" s="18">
        <f t="shared" si="7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1"/>
        <v>0</v>
      </c>
      <c r="Q23" s="18">
        <f t="shared" si="2"/>
        <v>0</v>
      </c>
      <c r="R23" s="18">
        <f t="shared" si="3"/>
        <v>0</v>
      </c>
      <c r="S23" s="18">
        <f t="shared" si="4"/>
        <v>0</v>
      </c>
      <c r="T23" s="18">
        <f t="shared" si="5"/>
        <v>25</v>
      </c>
      <c r="U23" s="18">
        <f t="shared" si="6"/>
        <v>0</v>
      </c>
      <c r="V23" s="18">
        <f t="shared" si="7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1"/>
        <v>0</v>
      </c>
      <c r="Q24" s="18">
        <f t="shared" si="2"/>
        <v>0</v>
      </c>
      <c r="R24" s="18">
        <f t="shared" si="3"/>
        <v>0</v>
      </c>
      <c r="S24" s="18">
        <f t="shared" si="4"/>
        <v>0</v>
      </c>
      <c r="T24" s="18">
        <f t="shared" si="5"/>
        <v>0</v>
      </c>
      <c r="U24" s="18">
        <f t="shared" si="6"/>
        <v>0</v>
      </c>
      <c r="V24" s="18">
        <f t="shared" si="7"/>
        <v>0</v>
      </c>
      <c r="X24" s="1319" t="s">
        <v>577</v>
      </c>
      <c r="Y24" s="1319"/>
      <c r="Z24" s="1319"/>
      <c r="AA24" s="1319"/>
      <c r="AB24" s="1319"/>
      <c r="AC24" s="1319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1"/>
        <v>0</v>
      </c>
      <c r="Q25" s="18">
        <f t="shared" si="2"/>
        <v>0</v>
      </c>
      <c r="R25" s="18">
        <f t="shared" si="3"/>
        <v>0</v>
      </c>
      <c r="S25" s="18">
        <f t="shared" si="4"/>
        <v>0</v>
      </c>
      <c r="T25" s="18">
        <f t="shared" si="5"/>
        <v>25</v>
      </c>
      <c r="U25" s="18">
        <f t="shared" si="6"/>
        <v>0</v>
      </c>
      <c r="V25" s="18">
        <f t="shared" si="7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1"/>
        <v>0</v>
      </c>
      <c r="Q26" s="18">
        <f t="shared" si="2"/>
        <v>0</v>
      </c>
      <c r="R26" s="18">
        <f t="shared" si="3"/>
        <v>0</v>
      </c>
      <c r="S26" s="18">
        <f t="shared" si="4"/>
        <v>0</v>
      </c>
      <c r="T26" s="18">
        <f t="shared" si="5"/>
        <v>0</v>
      </c>
      <c r="U26" s="18">
        <f t="shared" si="6"/>
        <v>0</v>
      </c>
      <c r="V26" s="18">
        <f t="shared" si="7"/>
        <v>0</v>
      </c>
      <c r="X26" s="682">
        <f>X22*X8</f>
        <v>414120000</v>
      </c>
      <c r="Y26" s="682">
        <f t="shared" ref="Y26:AC26" si="9">Y22*Y8</f>
        <v>9545000</v>
      </c>
      <c r="Z26" s="682">
        <f>Z22*Z8</f>
        <v>176000000</v>
      </c>
      <c r="AA26" s="682">
        <f>AA22*AA8</f>
        <v>9750000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1"/>
        <v>0</v>
      </c>
      <c r="Q27" s="18">
        <f t="shared" si="2"/>
        <v>0</v>
      </c>
      <c r="R27" s="18">
        <f t="shared" si="3"/>
        <v>0</v>
      </c>
      <c r="S27" s="18">
        <f t="shared" si="4"/>
        <v>0</v>
      </c>
      <c r="T27" s="18">
        <f t="shared" si="5"/>
        <v>0</v>
      </c>
      <c r="U27" s="18">
        <f t="shared" si="6"/>
        <v>0</v>
      </c>
      <c r="V27" s="18">
        <f t="shared" si="7"/>
        <v>0</v>
      </c>
      <c r="X27" s="1320" t="s">
        <v>577</v>
      </c>
      <c r="Y27" s="1321"/>
      <c r="Z27" s="1322">
        <f>SUM(X26:AC26)</f>
        <v>618865000</v>
      </c>
      <c r="AA27" s="1321"/>
      <c r="AB27" s="1321"/>
      <c r="AC27" s="1323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1"/>
        <v>325</v>
      </c>
      <c r="Q28" s="18">
        <f t="shared" si="2"/>
        <v>0</v>
      </c>
      <c r="R28" s="18">
        <f t="shared" si="3"/>
        <v>0</v>
      </c>
      <c r="S28" s="18">
        <f t="shared" si="4"/>
        <v>0</v>
      </c>
      <c r="T28" s="18">
        <f t="shared" si="5"/>
        <v>25</v>
      </c>
      <c r="U28" s="18">
        <f t="shared" si="6"/>
        <v>0</v>
      </c>
      <c r="V28" s="18">
        <f t="shared" si="7"/>
        <v>0</v>
      </c>
      <c r="X28" s="683">
        <f>X26/$Z$27</f>
        <v>0.66916047926445998</v>
      </c>
      <c r="Y28" s="684">
        <f t="shared" ref="Y28:AC28" si="10">Y26/$Z$27</f>
        <v>1.5423396055682581E-2</v>
      </c>
      <c r="Z28" s="684">
        <f t="shared" si="10"/>
        <v>0.28439158782610102</v>
      </c>
      <c r="AA28" s="684">
        <f t="shared" si="10"/>
        <v>1.5754647621048209E-2</v>
      </c>
      <c r="AB28" s="684">
        <f t="shared" si="10"/>
        <v>1.0179926155138843E-2</v>
      </c>
      <c r="AC28" s="685">
        <f t="shared" si="10"/>
        <v>5.0899630775694217E-3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1"/>
        <v>0</v>
      </c>
      <c r="Q29" s="18">
        <f t="shared" si="2"/>
        <v>0</v>
      </c>
      <c r="R29" s="18">
        <f t="shared" si="3"/>
        <v>0</v>
      </c>
      <c r="S29" s="18">
        <f t="shared" si="4"/>
        <v>0</v>
      </c>
      <c r="T29" s="18">
        <f t="shared" si="5"/>
        <v>0</v>
      </c>
      <c r="U29" s="18">
        <f t="shared" si="6"/>
        <v>0</v>
      </c>
      <c r="V29" s="18">
        <f t="shared" si="7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1"/>
        <v>0</v>
      </c>
      <c r="Q30" s="18">
        <f t="shared" si="2"/>
        <v>0</v>
      </c>
      <c r="R30" s="18">
        <f t="shared" si="3"/>
        <v>0</v>
      </c>
      <c r="S30" s="18">
        <f t="shared" si="4"/>
        <v>0</v>
      </c>
      <c r="T30" s="18">
        <f t="shared" si="5"/>
        <v>0</v>
      </c>
      <c r="U30" s="18">
        <f t="shared" si="6"/>
        <v>0</v>
      </c>
      <c r="V30" s="18">
        <f t="shared" si="7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1"/>
        <v>0</v>
      </c>
      <c r="Q31" s="18">
        <f t="shared" si="2"/>
        <v>0</v>
      </c>
      <c r="R31" s="18">
        <f t="shared" si="3"/>
        <v>0</v>
      </c>
      <c r="S31" s="18">
        <f t="shared" si="4"/>
        <v>0</v>
      </c>
      <c r="T31" s="18">
        <f t="shared" si="5"/>
        <v>0</v>
      </c>
      <c r="U31" s="18">
        <f t="shared" si="6"/>
        <v>0</v>
      </c>
      <c r="V31" s="18">
        <f t="shared" si="7"/>
        <v>0</v>
      </c>
    </row>
    <row r="32" spans="1:29" x14ac:dyDescent="0.3">
      <c r="A32" s="19">
        <v>46281</v>
      </c>
      <c r="B32" s="16" t="s">
        <v>12</v>
      </c>
      <c r="C32" s="868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1"/>
        <v>0</v>
      </c>
      <c r="Q32" s="18">
        <f t="shared" si="2"/>
        <v>0</v>
      </c>
      <c r="R32" s="18">
        <f t="shared" si="3"/>
        <v>0</v>
      </c>
      <c r="S32" s="18">
        <f t="shared" si="4"/>
        <v>0</v>
      </c>
      <c r="T32" s="18">
        <f t="shared" si="5"/>
        <v>50</v>
      </c>
      <c r="U32" s="18">
        <f t="shared" si="6"/>
        <v>0</v>
      </c>
      <c r="V32" s="18">
        <f t="shared" si="7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1"/>
        <v>0</v>
      </c>
      <c r="Q33" s="18">
        <f t="shared" si="2"/>
        <v>0</v>
      </c>
      <c r="R33" s="18">
        <f t="shared" si="3"/>
        <v>0</v>
      </c>
      <c r="S33" s="18">
        <f t="shared" si="4"/>
        <v>0</v>
      </c>
      <c r="T33" s="18">
        <f t="shared" si="5"/>
        <v>0</v>
      </c>
      <c r="U33" s="18">
        <f t="shared" si="6"/>
        <v>0</v>
      </c>
      <c r="V33" s="18">
        <f t="shared" si="7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1"/>
        <v>325</v>
      </c>
      <c r="Q34" s="18">
        <f t="shared" si="2"/>
        <v>0</v>
      </c>
      <c r="R34" s="18">
        <f t="shared" si="3"/>
        <v>0</v>
      </c>
      <c r="S34" s="18">
        <f t="shared" si="4"/>
        <v>0</v>
      </c>
      <c r="T34" s="18">
        <f t="shared" si="5"/>
        <v>25</v>
      </c>
      <c r="U34" s="18">
        <f t="shared" si="6"/>
        <v>0</v>
      </c>
      <c r="V34" s="18">
        <f t="shared" si="7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1"/>
        <v>0</v>
      </c>
      <c r="Q35" s="18">
        <f t="shared" si="2"/>
        <v>0</v>
      </c>
      <c r="R35" s="18">
        <f t="shared" si="3"/>
        <v>0</v>
      </c>
      <c r="S35" s="18">
        <f t="shared" si="4"/>
        <v>0</v>
      </c>
      <c r="T35" s="18">
        <f t="shared" si="5"/>
        <v>25</v>
      </c>
      <c r="U35" s="18">
        <f t="shared" si="6"/>
        <v>0</v>
      </c>
      <c r="V35" s="18">
        <f t="shared" si="7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1"/>
        <v>0</v>
      </c>
      <c r="Q36" s="18">
        <f t="shared" si="2"/>
        <v>0</v>
      </c>
      <c r="R36" s="18">
        <f t="shared" si="3"/>
        <v>0</v>
      </c>
      <c r="S36" s="18">
        <f t="shared" si="4"/>
        <v>0</v>
      </c>
      <c r="T36" s="18">
        <f t="shared" si="5"/>
        <v>0</v>
      </c>
      <c r="U36" s="18">
        <f t="shared" si="6"/>
        <v>0</v>
      </c>
      <c r="V36" s="18">
        <f t="shared" si="7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1"/>
        <v>0</v>
      </c>
      <c r="Q37" s="18">
        <f t="shared" si="2"/>
        <v>0</v>
      </c>
      <c r="R37" s="18">
        <f t="shared" si="3"/>
        <v>0</v>
      </c>
      <c r="S37" s="18">
        <f t="shared" si="4"/>
        <v>0</v>
      </c>
      <c r="T37" s="18">
        <f t="shared" si="5"/>
        <v>0</v>
      </c>
      <c r="U37" s="18">
        <f t="shared" si="6"/>
        <v>0</v>
      </c>
      <c r="V37" s="18">
        <f t="shared" si="7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1"/>
        <v>0</v>
      </c>
      <c r="Q38" s="18">
        <f t="shared" si="2"/>
        <v>0</v>
      </c>
      <c r="R38" s="18">
        <f t="shared" si="3"/>
        <v>0</v>
      </c>
      <c r="S38" s="18">
        <f t="shared" si="4"/>
        <v>0</v>
      </c>
      <c r="T38" s="18">
        <f t="shared" si="5"/>
        <v>25</v>
      </c>
      <c r="U38" s="18">
        <f t="shared" si="6"/>
        <v>0</v>
      </c>
      <c r="V38" s="18">
        <f t="shared" si="7"/>
        <v>0</v>
      </c>
    </row>
    <row r="39" spans="1:22" x14ac:dyDescent="0.3">
      <c r="A39" s="19">
        <v>46285</v>
      </c>
      <c r="B39" s="16" t="s">
        <v>12</v>
      </c>
      <c r="C39" s="1074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si="0"/>
        <v>175</v>
      </c>
      <c r="P39" s="18">
        <f t="shared" si="1"/>
        <v>0</v>
      </c>
      <c r="Q39" s="18">
        <f t="shared" si="2"/>
        <v>0</v>
      </c>
      <c r="R39" s="18">
        <f t="shared" si="3"/>
        <v>0</v>
      </c>
      <c r="S39" s="18">
        <f t="shared" si="4"/>
        <v>0</v>
      </c>
      <c r="T39" s="18">
        <f t="shared" si="5"/>
        <v>0</v>
      </c>
      <c r="U39" s="18">
        <f t="shared" si="6"/>
        <v>0</v>
      </c>
      <c r="V39" s="18">
        <f t="shared" si="7"/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0"/>
        <v>0</v>
      </c>
      <c r="P40" s="18">
        <f t="shared" si="1"/>
        <v>0</v>
      </c>
      <c r="Q40" s="18">
        <f t="shared" si="2"/>
        <v>0</v>
      </c>
      <c r="R40" s="18">
        <f t="shared" si="3"/>
        <v>0</v>
      </c>
      <c r="S40" s="18">
        <f t="shared" si="4"/>
        <v>0</v>
      </c>
      <c r="T40" s="18">
        <f t="shared" si="5"/>
        <v>0</v>
      </c>
      <c r="U40" s="18">
        <f t="shared" si="6"/>
        <v>0</v>
      </c>
      <c r="V40" s="18">
        <f t="shared" si="7"/>
        <v>0</v>
      </c>
    </row>
    <row r="41" spans="1:22" x14ac:dyDescent="0.3">
      <c r="A41" s="19">
        <v>46286</v>
      </c>
      <c r="B41" s="16" t="s">
        <v>12</v>
      </c>
      <c r="C41" s="1090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0"/>
        <v>0</v>
      </c>
      <c r="P41" s="18">
        <f t="shared" si="1"/>
        <v>0</v>
      </c>
      <c r="Q41" s="18">
        <f t="shared" si="2"/>
        <v>0</v>
      </c>
      <c r="R41" s="18">
        <f t="shared" si="3"/>
        <v>0</v>
      </c>
      <c r="S41" s="18">
        <f t="shared" si="4"/>
        <v>0</v>
      </c>
      <c r="T41" s="18">
        <f t="shared" si="5"/>
        <v>0</v>
      </c>
      <c r="U41" s="18">
        <f t="shared" si="6"/>
        <v>0</v>
      </c>
      <c r="V41" s="18">
        <f t="shared" si="7"/>
        <v>0</v>
      </c>
    </row>
    <row r="42" spans="1:22" x14ac:dyDescent="0.3">
      <c r="A42" s="19">
        <v>46286</v>
      </c>
      <c r="B42" s="16" t="s">
        <v>13</v>
      </c>
      <c r="C42" s="1090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0"/>
        <v>0</v>
      </c>
      <c r="P42" s="18">
        <f t="shared" si="1"/>
        <v>0</v>
      </c>
      <c r="Q42" s="18">
        <f t="shared" si="2"/>
        <v>0</v>
      </c>
      <c r="R42" s="18">
        <f t="shared" si="3"/>
        <v>0</v>
      </c>
      <c r="S42" s="18">
        <f t="shared" si="4"/>
        <v>0</v>
      </c>
      <c r="T42" s="18">
        <f t="shared" si="5"/>
        <v>0</v>
      </c>
      <c r="U42" s="18">
        <f t="shared" si="6"/>
        <v>0</v>
      </c>
      <c r="V42" s="18">
        <f t="shared" si="7"/>
        <v>0</v>
      </c>
    </row>
    <row r="43" spans="1:22" x14ac:dyDescent="0.3">
      <c r="A43" s="19">
        <v>46287</v>
      </c>
      <c r="B43" s="16" t="s">
        <v>12</v>
      </c>
      <c r="C43" s="1090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0"/>
        <v>0</v>
      </c>
      <c r="P43" s="18">
        <f t="shared" si="1"/>
        <v>0</v>
      </c>
      <c r="Q43" s="18">
        <f t="shared" si="2"/>
        <v>0</v>
      </c>
      <c r="R43" s="18">
        <f t="shared" si="3"/>
        <v>100</v>
      </c>
      <c r="S43" s="18">
        <f t="shared" si="4"/>
        <v>7</v>
      </c>
      <c r="T43" s="18">
        <f t="shared" si="5"/>
        <v>0</v>
      </c>
      <c r="U43" s="18">
        <f t="shared" si="6"/>
        <v>25</v>
      </c>
      <c r="V43" s="18">
        <f t="shared" si="7"/>
        <v>7</v>
      </c>
    </row>
    <row r="44" spans="1:22" x14ac:dyDescent="0.3">
      <c r="A44" s="19">
        <v>46287</v>
      </c>
      <c r="B44" s="16" t="s">
        <v>13</v>
      </c>
      <c r="C44" s="1090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0"/>
        <v>175</v>
      </c>
      <c r="P44" s="18">
        <f t="shared" si="1"/>
        <v>0</v>
      </c>
      <c r="Q44" s="18">
        <f t="shared" si="2"/>
        <v>0</v>
      </c>
      <c r="R44" s="18">
        <f t="shared" si="3"/>
        <v>0</v>
      </c>
      <c r="S44" s="18">
        <f t="shared" si="4"/>
        <v>0</v>
      </c>
      <c r="T44" s="18">
        <f t="shared" si="5"/>
        <v>0</v>
      </c>
      <c r="U44" s="18">
        <f t="shared" si="6"/>
        <v>0</v>
      </c>
      <c r="V44" s="18">
        <f t="shared" si="7"/>
        <v>0</v>
      </c>
    </row>
    <row r="45" spans="1:22" x14ac:dyDescent="0.3">
      <c r="A45" s="19">
        <v>46288</v>
      </c>
      <c r="B45" s="16" t="s">
        <v>12</v>
      </c>
      <c r="C45" s="1107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0"/>
        <v>225</v>
      </c>
      <c r="P45" s="18">
        <f t="shared" si="1"/>
        <v>0</v>
      </c>
      <c r="Q45" s="18">
        <f t="shared" si="2"/>
        <v>1000</v>
      </c>
      <c r="R45" s="18">
        <f t="shared" si="3"/>
        <v>125</v>
      </c>
      <c r="S45" s="18">
        <f t="shared" si="4"/>
        <v>0</v>
      </c>
      <c r="T45" s="18">
        <f t="shared" si="5"/>
        <v>0</v>
      </c>
      <c r="U45" s="18">
        <f t="shared" si="6"/>
        <v>40</v>
      </c>
      <c r="V45" s="18">
        <f t="shared" si="7"/>
        <v>0</v>
      </c>
    </row>
    <row r="46" spans="1:22" x14ac:dyDescent="0.3">
      <c r="A46" s="19">
        <v>46288</v>
      </c>
      <c r="B46" s="16" t="s">
        <v>13</v>
      </c>
      <c r="C46" s="1107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0"/>
        <v>0</v>
      </c>
      <c r="P46" s="18">
        <f t="shared" si="1"/>
        <v>0</v>
      </c>
      <c r="Q46" s="18">
        <f t="shared" si="2"/>
        <v>0</v>
      </c>
      <c r="R46" s="18">
        <f t="shared" si="3"/>
        <v>0</v>
      </c>
      <c r="S46" s="18">
        <f t="shared" si="4"/>
        <v>0</v>
      </c>
      <c r="T46" s="18">
        <f t="shared" si="5"/>
        <v>0</v>
      </c>
      <c r="U46" s="18">
        <f t="shared" si="6"/>
        <v>0</v>
      </c>
      <c r="V46" s="18">
        <f t="shared" si="7"/>
        <v>0</v>
      </c>
    </row>
    <row r="47" spans="1:22" x14ac:dyDescent="0.3">
      <c r="A47" s="19">
        <v>46289</v>
      </c>
      <c r="B47" s="16" t="s">
        <v>12</v>
      </c>
      <c r="C47" s="1108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0"/>
        <v>0</v>
      </c>
      <c r="P47" s="18">
        <f t="shared" si="1"/>
        <v>0</v>
      </c>
      <c r="Q47" s="18">
        <f t="shared" si="2"/>
        <v>0</v>
      </c>
      <c r="R47" s="18">
        <f t="shared" si="3"/>
        <v>0</v>
      </c>
      <c r="S47" s="18">
        <f t="shared" si="4"/>
        <v>0</v>
      </c>
      <c r="T47" s="18">
        <f t="shared" si="5"/>
        <v>0</v>
      </c>
      <c r="U47" s="18">
        <f t="shared" si="6"/>
        <v>0</v>
      </c>
      <c r="V47" s="18">
        <f t="shared" si="7"/>
        <v>0</v>
      </c>
    </row>
    <row r="48" spans="1:22" x14ac:dyDescent="0.3">
      <c r="A48" s="19">
        <v>46289</v>
      </c>
      <c r="B48" s="16" t="s">
        <v>13</v>
      </c>
      <c r="C48" s="1108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0"/>
        <v>0</v>
      </c>
      <c r="P48" s="18">
        <f t="shared" si="1"/>
        <v>0</v>
      </c>
      <c r="Q48" s="18">
        <f t="shared" si="2"/>
        <v>0</v>
      </c>
      <c r="R48" s="18">
        <f t="shared" si="3"/>
        <v>0</v>
      </c>
      <c r="S48" s="18">
        <f t="shared" si="4"/>
        <v>0</v>
      </c>
      <c r="T48" s="18">
        <f t="shared" si="5"/>
        <v>0</v>
      </c>
      <c r="U48" s="18">
        <f t="shared" si="6"/>
        <v>0</v>
      </c>
      <c r="V48" s="18">
        <f t="shared" si="7"/>
        <v>0</v>
      </c>
    </row>
    <row r="49" spans="1:22" x14ac:dyDescent="0.3">
      <c r="A49" s="19">
        <v>46290</v>
      </c>
      <c r="B49" s="16" t="s">
        <v>12</v>
      </c>
      <c r="C49" s="1134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0"/>
        <v>0</v>
      </c>
      <c r="P49" s="18">
        <f t="shared" si="1"/>
        <v>0</v>
      </c>
      <c r="Q49" s="18">
        <f t="shared" si="2"/>
        <v>0</v>
      </c>
      <c r="R49" s="18">
        <f t="shared" si="3"/>
        <v>0</v>
      </c>
      <c r="S49" s="18">
        <f t="shared" si="4"/>
        <v>0</v>
      </c>
      <c r="T49" s="18">
        <f t="shared" si="5"/>
        <v>0</v>
      </c>
      <c r="U49" s="18">
        <f t="shared" si="6"/>
        <v>0</v>
      </c>
      <c r="V49" s="18">
        <f t="shared" si="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0"/>
        <v>0</v>
      </c>
      <c r="P50" s="18">
        <f t="shared" si="1"/>
        <v>0</v>
      </c>
      <c r="Q50" s="18">
        <f t="shared" si="2"/>
        <v>0</v>
      </c>
      <c r="R50" s="18">
        <f t="shared" si="3"/>
        <v>0</v>
      </c>
      <c r="S50" s="18">
        <f t="shared" si="4"/>
        <v>0</v>
      </c>
      <c r="T50" s="18">
        <f t="shared" si="5"/>
        <v>0</v>
      </c>
      <c r="U50" s="18">
        <f t="shared" si="6"/>
        <v>0</v>
      </c>
      <c r="V50" s="18">
        <f t="shared" si="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0"/>
        <v>0</v>
      </c>
      <c r="P51" s="18">
        <f t="shared" si="1"/>
        <v>0</v>
      </c>
      <c r="Q51" s="18">
        <f t="shared" si="2"/>
        <v>0</v>
      </c>
      <c r="R51" s="18">
        <f t="shared" si="3"/>
        <v>0</v>
      </c>
      <c r="S51" s="18">
        <f t="shared" si="4"/>
        <v>0</v>
      </c>
      <c r="T51" s="18">
        <f t="shared" si="5"/>
        <v>0</v>
      </c>
      <c r="U51" s="18">
        <f t="shared" si="6"/>
        <v>0</v>
      </c>
      <c r="V51" s="18">
        <f t="shared" si="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0"/>
        <v>0</v>
      </c>
      <c r="P52" s="18">
        <f t="shared" si="1"/>
        <v>0</v>
      </c>
      <c r="Q52" s="18">
        <f t="shared" si="2"/>
        <v>0</v>
      </c>
      <c r="R52" s="18">
        <f t="shared" si="3"/>
        <v>0</v>
      </c>
      <c r="S52" s="18">
        <f t="shared" si="4"/>
        <v>0</v>
      </c>
      <c r="T52" s="18">
        <f t="shared" si="5"/>
        <v>0</v>
      </c>
      <c r="U52" s="18">
        <f t="shared" si="6"/>
        <v>0</v>
      </c>
      <c r="V52" s="18">
        <f t="shared" si="7"/>
        <v>0</v>
      </c>
    </row>
    <row r="53" spans="1:22" x14ac:dyDescent="0.3">
      <c r="A53" s="19">
        <v>46292</v>
      </c>
      <c r="B53" s="16" t="s">
        <v>13</v>
      </c>
      <c r="C53" s="1159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0"/>
        <v>0</v>
      </c>
      <c r="P53" s="18">
        <f t="shared" si="1"/>
        <v>0</v>
      </c>
      <c r="Q53" s="18">
        <f t="shared" si="2"/>
        <v>0</v>
      </c>
      <c r="R53" s="18">
        <f t="shared" si="3"/>
        <v>0</v>
      </c>
      <c r="S53" s="18">
        <f t="shared" si="4"/>
        <v>0</v>
      </c>
      <c r="T53" s="18">
        <f t="shared" si="5"/>
        <v>0</v>
      </c>
      <c r="U53" s="18">
        <f t="shared" si="6"/>
        <v>0</v>
      </c>
      <c r="V53" s="18">
        <f t="shared" si="7"/>
        <v>0</v>
      </c>
    </row>
    <row r="54" spans="1:22" x14ac:dyDescent="0.3">
      <c r="A54" s="19">
        <v>46293</v>
      </c>
      <c r="B54" s="16" t="s">
        <v>12</v>
      </c>
      <c r="C54" s="1173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0"/>
        <v>0</v>
      </c>
      <c r="P54" s="18">
        <f t="shared" si="1"/>
        <v>0</v>
      </c>
      <c r="Q54" s="18">
        <f t="shared" si="2"/>
        <v>0</v>
      </c>
      <c r="R54" s="18">
        <f t="shared" si="3"/>
        <v>0</v>
      </c>
      <c r="S54" s="18">
        <f t="shared" si="4"/>
        <v>0</v>
      </c>
      <c r="T54" s="18">
        <f t="shared" si="5"/>
        <v>0</v>
      </c>
      <c r="U54" s="18">
        <f t="shared" si="6"/>
        <v>0</v>
      </c>
      <c r="V54" s="18">
        <f t="shared" si="7"/>
        <v>0</v>
      </c>
    </row>
    <row r="55" spans="1:22" x14ac:dyDescent="0.3">
      <c r="A55" s="19">
        <v>46293</v>
      </c>
      <c r="B55" s="16" t="s">
        <v>13</v>
      </c>
      <c r="C55" s="1173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0"/>
        <v>0</v>
      </c>
      <c r="P55" s="18">
        <f t="shared" si="1"/>
        <v>0</v>
      </c>
      <c r="Q55" s="18">
        <f t="shared" si="2"/>
        <v>0</v>
      </c>
      <c r="R55" s="18">
        <f t="shared" si="3"/>
        <v>0</v>
      </c>
      <c r="S55" s="18">
        <f t="shared" si="4"/>
        <v>0</v>
      </c>
      <c r="T55" s="18">
        <f t="shared" si="5"/>
        <v>0</v>
      </c>
      <c r="U55" s="18">
        <f t="shared" si="6"/>
        <v>0</v>
      </c>
      <c r="V55" s="18">
        <f t="shared" si="7"/>
        <v>0</v>
      </c>
    </row>
    <row r="56" spans="1:22" x14ac:dyDescent="0.3">
      <c r="A56" s="19">
        <v>46294</v>
      </c>
      <c r="B56" s="16" t="s">
        <v>12</v>
      </c>
      <c r="C56" s="1173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0"/>
        <v>0</v>
      </c>
      <c r="P56" s="18">
        <f t="shared" si="1"/>
        <v>0</v>
      </c>
      <c r="Q56" s="18">
        <f t="shared" si="2"/>
        <v>0</v>
      </c>
      <c r="R56" s="18">
        <f t="shared" si="3"/>
        <v>0</v>
      </c>
      <c r="S56" s="18">
        <f t="shared" si="4"/>
        <v>0</v>
      </c>
      <c r="T56" s="18">
        <f t="shared" si="5"/>
        <v>0</v>
      </c>
      <c r="U56" s="18">
        <f t="shared" si="6"/>
        <v>0</v>
      </c>
      <c r="V56" s="18">
        <f t="shared" si="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0"/>
        <v>0</v>
      </c>
      <c r="P57" s="18">
        <f t="shared" si="1"/>
        <v>0</v>
      </c>
      <c r="Q57" s="18">
        <f t="shared" si="2"/>
        <v>0</v>
      </c>
      <c r="R57" s="18">
        <f t="shared" si="3"/>
        <v>0</v>
      </c>
      <c r="S57" s="18">
        <f t="shared" si="4"/>
        <v>0</v>
      </c>
      <c r="T57" s="18">
        <f t="shared" si="5"/>
        <v>0</v>
      </c>
      <c r="U57" s="18">
        <f t="shared" si="6"/>
        <v>0</v>
      </c>
      <c r="V57" s="18">
        <f t="shared" si="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0"/>
        <v>0</v>
      </c>
      <c r="P58" s="18">
        <f t="shared" si="1"/>
        <v>0</v>
      </c>
      <c r="Q58" s="18">
        <f t="shared" si="2"/>
        <v>0</v>
      </c>
      <c r="R58" s="18">
        <f t="shared" si="3"/>
        <v>0</v>
      </c>
      <c r="S58" s="18">
        <f t="shared" si="4"/>
        <v>0</v>
      </c>
      <c r="T58" s="18">
        <f t="shared" si="5"/>
        <v>0</v>
      </c>
      <c r="U58" s="18">
        <f t="shared" si="6"/>
        <v>0</v>
      </c>
      <c r="V58" s="18">
        <f t="shared" si="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/>
      <c r="L59" s="6"/>
      <c r="N59" s="17">
        <v>46314</v>
      </c>
      <c r="O59" s="18">
        <f t="shared" si="0"/>
        <v>0</v>
      </c>
      <c r="P59" s="18">
        <f t="shared" si="1"/>
        <v>0</v>
      </c>
      <c r="Q59" s="18">
        <f t="shared" si="2"/>
        <v>0</v>
      </c>
      <c r="R59" s="18">
        <f t="shared" si="3"/>
        <v>0</v>
      </c>
      <c r="S59" s="18">
        <f t="shared" si="4"/>
        <v>0</v>
      </c>
      <c r="T59" s="18">
        <f t="shared" si="5"/>
        <v>0</v>
      </c>
      <c r="U59" s="18">
        <f t="shared" si="6"/>
        <v>0</v>
      </c>
      <c r="V59" s="18">
        <f t="shared" si="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0"/>
        <v>0</v>
      </c>
      <c r="P60" s="18">
        <f t="shared" si="1"/>
        <v>0</v>
      </c>
      <c r="Q60" s="18">
        <f t="shared" si="2"/>
        <v>0</v>
      </c>
      <c r="R60" s="18">
        <f t="shared" si="3"/>
        <v>0</v>
      </c>
      <c r="S60" s="18">
        <f t="shared" si="4"/>
        <v>0</v>
      </c>
      <c r="T60" s="18">
        <f t="shared" si="5"/>
        <v>0</v>
      </c>
      <c r="U60" s="18">
        <f t="shared" si="6"/>
        <v>0</v>
      </c>
      <c r="V60" s="18">
        <f t="shared" si="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/>
      <c r="L61" s="6"/>
      <c r="N61" s="17">
        <v>46316</v>
      </c>
      <c r="O61" s="18">
        <f t="shared" si="0"/>
        <v>0</v>
      </c>
      <c r="P61" s="18">
        <f t="shared" si="1"/>
        <v>0</v>
      </c>
      <c r="Q61" s="18">
        <f t="shared" si="2"/>
        <v>0</v>
      </c>
      <c r="R61" s="18">
        <f t="shared" si="3"/>
        <v>0</v>
      </c>
      <c r="S61" s="18">
        <f t="shared" si="4"/>
        <v>0</v>
      </c>
      <c r="T61" s="18">
        <f t="shared" si="5"/>
        <v>0</v>
      </c>
      <c r="U61" s="18">
        <f t="shared" si="6"/>
        <v>0</v>
      </c>
      <c r="V61" s="18">
        <f t="shared" si="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0"/>
        <v>0</v>
      </c>
      <c r="P62" s="18">
        <f t="shared" si="1"/>
        <v>0</v>
      </c>
      <c r="Q62" s="18">
        <f t="shared" si="2"/>
        <v>0</v>
      </c>
      <c r="R62" s="18">
        <f t="shared" si="3"/>
        <v>0</v>
      </c>
      <c r="S62" s="18">
        <f t="shared" si="4"/>
        <v>0</v>
      </c>
      <c r="T62" s="18">
        <f t="shared" si="5"/>
        <v>0</v>
      </c>
      <c r="U62" s="18">
        <f t="shared" si="6"/>
        <v>0</v>
      </c>
      <c r="V62" s="18">
        <f t="shared" si="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/>
      <c r="L63" s="6"/>
      <c r="N63" s="17">
        <v>46318</v>
      </c>
      <c r="O63" s="18">
        <f t="shared" si="0"/>
        <v>0</v>
      </c>
      <c r="P63" s="18">
        <f t="shared" si="1"/>
        <v>0</v>
      </c>
      <c r="Q63" s="18">
        <f t="shared" si="2"/>
        <v>0</v>
      </c>
      <c r="R63" s="18">
        <f t="shared" si="3"/>
        <v>0</v>
      </c>
      <c r="S63" s="18">
        <f t="shared" si="4"/>
        <v>0</v>
      </c>
      <c r="T63" s="18">
        <f t="shared" si="5"/>
        <v>0</v>
      </c>
      <c r="U63" s="18">
        <f t="shared" si="6"/>
        <v>0</v>
      </c>
      <c r="V63" s="18">
        <f t="shared" si="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0"/>
        <v>0</v>
      </c>
      <c r="P64" s="18">
        <f t="shared" si="1"/>
        <v>0</v>
      </c>
      <c r="Q64" s="18">
        <f t="shared" si="2"/>
        <v>0</v>
      </c>
      <c r="R64" s="18">
        <f t="shared" si="3"/>
        <v>0</v>
      </c>
      <c r="S64" s="18">
        <f t="shared" si="4"/>
        <v>0</v>
      </c>
      <c r="T64" s="18">
        <f t="shared" si="5"/>
        <v>0</v>
      </c>
      <c r="U64" s="18">
        <f t="shared" si="6"/>
        <v>0</v>
      </c>
      <c r="V64" s="18">
        <f t="shared" si="7"/>
        <v>0</v>
      </c>
    </row>
    <row r="65" spans="1:22" x14ac:dyDescent="0.3">
      <c r="A65" s="19">
        <v>46302</v>
      </c>
      <c r="B65" s="16"/>
      <c r="C65" s="16"/>
      <c r="D65" s="13"/>
      <c r="E65" s="13"/>
      <c r="F65" s="6"/>
      <c r="G65" s="6"/>
      <c r="H65" s="5"/>
      <c r="I65" s="6"/>
      <c r="J65" s="6"/>
      <c r="K65" s="6"/>
      <c r="L65" s="6"/>
      <c r="N65" s="17">
        <v>46320</v>
      </c>
      <c r="O65" s="18">
        <f t="shared" si="0"/>
        <v>0</v>
      </c>
      <c r="P65" s="18">
        <f t="shared" si="1"/>
        <v>0</v>
      </c>
      <c r="Q65" s="18">
        <f t="shared" si="2"/>
        <v>0</v>
      </c>
      <c r="R65" s="18">
        <f t="shared" si="3"/>
        <v>0</v>
      </c>
      <c r="S65" s="18">
        <f t="shared" si="4"/>
        <v>0</v>
      </c>
      <c r="T65" s="18">
        <f t="shared" si="5"/>
        <v>0</v>
      </c>
      <c r="U65" s="18">
        <f t="shared" si="6"/>
        <v>0</v>
      </c>
      <c r="V65" s="18">
        <f t="shared" si="7"/>
        <v>0</v>
      </c>
    </row>
    <row r="66" spans="1:22" x14ac:dyDescent="0.3">
      <c r="A66" s="19">
        <v>46303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0"/>
        <v>0</v>
      </c>
      <c r="P66" s="18">
        <f t="shared" si="1"/>
        <v>0</v>
      </c>
      <c r="Q66" s="18">
        <f t="shared" si="2"/>
        <v>0</v>
      </c>
      <c r="R66" s="18">
        <f t="shared" si="3"/>
        <v>0</v>
      </c>
      <c r="S66" s="18">
        <f t="shared" si="4"/>
        <v>0</v>
      </c>
      <c r="T66" s="18">
        <f t="shared" si="5"/>
        <v>0</v>
      </c>
      <c r="U66" s="18">
        <f t="shared" si="6"/>
        <v>0</v>
      </c>
      <c r="V66" s="18">
        <f t="shared" si="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0"/>
        <v>0</v>
      </c>
      <c r="P67" s="18">
        <f t="shared" si="1"/>
        <v>0</v>
      </c>
      <c r="Q67" s="18">
        <f t="shared" si="2"/>
        <v>0</v>
      </c>
      <c r="R67" s="18">
        <f t="shared" si="3"/>
        <v>0</v>
      </c>
      <c r="S67" s="18">
        <f t="shared" si="4"/>
        <v>0</v>
      </c>
      <c r="T67" s="18">
        <f t="shared" si="5"/>
        <v>0</v>
      </c>
      <c r="U67" s="18">
        <f t="shared" si="6"/>
        <v>0</v>
      </c>
      <c r="V67" s="18">
        <f t="shared" si="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0"/>
        <v>0</v>
      </c>
      <c r="P68" s="18">
        <f t="shared" si="1"/>
        <v>0</v>
      </c>
      <c r="Q68" s="18">
        <f t="shared" si="2"/>
        <v>0</v>
      </c>
      <c r="R68" s="18">
        <f t="shared" si="3"/>
        <v>0</v>
      </c>
      <c r="S68" s="18">
        <f t="shared" si="4"/>
        <v>0</v>
      </c>
      <c r="T68" s="18">
        <f t="shared" si="5"/>
        <v>0</v>
      </c>
      <c r="U68" s="18">
        <f t="shared" si="6"/>
        <v>0</v>
      </c>
      <c r="V68" s="18">
        <f t="shared" si="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0"/>
        <v>0</v>
      </c>
      <c r="P69" s="18">
        <f t="shared" si="1"/>
        <v>0</v>
      </c>
      <c r="Q69" s="18">
        <f t="shared" si="2"/>
        <v>0</v>
      </c>
      <c r="R69" s="18">
        <f t="shared" si="3"/>
        <v>0</v>
      </c>
      <c r="S69" s="18">
        <f t="shared" si="4"/>
        <v>0</v>
      </c>
      <c r="T69" s="18">
        <f t="shared" si="5"/>
        <v>0</v>
      </c>
      <c r="U69" s="18">
        <f t="shared" si="6"/>
        <v>0</v>
      </c>
      <c r="V69" s="18">
        <f t="shared" si="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0"/>
        <v>0</v>
      </c>
      <c r="P70" s="18">
        <f t="shared" si="1"/>
        <v>0</v>
      </c>
      <c r="Q70" s="18">
        <f t="shared" si="2"/>
        <v>0</v>
      </c>
      <c r="R70" s="18">
        <f t="shared" si="3"/>
        <v>0</v>
      </c>
      <c r="S70" s="18">
        <f t="shared" si="4"/>
        <v>0</v>
      </c>
      <c r="T70" s="18">
        <f t="shared" si="5"/>
        <v>0</v>
      </c>
      <c r="U70" s="18">
        <f t="shared" si="6"/>
        <v>0</v>
      </c>
      <c r="V70" s="18">
        <f t="shared" si="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si="0"/>
        <v>0</v>
      </c>
      <c r="P71" s="18">
        <f t="shared" si="1"/>
        <v>0</v>
      </c>
      <c r="Q71" s="18">
        <f t="shared" si="2"/>
        <v>0</v>
      </c>
      <c r="R71" s="18">
        <f t="shared" si="3"/>
        <v>0</v>
      </c>
      <c r="S71" s="18">
        <f t="shared" si="4"/>
        <v>0</v>
      </c>
      <c r="T71" s="18">
        <f t="shared" si="5"/>
        <v>0</v>
      </c>
      <c r="U71" s="18">
        <f t="shared" si="6"/>
        <v>0</v>
      </c>
      <c r="V71" s="18">
        <f t="shared" si="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6025</v>
      </c>
      <c r="P72" s="21">
        <f t="shared" ref="P72:V72" si="11">SUM(P7:P71)</f>
        <v>4150</v>
      </c>
      <c r="Q72" s="21">
        <f t="shared" si="11"/>
        <v>4000</v>
      </c>
      <c r="R72" s="21">
        <f t="shared" si="11"/>
        <v>225</v>
      </c>
      <c r="S72" s="21">
        <f t="shared" si="11"/>
        <v>7</v>
      </c>
      <c r="T72" s="21">
        <f t="shared" si="11"/>
        <v>325</v>
      </c>
      <c r="U72" s="21">
        <f t="shared" si="11"/>
        <v>65</v>
      </c>
      <c r="V72" s="21">
        <f t="shared" si="11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disablePrompts="1"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22"/>
  <sheetViews>
    <sheetView view="pageBreakPreview" zoomScale="55" zoomScaleNormal="44" zoomScaleSheetLayoutView="74" workbookViewId="0">
      <pane ySplit="5" topLeftCell="A20" activePane="bottomLeft" state="frozen"/>
      <selection pane="bottomLeft" activeCell="M20" sqref="M2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63" t="s">
        <v>665</v>
      </c>
      <c r="C4" s="1364"/>
      <c r="D4" s="1364"/>
      <c r="E4" s="1364"/>
      <c r="F4" s="1364"/>
      <c r="G4" s="1364"/>
      <c r="H4" s="1364"/>
      <c r="I4" s="1364"/>
      <c r="J4" s="1364"/>
      <c r="K4" s="1364"/>
      <c r="L4" s="1364"/>
      <c r="M4" s="1364"/>
      <c r="N4" s="1364"/>
      <c r="O4" s="1365"/>
    </row>
    <row r="5" spans="2:27" ht="75.599999999999994" customHeight="1" thickBot="1" x14ac:dyDescent="0.35">
      <c r="B5" s="1359" t="s">
        <v>0</v>
      </c>
      <c r="C5" s="1360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25" t="s">
        <v>11</v>
      </c>
      <c r="T5" s="1326"/>
      <c r="W5" s="1302" t="s">
        <v>18</v>
      </c>
      <c r="X5" s="1302"/>
      <c r="Y5" s="1302"/>
      <c r="Z5" s="1302"/>
      <c r="AA5" s="1302"/>
    </row>
    <row r="6" spans="2:27" ht="13.95" customHeight="1" thickBot="1" x14ac:dyDescent="0.4">
      <c r="B6" s="1337">
        <v>46174</v>
      </c>
      <c r="C6" s="1338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47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45"/>
      <c r="C7" s="134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4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53">
        <v>46175</v>
      </c>
      <c r="C8" s="1354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57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55"/>
      <c r="C9" s="1356"/>
      <c r="D9" s="347" t="s">
        <v>13</v>
      </c>
      <c r="E9" s="348"/>
      <c r="F9" s="349"/>
      <c r="G9" s="384"/>
      <c r="H9" s="350"/>
      <c r="I9" s="351" t="str">
        <f t="shared" ref="I9:I11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5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37">
        <v>46176</v>
      </c>
      <c r="C10" s="1338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4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45"/>
      <c r="C11" s="134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5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53">
        <v>46177</v>
      </c>
      <c r="C12" s="1354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57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55"/>
      <c r="C13" s="135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5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37">
        <v>46252</v>
      </c>
      <c r="C14" s="1338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49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45"/>
      <c r="C15" s="134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50"/>
      <c r="O15" s="284"/>
    </row>
    <row r="16" spans="2:27" ht="18.600000000000001" thickBot="1" x14ac:dyDescent="0.4">
      <c r="B16" s="1353">
        <v>46253</v>
      </c>
      <c r="C16" s="1354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57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55"/>
      <c r="C17" s="135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58"/>
      <c r="O17" s="346" t="s">
        <v>386</v>
      </c>
    </row>
    <row r="18" spans="2:23" ht="18.600000000000001" thickBot="1" x14ac:dyDescent="0.4">
      <c r="B18" s="1337">
        <v>46254</v>
      </c>
      <c r="C18" s="1338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49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45"/>
      <c r="C19" s="134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66"/>
      <c r="O19" s="284" t="s">
        <v>408</v>
      </c>
      <c r="T19" s="109"/>
    </row>
    <row r="20" spans="2:23" ht="18.600000000000001" thickBot="1" x14ac:dyDescent="0.4">
      <c r="B20" s="1337">
        <v>46255</v>
      </c>
      <c r="C20" s="1338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4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45"/>
      <c r="C21" s="134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66"/>
      <c r="O21" s="284"/>
      <c r="S21" s="2"/>
      <c r="T21" s="110"/>
    </row>
    <row r="22" spans="2:23" ht="18.600000000000001" thickBot="1" x14ac:dyDescent="0.4">
      <c r="B22" s="1337">
        <v>46256</v>
      </c>
      <c r="C22" s="1338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4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45"/>
      <c r="C23" s="134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50"/>
      <c r="O23" s="284"/>
      <c r="P23" s="8"/>
      <c r="T23" s="109"/>
    </row>
    <row r="24" spans="2:23" ht="18.600000000000001" thickBot="1" x14ac:dyDescent="0.4">
      <c r="B24" s="1337">
        <v>46257</v>
      </c>
      <c r="C24" s="1338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49">
        <f>SUM(L24:L25)</f>
        <v>0</v>
      </c>
      <c r="O24" s="284"/>
    </row>
    <row r="25" spans="2:23" ht="18.600000000000001" thickBot="1" x14ac:dyDescent="0.4">
      <c r="B25" s="1345"/>
      <c r="C25" s="134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50"/>
      <c r="O25" s="284"/>
      <c r="T25" s="3"/>
    </row>
    <row r="26" spans="2:23" ht="18.600000000000001" thickBot="1" x14ac:dyDescent="0.4">
      <c r="B26" s="1337">
        <v>46258</v>
      </c>
      <c r="C26" s="1338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4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45"/>
      <c r="C27" s="134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50"/>
      <c r="O27" s="284"/>
    </row>
    <row r="28" spans="2:23" ht="18.600000000000001" thickBot="1" x14ac:dyDescent="0.4">
      <c r="B28" s="1337">
        <v>46259</v>
      </c>
      <c r="C28" s="1338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49">
        <f>SUM(L28:L29)</f>
        <v>0</v>
      </c>
      <c r="O28" s="284"/>
    </row>
    <row r="29" spans="2:23" ht="18.600000000000001" thickBot="1" x14ac:dyDescent="0.4">
      <c r="B29" s="1345"/>
      <c r="C29" s="134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50"/>
      <c r="O29" s="284"/>
      <c r="P29" s="8"/>
    </row>
    <row r="30" spans="2:23" ht="18.600000000000001" thickBot="1" x14ac:dyDescent="0.4">
      <c r="B30" s="1337">
        <v>46260</v>
      </c>
      <c r="C30" s="1338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49">
        <f t="shared" ref="N30" si="13">SUM(L30:L31)</f>
        <v>0</v>
      </c>
      <c r="O30" s="284"/>
    </row>
    <row r="31" spans="2:23" ht="18.600000000000001" thickBot="1" x14ac:dyDescent="0.4">
      <c r="B31" s="1345"/>
      <c r="C31" s="134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50"/>
      <c r="O31" s="284"/>
    </row>
    <row r="32" spans="2:23" ht="54.6" thickBot="1" x14ac:dyDescent="0.4">
      <c r="B32" s="1337">
        <v>46261</v>
      </c>
      <c r="C32" s="1338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47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45"/>
      <c r="C33" s="134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48"/>
      <c r="O33" s="284"/>
    </row>
    <row r="34" spans="2:24" ht="18.600000000000001" thickBot="1" x14ac:dyDescent="0.4">
      <c r="B34" s="1337">
        <v>46262</v>
      </c>
      <c r="C34" s="1338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47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45"/>
      <c r="C35" s="134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48"/>
      <c r="O35" s="284"/>
    </row>
    <row r="36" spans="2:24" ht="18.600000000000001" thickBot="1" x14ac:dyDescent="0.35">
      <c r="B36" s="1337">
        <v>46263</v>
      </c>
      <c r="C36" s="1338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47">
        <f>SUM(L36:L37)</f>
        <v>240.43500000000003</v>
      </c>
      <c r="O36" s="1361" t="str">
        <f>'Crushing Down Time Hours'!G17</f>
        <v>istirahat jam 12-13, 14:00-15:00 ada loading material dari mining</v>
      </c>
    </row>
    <row r="37" spans="2:24" ht="18.600000000000001" thickBot="1" x14ac:dyDescent="0.35">
      <c r="B37" s="1345"/>
      <c r="C37" s="134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48"/>
      <c r="O37" s="1362"/>
    </row>
    <row r="38" spans="2:24" ht="18.600000000000001" thickBot="1" x14ac:dyDescent="0.4">
      <c r="B38" s="1337">
        <v>46264</v>
      </c>
      <c r="C38" s="1338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47">
        <f t="shared" ref="N38" si="15">SUM(L38:L39)</f>
        <v>53.820000000000007</v>
      </c>
      <c r="O38" s="284"/>
      <c r="Q38" s="4"/>
    </row>
    <row r="39" spans="2:24" ht="18.600000000000001" thickBot="1" x14ac:dyDescent="0.4">
      <c r="B39" s="1345"/>
      <c r="C39" s="134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48"/>
      <c r="O39" s="284"/>
    </row>
    <row r="40" spans="2:24" ht="18.600000000000001" thickBot="1" x14ac:dyDescent="0.4">
      <c r="B40" s="1337">
        <v>46265</v>
      </c>
      <c r="C40" s="1338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49">
        <f>SUM(L40:L41)</f>
        <v>0</v>
      </c>
      <c r="O40" s="284"/>
    </row>
    <row r="41" spans="2:24" ht="18.600000000000001" thickBot="1" x14ac:dyDescent="0.4">
      <c r="B41" s="1345"/>
      <c r="C41" s="134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50"/>
      <c r="O41" s="284"/>
    </row>
    <row r="42" spans="2:24" ht="18.600000000000001" thickBot="1" x14ac:dyDescent="0.4">
      <c r="B42" s="1337">
        <v>46266</v>
      </c>
      <c r="C42" s="1338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49">
        <f t="shared" ref="N42" si="16">SUM(L42:L43)</f>
        <v>0</v>
      </c>
      <c r="O42" s="284"/>
    </row>
    <row r="43" spans="2:24" ht="18.600000000000001" thickBot="1" x14ac:dyDescent="0.4">
      <c r="B43" s="1345"/>
      <c r="C43" s="134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50"/>
      <c r="O43" s="284"/>
    </row>
    <row r="44" spans="2:24" ht="18.600000000000001" thickBot="1" x14ac:dyDescent="0.4">
      <c r="B44" s="1337">
        <v>46267</v>
      </c>
      <c r="C44" s="1338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49">
        <f t="shared" ref="N44" si="17">SUM(L44:L45)</f>
        <v>0</v>
      </c>
      <c r="O44" s="284"/>
    </row>
    <row r="45" spans="2:24" ht="18.600000000000001" thickBot="1" x14ac:dyDescent="0.4">
      <c r="B45" s="1345"/>
      <c r="C45" s="134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50"/>
      <c r="O45" s="284"/>
    </row>
    <row r="46" spans="2:24" ht="18.600000000000001" thickBot="1" x14ac:dyDescent="0.4">
      <c r="B46" s="1337">
        <v>46268</v>
      </c>
      <c r="C46" s="1338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49">
        <f t="shared" ref="N46:N58" si="18">SUM(L46:L47)</f>
        <v>0</v>
      </c>
      <c r="O46" s="284"/>
    </row>
    <row r="47" spans="2:24" ht="18.600000000000001" thickBot="1" x14ac:dyDescent="0.4">
      <c r="B47" s="1345"/>
      <c r="C47" s="134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50"/>
      <c r="O47" s="284"/>
    </row>
    <row r="48" spans="2:24" ht="18.600000000000001" thickBot="1" x14ac:dyDescent="0.4">
      <c r="B48" s="1337">
        <v>46269</v>
      </c>
      <c r="C48" s="1338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49">
        <f t="shared" si="18"/>
        <v>0</v>
      </c>
      <c r="O48" s="284"/>
    </row>
    <row r="49" spans="2:22" ht="18.600000000000001" thickBot="1" x14ac:dyDescent="0.4">
      <c r="B49" s="1345"/>
      <c r="C49" s="134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50"/>
      <c r="O49" s="284"/>
    </row>
    <row r="50" spans="2:22" ht="18.600000000000001" thickBot="1" x14ac:dyDescent="0.4">
      <c r="B50" s="1337">
        <v>46270</v>
      </c>
      <c r="C50" s="1338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49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45"/>
      <c r="C51" s="134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50"/>
      <c r="O51" s="284"/>
      <c r="P51" s="4"/>
    </row>
    <row r="52" spans="2:22" ht="18.600000000000001" thickBot="1" x14ac:dyDescent="0.4">
      <c r="B52" s="1337">
        <v>46271</v>
      </c>
      <c r="C52" s="1338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49">
        <f t="shared" si="18"/>
        <v>0</v>
      </c>
      <c r="O52" s="284"/>
    </row>
    <row r="53" spans="2:22" ht="18.600000000000001" thickBot="1" x14ac:dyDescent="0.4">
      <c r="B53" s="1345"/>
      <c r="C53" s="134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50"/>
      <c r="O53" s="284"/>
      <c r="R53" s="1">
        <f>R50*4</f>
        <v>60</v>
      </c>
    </row>
    <row r="54" spans="2:22" ht="18.600000000000001" thickBot="1" x14ac:dyDescent="0.4">
      <c r="B54" s="1337">
        <v>46272</v>
      </c>
      <c r="C54" s="1338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49">
        <f t="shared" si="18"/>
        <v>0</v>
      </c>
      <c r="O54" s="284"/>
    </row>
    <row r="55" spans="2:22" ht="18.600000000000001" thickBot="1" x14ac:dyDescent="0.4">
      <c r="B55" s="1345"/>
      <c r="C55" s="134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50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37">
        <v>46273</v>
      </c>
      <c r="C56" s="1338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4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45"/>
      <c r="C57" s="134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50"/>
      <c r="O57" s="284"/>
      <c r="Q57" s="4"/>
      <c r="R57" s="4"/>
      <c r="S57" s="1">
        <v>1190</v>
      </c>
    </row>
    <row r="58" spans="2:22" ht="18.600000000000001" thickBot="1" x14ac:dyDescent="0.4">
      <c r="B58" s="1337">
        <v>46274</v>
      </c>
      <c r="C58" s="1338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49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45"/>
      <c r="C59" s="134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50"/>
      <c r="O59" s="284"/>
      <c r="P59" s="4"/>
      <c r="S59" s="2">
        <f>(S55-S58)/S55</f>
        <v>0.10083594566353186</v>
      </c>
    </row>
    <row r="60" spans="2:22" ht="18.600000000000001" thickBot="1" x14ac:dyDescent="0.4">
      <c r="B60" s="1337">
        <v>46275</v>
      </c>
      <c r="C60" s="1338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51">
        <f>SUM(L60:L61)</f>
        <v>73.125</v>
      </c>
      <c r="O60" s="284"/>
      <c r="P60" s="8"/>
    </row>
    <row r="61" spans="2:22" ht="18.600000000000001" thickBot="1" x14ac:dyDescent="0.4">
      <c r="B61" s="1345"/>
      <c r="C61" s="134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52"/>
      <c r="O61" s="284"/>
      <c r="P61" s="8"/>
    </row>
    <row r="62" spans="2:22" ht="18.600000000000001" thickBot="1" x14ac:dyDescent="0.4">
      <c r="B62" s="1337">
        <v>46276</v>
      </c>
      <c r="C62" s="1338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51">
        <f>SUM(L62:L63)</f>
        <v>0</v>
      </c>
      <c r="O62" s="284"/>
      <c r="P62" s="8"/>
    </row>
    <row r="63" spans="2:22" ht="18.600000000000001" thickBot="1" x14ac:dyDescent="0.4">
      <c r="B63" s="1345"/>
      <c r="C63" s="134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52"/>
      <c r="O63" s="284"/>
      <c r="P63" s="8"/>
    </row>
    <row r="64" spans="2:22" ht="18.600000000000001" thickBot="1" x14ac:dyDescent="0.4">
      <c r="B64" s="1337">
        <v>46277</v>
      </c>
      <c r="C64" s="1338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51">
        <f>SUM(L64:L65)</f>
        <v>328.77</v>
      </c>
      <c r="O64" s="284"/>
      <c r="P64" s="8"/>
    </row>
    <row r="65" spans="2:16" ht="18.600000000000001" thickBot="1" x14ac:dyDescent="0.4">
      <c r="B65" s="1345"/>
      <c r="C65" s="1346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52"/>
      <c r="O65" s="284"/>
      <c r="P65" s="8"/>
    </row>
    <row r="66" spans="2:16" ht="18.600000000000001" thickBot="1" x14ac:dyDescent="0.4">
      <c r="B66" s="1337">
        <v>46278</v>
      </c>
      <c r="C66" s="1338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51">
        <f>SUM(L66:L67)</f>
        <v>262.66500000000002</v>
      </c>
      <c r="O66" s="284"/>
      <c r="P66" s="8"/>
    </row>
    <row r="67" spans="2:16" ht="18.600000000000001" thickBot="1" x14ac:dyDescent="0.4">
      <c r="B67" s="1345"/>
      <c r="C67" s="1346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52"/>
      <c r="O67" s="284"/>
      <c r="P67" s="8"/>
    </row>
    <row r="68" spans="2:16" ht="18.600000000000001" thickBot="1" x14ac:dyDescent="0.4">
      <c r="B68" s="1337">
        <v>46279</v>
      </c>
      <c r="C68" s="1338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41">
        <f t="shared" ref="N68" si="31">SUM(L68:L69)</f>
        <v>0</v>
      </c>
      <c r="O68" s="284"/>
      <c r="P68" s="8"/>
    </row>
    <row r="69" spans="2:16" ht="18.600000000000001" thickBot="1" x14ac:dyDescent="0.4">
      <c r="B69" s="1345"/>
      <c r="C69" s="134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43"/>
      <c r="O69" s="284"/>
      <c r="P69" s="8"/>
    </row>
    <row r="70" spans="2:16" ht="18.600000000000001" thickBot="1" x14ac:dyDescent="0.4">
      <c r="B70" s="1337">
        <v>46280</v>
      </c>
      <c r="C70" s="1338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41">
        <f t="shared" ref="N70" si="32">SUM(L70:L71)</f>
        <v>0</v>
      </c>
      <c r="O70" s="284"/>
      <c r="P70" s="8"/>
    </row>
    <row r="71" spans="2:16" ht="18.600000000000001" thickBot="1" x14ac:dyDescent="0.4">
      <c r="B71" s="1345"/>
      <c r="C71" s="134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43"/>
      <c r="O71" s="284"/>
      <c r="P71" s="8"/>
    </row>
    <row r="72" spans="2:16" ht="18.600000000000001" thickBot="1" x14ac:dyDescent="0.4">
      <c r="B72" s="1337">
        <v>46281</v>
      </c>
      <c r="C72" s="1338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41">
        <f t="shared" ref="N72" si="33">SUM(L72:L73)</f>
        <v>0</v>
      </c>
      <c r="O72" s="284"/>
      <c r="P72" s="8"/>
    </row>
    <row r="73" spans="2:16" ht="18.600000000000001" thickBot="1" x14ac:dyDescent="0.4">
      <c r="B73" s="1345"/>
      <c r="C73" s="134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43"/>
      <c r="O73" s="284"/>
      <c r="P73" s="8"/>
    </row>
    <row r="74" spans="2:16" ht="18.600000000000001" thickBot="1" x14ac:dyDescent="0.4">
      <c r="B74" s="1337">
        <v>46282</v>
      </c>
      <c r="C74" s="1338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41">
        <f t="shared" ref="N74" si="34">SUM(L74:L75)</f>
        <v>0</v>
      </c>
      <c r="O74" s="284"/>
      <c r="P74" s="8"/>
    </row>
    <row r="75" spans="2:16" ht="18.600000000000001" thickBot="1" x14ac:dyDescent="0.4">
      <c r="B75" s="1345"/>
      <c r="C75" s="134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43"/>
      <c r="O75" s="284"/>
      <c r="P75" s="8"/>
    </row>
    <row r="76" spans="2:16" ht="18.600000000000001" thickBot="1" x14ac:dyDescent="0.4">
      <c r="B76" s="1337">
        <v>46283</v>
      </c>
      <c r="C76" s="1338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41">
        <f>SUM(L76:L77)</f>
        <v>201.24</v>
      </c>
      <c r="O76" s="284" t="s">
        <v>639</v>
      </c>
      <c r="P76" s="8"/>
    </row>
    <row r="77" spans="2:16" ht="18.600000000000001" thickBot="1" x14ac:dyDescent="0.4">
      <c r="B77" s="1345"/>
      <c r="C77" s="1346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3">
        <f t="shared" si="29"/>
        <v>201.24</v>
      </c>
      <c r="M77" s="1004">
        <f t="shared" ref="M77:M80" si="36">IFERROR((K77/12),"")</f>
        <v>19.5</v>
      </c>
      <c r="N77" s="1343"/>
      <c r="O77" s="284" t="s">
        <v>640</v>
      </c>
      <c r="P77" s="8"/>
    </row>
    <row r="78" spans="2:16" ht="18" x14ac:dyDescent="0.35">
      <c r="B78" s="1337">
        <v>46284</v>
      </c>
      <c r="C78" s="1338"/>
      <c r="D78" s="985" t="s">
        <v>12</v>
      </c>
      <c r="E78" s="1005" t="s">
        <v>169</v>
      </c>
      <c r="F78" s="1006">
        <v>178</v>
      </c>
      <c r="G78" s="1007" t="s">
        <v>14</v>
      </c>
      <c r="H78" s="1008">
        <v>0.13</v>
      </c>
      <c r="I78" s="1009">
        <f t="shared" si="4"/>
        <v>0.7</v>
      </c>
      <c r="J78" s="1010">
        <v>1.3</v>
      </c>
      <c r="K78" s="1011">
        <f t="shared" si="35"/>
        <v>161.97999999999999</v>
      </c>
      <c r="L78" s="1012">
        <f t="shared" ref="L78:L80" si="37">IFERROR(((F78*I78)*J78)*(1-H78),"")</f>
        <v>140.92259999999999</v>
      </c>
      <c r="M78" s="1013">
        <f t="shared" si="36"/>
        <v>13.498333333333333</v>
      </c>
      <c r="N78" s="1351">
        <f>SUM(L78:L80)</f>
        <v>324.20960000000002</v>
      </c>
      <c r="O78" s="284" t="s">
        <v>639</v>
      </c>
      <c r="P78" s="8"/>
    </row>
    <row r="79" spans="2:16" ht="18" x14ac:dyDescent="0.35">
      <c r="B79" s="1339"/>
      <c r="C79" s="1340"/>
      <c r="D79" s="1016" t="s">
        <v>12</v>
      </c>
      <c r="E79" s="1017" t="s">
        <v>169</v>
      </c>
      <c r="F79" s="1018">
        <v>10</v>
      </c>
      <c r="G79" s="1019" t="s">
        <v>15</v>
      </c>
      <c r="H79" s="1020">
        <v>9.1999999999999998E-2</v>
      </c>
      <c r="I79" s="1021">
        <f t="shared" ref="I79" si="38">IFERROR((VLOOKUP(G79,S$6:T$8,2,FALSE)),"")</f>
        <v>3</v>
      </c>
      <c r="J79" s="1022">
        <v>1.3</v>
      </c>
      <c r="K79" s="1023">
        <f t="shared" ref="K79" si="39">IFERROR((F79*I79*J79),"")</f>
        <v>39</v>
      </c>
      <c r="L79" s="1023">
        <f t="shared" ref="L79" si="40">IFERROR(((F79*I79)*J79)*(1-H79),"")</f>
        <v>35.411999999999999</v>
      </c>
      <c r="M79" s="1023">
        <f t="shared" ref="M79" si="41">IFERROR((K79/12),"")</f>
        <v>3.25</v>
      </c>
      <c r="N79" s="1351"/>
      <c r="O79" s="284"/>
      <c r="P79" s="8"/>
    </row>
    <row r="80" spans="2:16" ht="18.600000000000001" thickBot="1" x14ac:dyDescent="0.4">
      <c r="B80" s="1345"/>
      <c r="C80" s="1346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3">
        <v>1.3</v>
      </c>
      <c r="K80" s="305">
        <f t="shared" si="35"/>
        <v>162.5</v>
      </c>
      <c r="L80" s="1064">
        <f t="shared" si="37"/>
        <v>147.875</v>
      </c>
      <c r="M80" s="1065">
        <f t="shared" si="36"/>
        <v>13.541666666666666</v>
      </c>
      <c r="N80" s="1352"/>
      <c r="O80" s="284"/>
      <c r="P80" s="8"/>
    </row>
    <row r="81" spans="2:16" ht="18.600000000000001" thickBot="1" x14ac:dyDescent="0.4">
      <c r="B81" s="1337">
        <v>46285</v>
      </c>
      <c r="C81" s="1338"/>
      <c r="D81" s="1016" t="s">
        <v>12</v>
      </c>
      <c r="E81" s="311" t="s">
        <v>169</v>
      </c>
      <c r="F81" s="312">
        <v>50</v>
      </c>
      <c r="G81" s="1019" t="s">
        <v>14</v>
      </c>
      <c r="H81" s="1020">
        <v>0.1</v>
      </c>
      <c r="I81" s="1021">
        <f t="shared" si="4"/>
        <v>0.7</v>
      </c>
      <c r="J81" s="1022">
        <v>1.3</v>
      </c>
      <c r="K81" s="1023">
        <f t="shared" ref="K81:K85" si="42">IFERROR((F81*I81*J81),"")</f>
        <v>45.5</v>
      </c>
      <c r="L81" s="1069">
        <f t="shared" ref="L81:L85" si="43">IFERROR(((F81*I81)*J81)*(1-H81),"")</f>
        <v>40.950000000000003</v>
      </c>
      <c r="M81" s="1069">
        <f t="shared" ref="M81:M85" si="44">IFERROR((K81/12),"")</f>
        <v>3.7916666666666665</v>
      </c>
      <c r="N81" s="1351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39"/>
      <c r="C82" s="1340"/>
      <c r="D82" s="1016" t="s">
        <v>12</v>
      </c>
      <c r="E82" s="286" t="s">
        <v>169</v>
      </c>
      <c r="F82" s="287">
        <v>20</v>
      </c>
      <c r="G82" s="1019" t="s">
        <v>428</v>
      </c>
      <c r="H82" s="1020">
        <v>0.1</v>
      </c>
      <c r="I82" s="1021">
        <f t="shared" si="4"/>
        <v>0.5</v>
      </c>
      <c r="J82" s="1022">
        <v>1.3</v>
      </c>
      <c r="K82" s="1023">
        <f t="shared" si="42"/>
        <v>13</v>
      </c>
      <c r="L82" s="1069">
        <f t="shared" si="43"/>
        <v>11.700000000000001</v>
      </c>
      <c r="M82" s="1069">
        <f t="shared" si="44"/>
        <v>1.0833333333333333</v>
      </c>
      <c r="N82" s="1351"/>
      <c r="O82" s="284"/>
      <c r="P82" s="8"/>
    </row>
    <row r="83" spans="2:16" ht="18.600000000000001" thickBot="1" x14ac:dyDescent="0.4">
      <c r="B83" s="1345"/>
      <c r="C83" s="1346"/>
      <c r="D83" s="1016" t="s">
        <v>13</v>
      </c>
      <c r="E83" s="297" t="s">
        <v>553</v>
      </c>
      <c r="F83" s="290">
        <v>190</v>
      </c>
      <c r="G83" s="1019" t="s">
        <v>14</v>
      </c>
      <c r="H83" s="1020">
        <v>0.09</v>
      </c>
      <c r="I83" s="1021">
        <f t="shared" si="4"/>
        <v>0.7</v>
      </c>
      <c r="J83" s="1022">
        <v>1.3</v>
      </c>
      <c r="K83" s="1023">
        <f t="shared" si="42"/>
        <v>172.9</v>
      </c>
      <c r="L83" s="1069">
        <f t="shared" si="43"/>
        <v>157.339</v>
      </c>
      <c r="M83" s="1069">
        <f t="shared" si="44"/>
        <v>14.408333333333333</v>
      </c>
      <c r="N83" s="1352"/>
      <c r="O83" s="284"/>
      <c r="P83" s="8"/>
    </row>
    <row r="84" spans="2:16" ht="18.600000000000001" thickBot="1" x14ac:dyDescent="0.4">
      <c r="B84" s="1337">
        <v>46286</v>
      </c>
      <c r="C84" s="1338"/>
      <c r="D84" s="1070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4">
        <f t="shared" si="4"/>
        <v>0.7</v>
      </c>
      <c r="J84" s="1015">
        <v>1.3</v>
      </c>
      <c r="K84" s="1066">
        <f t="shared" si="42"/>
        <v>273</v>
      </c>
      <c r="L84" s="1067">
        <f t="shared" si="43"/>
        <v>248.43</v>
      </c>
      <c r="M84" s="1068">
        <f t="shared" si="44"/>
        <v>22.75</v>
      </c>
      <c r="N84" s="1341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45"/>
      <c r="C85" s="134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43"/>
      <c r="O85" s="284"/>
      <c r="P85" s="8"/>
    </row>
    <row r="86" spans="2:16" ht="18.600000000000001" thickBot="1" x14ac:dyDescent="0.4">
      <c r="B86" s="1337">
        <v>46287</v>
      </c>
      <c r="C86" s="1338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41">
        <f t="shared" ref="N86" si="50">SUM(L86:L87)</f>
        <v>133.38000000000002</v>
      </c>
      <c r="O86" s="284"/>
      <c r="P86" s="8"/>
    </row>
    <row r="87" spans="2:16" ht="18.600000000000001" thickBot="1" x14ac:dyDescent="0.4">
      <c r="B87" s="1345"/>
      <c r="C87" s="134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43"/>
      <c r="O87" s="284"/>
      <c r="P87" s="8"/>
    </row>
    <row r="88" spans="2:16" ht="18.600000000000001" thickBot="1" x14ac:dyDescent="0.4">
      <c r="B88" s="1337">
        <v>46288</v>
      </c>
      <c r="C88" s="1338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41">
        <f>SUM(L88:L89)</f>
        <v>402.63600000000008</v>
      </c>
      <c r="O88" s="284"/>
      <c r="P88" s="8"/>
    </row>
    <row r="89" spans="2:16" ht="18.600000000000001" thickBot="1" x14ac:dyDescent="0.4">
      <c r="B89" s="1345"/>
      <c r="C89" s="1346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43"/>
      <c r="O89" s="284"/>
      <c r="P89" s="8"/>
    </row>
    <row r="90" spans="2:16" ht="18.600000000000001" thickBot="1" x14ac:dyDescent="0.4">
      <c r="B90" s="1337">
        <v>46289</v>
      </c>
      <c r="C90" s="1338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41">
        <f t="shared" ref="N90" si="59">SUM(L90:L91)</f>
        <v>219.92100000000002</v>
      </c>
      <c r="O90" s="284"/>
      <c r="P90" s="8"/>
    </row>
    <row r="91" spans="2:16" ht="18.600000000000001" thickBot="1" x14ac:dyDescent="0.4">
      <c r="B91" s="1345"/>
      <c r="C91" s="1346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43"/>
      <c r="O91" s="284"/>
      <c r="P91" s="8"/>
    </row>
    <row r="92" spans="2:16" ht="18.600000000000001" thickBot="1" x14ac:dyDescent="0.4">
      <c r="B92" s="1337">
        <v>46290</v>
      </c>
      <c r="C92" s="1338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41">
        <f t="shared" ref="N92" si="64">SUM(L92:L93)</f>
        <v>217.62</v>
      </c>
      <c r="O92" s="284"/>
      <c r="P92" s="8"/>
    </row>
    <row r="93" spans="2:16" ht="18.600000000000001" thickBot="1" x14ac:dyDescent="0.4">
      <c r="B93" s="1345"/>
      <c r="C93" s="1346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43"/>
      <c r="O93" s="284"/>
      <c r="P93" s="8"/>
    </row>
    <row r="94" spans="2:16" ht="18.600000000000001" thickBot="1" x14ac:dyDescent="0.4">
      <c r="B94" s="1337">
        <v>46291</v>
      </c>
      <c r="C94" s="1338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41">
        <f t="shared" ref="N94" si="69">SUM(L94:L95)</f>
        <v>253.77300000000002</v>
      </c>
      <c r="O94" s="284"/>
      <c r="P94" s="8"/>
    </row>
    <row r="95" spans="2:16" ht="18.600000000000001" thickBot="1" x14ac:dyDescent="0.4">
      <c r="B95" s="1345"/>
      <c r="C95" s="1346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43"/>
      <c r="O95" s="284"/>
      <c r="P95" s="8"/>
    </row>
    <row r="96" spans="2:16" ht="18.600000000000001" thickBot="1" x14ac:dyDescent="0.4">
      <c r="B96" s="1337">
        <v>46292</v>
      </c>
      <c r="C96" s="1338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41">
        <f t="shared" ref="N96" si="70">SUM(L96:L97)</f>
        <v>0</v>
      </c>
      <c r="O96" s="284"/>
      <c r="P96" s="8"/>
    </row>
    <row r="97" spans="2:16" ht="18.600000000000001" thickBot="1" x14ac:dyDescent="0.4">
      <c r="B97" s="1345"/>
      <c r="C97" s="134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43"/>
      <c r="O97" s="284"/>
      <c r="P97" s="8"/>
    </row>
    <row r="98" spans="2:16" ht="18.600000000000001" thickBot="1" x14ac:dyDescent="0.4">
      <c r="B98" s="1337">
        <v>46293</v>
      </c>
      <c r="C98" s="1338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41">
        <f t="shared" ref="N98" si="75">SUM(L98:L99)</f>
        <v>182.988</v>
      </c>
      <c r="O98" s="284"/>
      <c r="P98" s="8"/>
    </row>
    <row r="99" spans="2:16" ht="18.600000000000001" thickBot="1" x14ac:dyDescent="0.4">
      <c r="B99" s="1345"/>
      <c r="C99" s="134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43"/>
      <c r="O99" s="284"/>
      <c r="P99" s="8"/>
    </row>
    <row r="100" spans="2:16" ht="18.600000000000001" thickBot="1" x14ac:dyDescent="0.4">
      <c r="B100" s="1337">
        <v>46294</v>
      </c>
      <c r="C100" s="1338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41">
        <f t="shared" ref="N100" si="76">SUM(L100:L101)</f>
        <v>0</v>
      </c>
      <c r="O100" s="284"/>
      <c r="P100" s="8"/>
    </row>
    <row r="101" spans="2:16" ht="18.600000000000001" thickBot="1" x14ac:dyDescent="0.4">
      <c r="B101" s="1345"/>
      <c r="C101" s="134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43"/>
      <c r="O101" s="284"/>
      <c r="P101" s="8"/>
    </row>
    <row r="102" spans="2:16" ht="18.600000000000001" thickBot="1" x14ac:dyDescent="0.4">
      <c r="B102" s="1337">
        <v>46295</v>
      </c>
      <c r="C102" s="1338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41">
        <f>SUM(L102:L103)</f>
        <v>121.485</v>
      </c>
      <c r="O102" s="284"/>
      <c r="P102" s="8"/>
    </row>
    <row r="103" spans="2:16" ht="18.600000000000001" thickBot="1" x14ac:dyDescent="0.4">
      <c r="B103" s="1345"/>
      <c r="C103" s="134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44"/>
      <c r="O103" s="284"/>
      <c r="P103" s="8"/>
    </row>
    <row r="104" spans="2:16" ht="18.600000000000001" thickBot="1" x14ac:dyDescent="0.4">
      <c r="B104" s="1337">
        <v>46296</v>
      </c>
      <c r="C104" s="1338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41">
        <f>SUM(L104:L105)</f>
        <v>295.03500000000003</v>
      </c>
      <c r="O104" s="284"/>
      <c r="P104" s="8"/>
    </row>
    <row r="105" spans="2:16" ht="18" x14ac:dyDescent="0.35">
      <c r="B105" s="1339"/>
      <c r="C105" s="134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9">
        <f t="shared" si="77"/>
        <v>3</v>
      </c>
      <c r="J105" s="1010">
        <v>1.3</v>
      </c>
      <c r="K105" s="305">
        <f t="shared" si="78"/>
        <v>78</v>
      </c>
      <c r="L105" s="306">
        <f t="shared" si="79"/>
        <v>69.42</v>
      </c>
      <c r="M105" s="1186">
        <f t="shared" si="80"/>
        <v>6.5</v>
      </c>
      <c r="N105" s="1342"/>
      <c r="O105" s="284"/>
      <c r="P105" s="8"/>
    </row>
    <row r="106" spans="2:16" ht="18" x14ac:dyDescent="0.35">
      <c r="B106" s="1333">
        <v>46297</v>
      </c>
      <c r="C106" s="1333"/>
      <c r="D106" s="1016" t="s">
        <v>12</v>
      </c>
      <c r="E106" s="1017" t="s">
        <v>169</v>
      </c>
      <c r="F106" s="1018">
        <v>30</v>
      </c>
      <c r="G106" s="1019" t="s">
        <v>15</v>
      </c>
      <c r="H106" s="1020">
        <v>0.11</v>
      </c>
      <c r="I106" s="1021">
        <f t="shared" ref="I106:I108" si="81">IFERROR((VLOOKUP(G106,S$6:T$8,2,FALSE)),"")</f>
        <v>3</v>
      </c>
      <c r="J106" s="1022">
        <v>1.3</v>
      </c>
      <c r="K106" s="1023">
        <f t="shared" ref="K106:K107" si="82">IFERROR((F106*I106*J106),"")</f>
        <v>117</v>
      </c>
      <c r="L106" s="1069">
        <f t="shared" ref="L106:L107" si="83">IFERROR(((F106*I106)*J106)*(1-H106),"")</f>
        <v>104.13</v>
      </c>
      <c r="M106" s="1069">
        <f t="shared" ref="M106:M107" si="84">IFERROR((K106/12),"")</f>
        <v>9.75</v>
      </c>
      <c r="N106" s="1336">
        <f>SUM(L106:L109)</f>
        <v>232.2099</v>
      </c>
      <c r="O106" s="284"/>
      <c r="P106" s="8"/>
    </row>
    <row r="107" spans="2:16" ht="18" x14ac:dyDescent="0.35">
      <c r="B107" s="1333"/>
      <c r="C107" s="1333"/>
      <c r="D107" s="1016" t="s">
        <v>13</v>
      </c>
      <c r="E107" s="1017" t="s">
        <v>169</v>
      </c>
      <c r="F107" s="1018">
        <v>5</v>
      </c>
      <c r="G107" s="1019" t="s">
        <v>15</v>
      </c>
      <c r="H107" s="1020">
        <v>0.11</v>
      </c>
      <c r="I107" s="1021">
        <f t="shared" si="81"/>
        <v>3</v>
      </c>
      <c r="J107" s="1022">
        <v>1.3</v>
      </c>
      <c r="K107" s="1023">
        <f t="shared" si="82"/>
        <v>19.5</v>
      </c>
      <c r="L107" s="1069">
        <f t="shared" si="83"/>
        <v>17.355</v>
      </c>
      <c r="M107" s="1069">
        <f t="shared" si="84"/>
        <v>1.625</v>
      </c>
      <c r="N107" s="1336"/>
      <c r="O107" s="284"/>
      <c r="P107" s="8"/>
    </row>
    <row r="108" spans="2:16" ht="18" x14ac:dyDescent="0.35">
      <c r="B108" s="1333"/>
      <c r="C108" s="1333"/>
      <c r="D108" s="1016" t="s">
        <v>13</v>
      </c>
      <c r="E108" s="1017" t="s">
        <v>770</v>
      </c>
      <c r="F108" s="1018">
        <v>78</v>
      </c>
      <c r="G108" s="1019" t="s">
        <v>428</v>
      </c>
      <c r="H108" s="1020">
        <v>0.11</v>
      </c>
      <c r="I108" s="1021">
        <f t="shared" si="81"/>
        <v>0.5</v>
      </c>
      <c r="J108" s="1022">
        <v>1.3</v>
      </c>
      <c r="K108" s="1023">
        <f t="shared" ref="K108" si="85">IFERROR((F108*I108*J108),"")</f>
        <v>50.7</v>
      </c>
      <c r="L108" s="1069">
        <f t="shared" ref="L108" si="86">IFERROR(((F108*I108)*J108)*(1-H108),"")</f>
        <v>45.123000000000005</v>
      </c>
      <c r="M108" s="1069">
        <f t="shared" ref="M108" si="87">IFERROR((K108/12),"")</f>
        <v>4.2250000000000005</v>
      </c>
      <c r="N108" s="1336"/>
      <c r="O108" s="284"/>
      <c r="P108" s="8"/>
    </row>
    <row r="109" spans="2:16" ht="18" x14ac:dyDescent="0.35">
      <c r="B109" s="1333"/>
      <c r="C109" s="1333"/>
      <c r="D109" s="1016" t="s">
        <v>13</v>
      </c>
      <c r="E109" s="1017" t="s">
        <v>770</v>
      </c>
      <c r="F109" s="1018">
        <v>81</v>
      </c>
      <c r="G109" s="1019" t="s">
        <v>14</v>
      </c>
      <c r="H109" s="1020">
        <v>0.11</v>
      </c>
      <c r="I109" s="1021">
        <f t="shared" ref="I109" si="88">IFERROR((VLOOKUP(G109,S$6:T$8,2,FALSE)),"")</f>
        <v>0.7</v>
      </c>
      <c r="J109" s="1022">
        <v>1.3</v>
      </c>
      <c r="K109" s="1023">
        <f t="shared" ref="K109" si="89">IFERROR((F109*I109*J109),"")</f>
        <v>73.709999999999994</v>
      </c>
      <c r="L109" s="1069">
        <f t="shared" ref="L109" si="90">IFERROR(((F109*I109)*J109)*(1-H109),"")</f>
        <v>65.601900000000001</v>
      </c>
      <c r="M109" s="1069">
        <f t="shared" ref="M109" si="91">IFERROR((K109/12),"")</f>
        <v>6.1424999999999992</v>
      </c>
      <c r="N109" s="1336"/>
      <c r="O109" s="284"/>
      <c r="P109" s="8"/>
    </row>
    <row r="110" spans="2:16" ht="18" x14ac:dyDescent="0.35">
      <c r="B110" s="1333">
        <v>46298</v>
      </c>
      <c r="C110" s="1333"/>
      <c r="D110" s="1016" t="s">
        <v>12</v>
      </c>
      <c r="E110" s="1017" t="s">
        <v>772</v>
      </c>
      <c r="F110" s="1018">
        <v>63</v>
      </c>
      <c r="G110" s="1019" t="s">
        <v>15</v>
      </c>
      <c r="H110" s="1020">
        <v>0.09</v>
      </c>
      <c r="I110" s="1021">
        <f t="shared" ref="I110" si="92">IFERROR((VLOOKUP(G110,S$6:T$8,2,FALSE)),"")</f>
        <v>3</v>
      </c>
      <c r="J110" s="1022">
        <v>1.3</v>
      </c>
      <c r="K110" s="1023">
        <f t="shared" ref="K110" si="93">IFERROR((F110*I110*J110),"")</f>
        <v>245.70000000000002</v>
      </c>
      <c r="L110" s="1069">
        <f t="shared" ref="L110" si="94">IFERROR(((F110*I110)*J110)*(1-H110),"")</f>
        <v>223.58700000000002</v>
      </c>
      <c r="M110" s="1069">
        <f t="shared" ref="M110" si="95">IFERROR((K110/12),"")</f>
        <v>20.475000000000001</v>
      </c>
      <c r="N110" s="1334">
        <f>SUM(L110:L111)</f>
        <v>464.91899999999998</v>
      </c>
      <c r="O110" s="284"/>
      <c r="P110" s="8"/>
    </row>
    <row r="111" spans="2:16" ht="18" x14ac:dyDescent="0.35">
      <c r="B111" s="1333"/>
      <c r="C111" s="1333"/>
      <c r="D111" s="1016" t="s">
        <v>13</v>
      </c>
      <c r="E111" s="1017" t="s">
        <v>773</v>
      </c>
      <c r="F111" s="1018">
        <v>68</v>
      </c>
      <c r="G111" s="1019" t="s">
        <v>15</v>
      </c>
      <c r="H111" s="1020">
        <v>0.09</v>
      </c>
      <c r="I111" s="1021">
        <f t="shared" ref="I111" si="96">IFERROR((VLOOKUP(G111,S$6:T$8,2,FALSE)),"")</f>
        <v>3</v>
      </c>
      <c r="J111" s="1022">
        <v>1.3</v>
      </c>
      <c r="K111" s="1023">
        <f t="shared" ref="K111" si="97">IFERROR((F111*I111*J111),"")</f>
        <v>265.2</v>
      </c>
      <c r="L111" s="1069">
        <f t="shared" ref="L111" si="98">IFERROR(((F111*I111)*J111)*(1-H111),"")</f>
        <v>241.33199999999999</v>
      </c>
      <c r="M111" s="1069">
        <f t="shared" ref="M111" si="99">IFERROR((K111/12),"")</f>
        <v>22.099999999999998</v>
      </c>
      <c r="N111" s="1335"/>
      <c r="O111" s="284"/>
      <c r="P111" s="8"/>
    </row>
    <row r="112" spans="2:16" ht="18" x14ac:dyDescent="0.35">
      <c r="B112" s="1333">
        <v>46299</v>
      </c>
      <c r="C112" s="1333"/>
      <c r="D112" s="1016" t="s">
        <v>12</v>
      </c>
      <c r="E112" s="1017" t="s">
        <v>774</v>
      </c>
      <c r="F112" s="1018">
        <v>17</v>
      </c>
      <c r="G112" s="1019" t="s">
        <v>15</v>
      </c>
      <c r="H112" s="1020">
        <v>0.09</v>
      </c>
      <c r="I112" s="1021">
        <f t="shared" ref="I112" si="100">IFERROR((VLOOKUP(G112,S$6:T$8,2,FALSE)),"")</f>
        <v>3</v>
      </c>
      <c r="J112" s="1022">
        <v>2.2999999999999998</v>
      </c>
      <c r="K112" s="1023">
        <f t="shared" ref="K112" si="101">IFERROR((F112*I112*J112),"")</f>
        <v>117.3</v>
      </c>
      <c r="L112" s="1069">
        <f t="shared" ref="L112" si="102">IFERROR(((F112*I112)*J112)*(1-H112),"")</f>
        <v>106.74299999999999</v>
      </c>
      <c r="M112" s="1069">
        <f t="shared" ref="M112" si="103">IFERROR((K112/12),"")</f>
        <v>9.7750000000000004</v>
      </c>
      <c r="N112" s="1069">
        <f>SUM(M112:M113)</f>
        <v>9.7750000000000004</v>
      </c>
      <c r="O112" s="284"/>
      <c r="P112" s="8"/>
    </row>
    <row r="113" spans="2:19" ht="18" x14ac:dyDescent="0.35">
      <c r="B113" s="1333"/>
      <c r="C113" s="1333"/>
      <c r="D113" s="1016" t="s">
        <v>13</v>
      </c>
      <c r="E113" s="1017" t="s">
        <v>773</v>
      </c>
      <c r="F113" s="1018"/>
      <c r="G113" s="1019"/>
      <c r="H113" s="1020"/>
      <c r="I113" s="1021"/>
      <c r="J113" s="1022"/>
      <c r="K113" s="1023"/>
      <c r="L113" s="1069"/>
      <c r="M113" s="1069"/>
      <c r="N113" s="1069"/>
      <c r="O113" s="284"/>
      <c r="P113" s="8"/>
    </row>
    <row r="114" spans="2:19" ht="18" x14ac:dyDescent="0.35">
      <c r="B114" s="1367" t="s">
        <v>16</v>
      </c>
      <c r="C114" s="1368"/>
      <c r="D114" s="318"/>
      <c r="E114" s="319"/>
      <c r="F114" s="320">
        <f>AVERAGE(F6:F91)</f>
        <v>182</v>
      </c>
      <c r="G114" s="321"/>
      <c r="H114" s="322">
        <f>AVERAGE(H6:H86)</f>
        <v>0.11073333333333336</v>
      </c>
      <c r="I114" s="323" t="str">
        <f t="shared" si="4"/>
        <v/>
      </c>
      <c r="J114" s="324"/>
      <c r="K114" s="325">
        <f>AVERAGE(K6:K67)</f>
        <v>150.91452380952381</v>
      </c>
      <c r="L114" s="326">
        <f>AVERAGE(L6:L80)</f>
        <v>128.63389230769229</v>
      </c>
      <c r="M114" s="1062">
        <f>AVERAGE(M6:M103)</f>
        <v>12.962948717948722</v>
      </c>
      <c r="N114" s="1198">
        <f>AVERAGE(N6:N85)</f>
        <v>97.510261538461535</v>
      </c>
      <c r="O114" s="1197"/>
      <c r="S114" s="4"/>
    </row>
    <row r="115" spans="2:19" ht="18.600000000000001" thickBot="1" x14ac:dyDescent="0.4">
      <c r="B115" s="1369" t="s">
        <v>17</v>
      </c>
      <c r="C115" s="1370"/>
      <c r="D115" s="1185"/>
      <c r="E115" s="327"/>
      <c r="F115" s="328">
        <f>SUM(F6:F85)</f>
        <v>5971</v>
      </c>
      <c r="G115" s="327"/>
      <c r="H115" s="329"/>
      <c r="I115" s="329"/>
      <c r="J115" s="327"/>
      <c r="K115" s="330"/>
      <c r="L115" s="331"/>
      <c r="M115" s="327"/>
      <c r="N115" s="333">
        <f>SUM(N6:N113)</f>
        <v>6336.6421</v>
      </c>
      <c r="O115" s="284"/>
      <c r="Q115" s="4"/>
      <c r="R115" s="4"/>
      <c r="S115" s="2"/>
    </row>
    <row r="116" spans="2:19" x14ac:dyDescent="0.3">
      <c r="D116" s="1184"/>
      <c r="F116" s="264"/>
      <c r="H116" s="267"/>
      <c r="I116" s="269"/>
    </row>
    <row r="117" spans="2:19" x14ac:dyDescent="0.3">
      <c r="K117" s="10"/>
      <c r="N117" s="948"/>
    </row>
    <row r="118" spans="2:19" x14ac:dyDescent="0.3">
      <c r="F118" s="265"/>
      <c r="I118" s="265"/>
      <c r="N118" s="948"/>
    </row>
    <row r="122" spans="2:19" x14ac:dyDescent="0.3">
      <c r="O122" s="4"/>
    </row>
  </sheetData>
  <mergeCells count="110"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14:C114"/>
    <mergeCell ref="B115:C11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</mergeCells>
  <phoneticPr fontId="91" type="noConversion"/>
  <dataValidations count="1">
    <dataValidation type="list" allowBlank="1" showInputMessage="1" showErrorMessage="1" sqref="G6:G11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73" t="s">
        <v>122</v>
      </c>
      <c r="C1" s="1373"/>
      <c r="D1" s="1373"/>
      <c r="E1" s="1373"/>
      <c r="F1" s="1373"/>
      <c r="G1" s="1373"/>
      <c r="H1" s="1373"/>
      <c r="I1" s="1373"/>
      <c r="J1" s="1373"/>
      <c r="K1" s="1373"/>
      <c r="L1" s="1373"/>
    </row>
    <row r="2" spans="1:27" ht="18" x14ac:dyDescent="0.35">
      <c r="F2" s="1381" t="s">
        <v>418</v>
      </c>
      <c r="G2" s="1381"/>
      <c r="H2" s="1381"/>
      <c r="I2" s="1381"/>
      <c r="J2" s="1381"/>
    </row>
    <row r="3" spans="1:27" ht="15" thickBot="1" x14ac:dyDescent="0.35">
      <c r="A3" s="1376" t="s">
        <v>198</v>
      </c>
      <c r="B3" s="1377"/>
      <c r="C3" s="1377"/>
      <c r="D3" s="1377"/>
      <c r="E3" s="1377"/>
      <c r="F3" s="1377"/>
      <c r="G3" s="1378"/>
    </row>
    <row r="4" spans="1:27" ht="15" thickBot="1" x14ac:dyDescent="0.35">
      <c r="A4" s="1379" t="s">
        <v>0</v>
      </c>
      <c r="B4" s="138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74">
        <v>46252</v>
      </c>
      <c r="B6" s="137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74">
        <v>46253</v>
      </c>
      <c r="B7" s="137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74">
        <v>46254</v>
      </c>
      <c r="B8" s="137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71" t="s">
        <v>209</v>
      </c>
      <c r="AA8" s="1372"/>
    </row>
    <row r="9" spans="1:27" x14ac:dyDescent="0.3">
      <c r="A9" s="1374">
        <v>46255</v>
      </c>
      <c r="B9" s="137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74">
        <v>46256</v>
      </c>
      <c r="B10" s="137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74">
        <v>46257</v>
      </c>
      <c r="B11" s="137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74">
        <v>46258</v>
      </c>
      <c r="B12" s="137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74">
        <v>46259</v>
      </c>
      <c r="B13" s="137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74">
        <v>46260</v>
      </c>
      <c r="B14" s="137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74">
        <v>46261</v>
      </c>
      <c r="B15" s="137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74">
        <v>46262</v>
      </c>
      <c r="B16" s="137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74">
        <v>46263</v>
      </c>
      <c r="B17" s="137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74">
        <v>46264</v>
      </c>
      <c r="B18" s="137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74">
        <v>46265</v>
      </c>
      <c r="B19" s="1375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74">
        <v>46266</v>
      </c>
      <c r="B20" s="137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74">
        <v>46267</v>
      </c>
      <c r="B21" s="137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74">
        <v>46268</v>
      </c>
      <c r="B22" s="137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74">
        <v>46269</v>
      </c>
      <c r="B23" s="137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74">
        <v>46270</v>
      </c>
      <c r="B24" s="137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74">
        <v>46271</v>
      </c>
      <c r="B25" s="137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74">
        <v>46272</v>
      </c>
      <c r="B26" s="137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74">
        <v>46273</v>
      </c>
      <c r="B27" s="137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74">
        <v>46274</v>
      </c>
      <c r="B28" s="137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74">
        <v>46275</v>
      </c>
      <c r="B29" s="137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74">
        <v>46276</v>
      </c>
      <c r="B30" s="137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74">
        <v>46277</v>
      </c>
      <c r="B31" s="137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74">
        <v>46278</v>
      </c>
      <c r="B32" s="137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74">
        <v>46279</v>
      </c>
      <c r="B33" s="137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74">
        <v>46280</v>
      </c>
      <c r="B34" s="137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74">
        <v>46281</v>
      </c>
      <c r="B35" s="137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74">
        <v>46282</v>
      </c>
      <c r="B36" s="137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74">
        <v>46283</v>
      </c>
      <c r="B37" s="137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74">
        <v>46284</v>
      </c>
      <c r="B38" s="137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74">
        <v>46285</v>
      </c>
      <c r="B39" s="137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74">
        <v>46286</v>
      </c>
      <c r="B40" s="137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74">
        <v>46287</v>
      </c>
      <c r="B41" s="137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74">
        <v>46288</v>
      </c>
      <c r="B42" s="137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82" t="s">
        <v>601</v>
      </c>
      <c r="C2" s="1383"/>
      <c r="D2" s="1383"/>
      <c r="E2" s="1383"/>
      <c r="F2" s="1383"/>
      <c r="G2" s="1383"/>
      <c r="H2" s="1383"/>
      <c r="I2" s="1383"/>
      <c r="J2" s="1383"/>
      <c r="K2" s="1383"/>
      <c r="L2" s="1383"/>
      <c r="M2" s="1383"/>
      <c r="N2" s="1383"/>
      <c r="O2" s="1383"/>
      <c r="P2" s="1383"/>
      <c r="Q2" s="1383"/>
      <c r="R2" s="1383"/>
      <c r="S2" s="1383"/>
      <c r="T2" s="1384"/>
    </row>
    <row r="3" spans="2:28" x14ac:dyDescent="1.65">
      <c r="B3" s="846"/>
      <c r="C3" s="1383" t="s">
        <v>602</v>
      </c>
      <c r="D3" s="1383"/>
      <c r="E3" s="1383"/>
      <c r="F3" s="1383"/>
      <c r="G3" s="1383"/>
      <c r="H3" s="1383"/>
      <c r="I3" s="1383"/>
      <c r="J3" s="1383"/>
      <c r="K3" s="1383"/>
      <c r="L3" s="1383"/>
      <c r="M3" s="1383"/>
      <c r="N3" s="1383"/>
      <c r="O3" s="1383"/>
      <c r="P3" s="1383"/>
      <c r="Q3" s="1383"/>
      <c r="R3" s="1383"/>
      <c r="S3" s="1383"/>
      <c r="T3" s="1384"/>
    </row>
    <row r="4" spans="2:28" ht="92.4" thickBot="1" x14ac:dyDescent="1.7">
      <c r="B4" s="1385" t="s">
        <v>603</v>
      </c>
      <c r="C4" s="1386"/>
      <c r="D4" s="1386"/>
      <c r="E4" s="1386"/>
      <c r="F4" s="1386"/>
      <c r="G4" s="1386"/>
      <c r="H4" s="1386"/>
      <c r="I4" s="1386"/>
      <c r="J4" s="1386"/>
      <c r="K4" s="1386"/>
      <c r="L4" s="1386"/>
      <c r="M4" s="1386"/>
      <c r="N4" s="1386"/>
      <c r="O4" s="1386"/>
      <c r="P4" s="1386"/>
      <c r="Q4" s="1386"/>
      <c r="R4" s="1386"/>
      <c r="S4" s="1386"/>
      <c r="T4" s="138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88" t="s">
        <v>622</v>
      </c>
      <c r="C6" s="1389"/>
      <c r="D6" s="1389"/>
      <c r="E6" s="1389"/>
      <c r="F6" s="1389"/>
      <c r="G6" s="1389"/>
      <c r="H6" s="1389"/>
      <c r="I6" s="1389"/>
      <c r="J6" s="1389"/>
      <c r="K6" s="1389"/>
      <c r="L6" s="1389"/>
      <c r="M6" s="1389"/>
      <c r="N6" s="1389"/>
      <c r="O6" s="1389"/>
      <c r="P6" s="1389"/>
      <c r="Q6" s="1389"/>
      <c r="R6" s="1389"/>
      <c r="S6" s="1389"/>
      <c r="T6" s="1390"/>
    </row>
    <row r="7" spans="2:28" ht="92.4" thickBot="1" x14ac:dyDescent="1.7">
      <c r="B7" s="1391"/>
      <c r="C7" s="1392"/>
      <c r="D7" s="1392"/>
      <c r="E7" s="1392"/>
      <c r="F7" s="1392"/>
      <c r="G7" s="1392"/>
      <c r="H7" s="1392"/>
      <c r="I7" s="1392"/>
      <c r="J7" s="1392"/>
      <c r="K7" s="1392"/>
      <c r="L7" s="1392"/>
      <c r="M7" s="1392"/>
      <c r="N7" s="1392"/>
      <c r="O7" s="1392"/>
      <c r="P7" s="1392"/>
      <c r="Q7" s="1392"/>
      <c r="R7" s="1392"/>
      <c r="S7" s="1392"/>
      <c r="T7" s="139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394" t="s">
        <v>620</v>
      </c>
      <c r="AA13" s="1394"/>
      <c r="AB13" s="1394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9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9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9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9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9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9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9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9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9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9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9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9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9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4" zoomScaleNormal="100" workbookViewId="0">
      <selection activeCell="F152" sqref="F15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02" t="s">
        <v>458</v>
      </c>
      <c r="C2" s="1302"/>
      <c r="D2" s="1302"/>
      <c r="E2" s="1302"/>
      <c r="F2" s="1302"/>
      <c r="G2" s="1302"/>
      <c r="H2" s="1302"/>
      <c r="T2" s="1401" t="s">
        <v>499</v>
      </c>
      <c r="U2" s="1401"/>
      <c r="V2" s="1401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05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06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06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06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06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06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06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06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06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06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06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07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02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03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03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03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03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03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03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03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04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05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06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06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06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06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06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06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06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06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06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06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07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02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03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03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03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03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03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03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03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03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03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03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04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02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03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03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03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03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03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03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03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04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05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06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06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06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06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07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02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03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03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03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03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03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03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03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04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05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06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06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06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06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06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06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06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06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06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06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07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11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12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12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12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12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12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12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12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12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12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12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13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98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99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99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99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99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99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99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99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99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99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99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99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99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99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99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99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99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99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99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99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00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08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09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09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09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09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09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09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09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10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98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99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99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99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99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99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99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99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99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99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99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99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99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99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99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99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99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400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x14ac:dyDescent="0.3">
      <c r="B148" s="452">
        <v>145</v>
      </c>
      <c r="C148" s="1395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x14ac:dyDescent="0.3">
      <c r="B149" s="452">
        <v>146</v>
      </c>
      <c r="C149" s="1396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x14ac:dyDescent="0.3">
      <c r="B150" s="452">
        <v>147</v>
      </c>
      <c r="C150" s="1396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x14ac:dyDescent="0.3">
      <c r="B151" s="452">
        <v>148</v>
      </c>
      <c r="C151" s="1396"/>
      <c r="D151" s="452" t="s">
        <v>460</v>
      </c>
      <c r="E151" s="453">
        <v>46299</v>
      </c>
      <c r="F151" s="452"/>
      <c r="G151" s="452"/>
      <c r="H151" s="452"/>
    </row>
    <row r="152" spans="2:8" x14ac:dyDescent="0.3">
      <c r="B152" s="452">
        <v>149</v>
      </c>
      <c r="C152" s="1396"/>
      <c r="D152" s="452" t="s">
        <v>461</v>
      </c>
      <c r="E152" s="453">
        <v>46299</v>
      </c>
      <c r="F152" s="452"/>
      <c r="G152" s="452"/>
      <c r="H152" s="452"/>
    </row>
    <row r="153" spans="2:8" x14ac:dyDescent="0.3">
      <c r="B153" s="452">
        <v>150</v>
      </c>
      <c r="C153" s="1396"/>
      <c r="D153" s="452" t="s">
        <v>462</v>
      </c>
      <c r="E153" s="453">
        <v>46299</v>
      </c>
      <c r="F153" s="452"/>
      <c r="G153" s="452"/>
      <c r="H153" s="452"/>
    </row>
    <row r="154" spans="2:8" x14ac:dyDescent="0.3">
      <c r="B154" s="452">
        <v>151</v>
      </c>
      <c r="C154" s="1396"/>
      <c r="D154" s="452" t="s">
        <v>463</v>
      </c>
      <c r="E154" s="453">
        <v>46299</v>
      </c>
      <c r="F154" s="452"/>
      <c r="G154" s="452"/>
      <c r="H154" s="452"/>
    </row>
    <row r="155" spans="2:8" x14ac:dyDescent="0.3">
      <c r="B155" s="452">
        <v>152</v>
      </c>
      <c r="C155" s="1396"/>
      <c r="D155" s="452" t="s">
        <v>464</v>
      </c>
      <c r="E155" s="453">
        <v>46299</v>
      </c>
      <c r="F155" s="452"/>
      <c r="G155" s="452"/>
      <c r="H155" s="452"/>
    </row>
    <row r="156" spans="2:8" x14ac:dyDescent="0.3">
      <c r="B156" s="452">
        <v>153</v>
      </c>
      <c r="C156" s="1397"/>
      <c r="D156" s="452" t="s">
        <v>465</v>
      </c>
      <c r="E156" s="453">
        <v>46299</v>
      </c>
      <c r="F156" s="452"/>
      <c r="G156" s="452"/>
      <c r="H156" s="452"/>
    </row>
    <row r="157" spans="2:8" x14ac:dyDescent="0.3">
      <c r="B157" s="6"/>
      <c r="C157" s="6"/>
      <c r="D157" s="6"/>
      <c r="E157" s="233"/>
      <c r="F157" s="6"/>
      <c r="G157" s="6"/>
      <c r="H157" s="6"/>
    </row>
    <row r="158" spans="2:8" x14ac:dyDescent="0.3">
      <c r="B158" s="6"/>
      <c r="C158" s="6"/>
      <c r="D158" s="6"/>
      <c r="E158" s="233"/>
      <c r="F158" s="6"/>
      <c r="G158" s="6"/>
      <c r="H158" s="6"/>
    </row>
    <row r="159" spans="2:8" x14ac:dyDescent="0.3">
      <c r="B159" s="6"/>
      <c r="C159" s="6"/>
      <c r="D159" s="6"/>
      <c r="E159" s="233"/>
      <c r="F159" s="6"/>
      <c r="G159" s="6"/>
      <c r="H159" s="6"/>
    </row>
    <row r="160" spans="2:8" x14ac:dyDescent="0.3">
      <c r="B160" s="6"/>
      <c r="C160" s="6"/>
      <c r="D160" s="6"/>
      <c r="E160" s="233"/>
      <c r="F160" s="6"/>
      <c r="G160" s="6"/>
      <c r="H160" s="6"/>
    </row>
    <row r="161" spans="2:8" x14ac:dyDescent="0.3">
      <c r="B161" s="6"/>
      <c r="C161" s="6"/>
      <c r="D161" s="6"/>
      <c r="E161" s="233"/>
      <c r="F161" s="6"/>
      <c r="G161" s="6"/>
      <c r="H161" s="6"/>
    </row>
    <row r="162" spans="2:8" x14ac:dyDescent="0.3">
      <c r="B162" s="6"/>
      <c r="C162" s="6"/>
      <c r="D162" s="6"/>
      <c r="E162" s="233"/>
      <c r="F162" s="6"/>
      <c r="G162" s="6"/>
      <c r="H162" s="6"/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56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1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64" activePane="bottomLeft" state="frozen"/>
      <selection pane="bottomLeft" activeCell="E75" sqref="E75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43" t="s">
        <v>63</v>
      </c>
      <c r="B3" s="1444"/>
      <c r="C3" s="1444"/>
      <c r="D3" s="1444"/>
      <c r="E3" s="1444"/>
      <c r="F3" s="1444"/>
      <c r="G3" s="1444"/>
      <c r="H3" s="1444"/>
      <c r="I3" s="1444"/>
      <c r="J3" s="1444"/>
      <c r="K3" s="1444"/>
      <c r="L3" s="1444"/>
    </row>
    <row r="4" spans="1:36" ht="28.8" x14ac:dyDescent="0.3">
      <c r="A4" s="1445" t="s">
        <v>0</v>
      </c>
      <c r="B4" s="1445"/>
      <c r="C4" s="899" t="s">
        <v>26</v>
      </c>
      <c r="D4" s="899" t="s">
        <v>1</v>
      </c>
      <c r="E4" s="899" t="s">
        <v>60</v>
      </c>
      <c r="F4" s="899" t="s">
        <v>61</v>
      </c>
      <c r="G4" s="899" t="s">
        <v>62</v>
      </c>
      <c r="H4" s="899" t="s">
        <v>64</v>
      </c>
      <c r="I4" s="899" t="s">
        <v>544</v>
      </c>
      <c r="J4" s="905" t="s">
        <v>596</v>
      </c>
      <c r="K4" s="899" t="s">
        <v>597</v>
      </c>
      <c r="L4" s="899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29">
        <v>46265</v>
      </c>
      <c r="B5" s="1430"/>
      <c r="C5" s="906" t="s">
        <v>12</v>
      </c>
      <c r="D5" s="900" t="s">
        <v>169</v>
      </c>
      <c r="E5" s="901">
        <v>6.9444444444444447E-4</v>
      </c>
      <c r="F5" s="738">
        <v>6.5972222222222224E-2</v>
      </c>
      <c r="G5" s="739">
        <f>(F5-E5)*1440</f>
        <v>94</v>
      </c>
      <c r="H5" s="902" t="s">
        <v>446</v>
      </c>
      <c r="I5" s="1406">
        <v>1</v>
      </c>
      <c r="J5" s="903">
        <f>(720-G5)/60</f>
        <v>10.433333333333334</v>
      </c>
      <c r="K5" s="904">
        <f>J5/12</f>
        <v>0.86944444444444446</v>
      </c>
      <c r="L5" s="1427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22">
        <v>46265</v>
      </c>
      <c r="B6" s="1221"/>
      <c r="C6" s="769" t="s">
        <v>13</v>
      </c>
      <c r="D6" s="592"/>
      <c r="E6" s="586"/>
      <c r="F6" s="501"/>
      <c r="G6" s="502">
        <f>(F6-E6)*1440</f>
        <v>0</v>
      </c>
      <c r="H6" s="587"/>
      <c r="I6" s="1406"/>
      <c r="J6" s="809">
        <f>(720-G6)/60</f>
        <v>12</v>
      </c>
      <c r="K6" s="812">
        <f t="shared" ref="K6:K8" si="1">J6/12</f>
        <v>1</v>
      </c>
      <c r="L6" s="1427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51">
        <f>Q59</f>
        <v>438.86666666666662</v>
      </c>
      <c r="AI6" s="952">
        <f>S59</f>
        <v>245.46666666666667</v>
      </c>
      <c r="AJ6" s="953">
        <f>R59</f>
        <v>0.64130540672187042</v>
      </c>
    </row>
    <row r="7" spans="1:36" ht="44.4" customHeight="1" thickBot="1" x14ac:dyDescent="0.45">
      <c r="A7" s="1422">
        <v>46266</v>
      </c>
      <c r="B7" s="1221"/>
      <c r="C7" s="769" t="s">
        <v>12</v>
      </c>
      <c r="D7" s="592"/>
      <c r="E7" s="586"/>
      <c r="F7" s="501"/>
      <c r="G7" s="502">
        <f>(F7-E7)*1440</f>
        <v>0</v>
      </c>
      <c r="H7" s="587"/>
      <c r="I7" s="1406"/>
      <c r="J7" s="809">
        <f>(720-G7)/60</f>
        <v>12</v>
      </c>
      <c r="K7" s="812">
        <f t="shared" si="1"/>
        <v>1</v>
      </c>
      <c r="L7" s="1427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50" t="s">
        <v>636</v>
      </c>
      <c r="AI7" s="950" t="s">
        <v>637</v>
      </c>
      <c r="AJ7" s="950" t="s">
        <v>638</v>
      </c>
    </row>
    <row r="8" spans="1:36" ht="54" customHeight="1" x14ac:dyDescent="0.3">
      <c r="A8" s="1422">
        <v>46266</v>
      </c>
      <c r="B8" s="122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407"/>
      <c r="J8" s="809">
        <f t="shared" ref="J8:J14" si="5">(720-G8)/60</f>
        <v>10.9</v>
      </c>
      <c r="K8" s="812">
        <f t="shared" si="1"/>
        <v>0.90833333333333333</v>
      </c>
      <c r="L8" s="1427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20">
        <v>46267</v>
      </c>
      <c r="B9" s="1240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9" t="s">
        <v>478</v>
      </c>
      <c r="I9" s="1402">
        <v>2</v>
      </c>
      <c r="J9" s="810">
        <f t="shared" si="5"/>
        <v>10</v>
      </c>
      <c r="K9" s="813">
        <f>J9/12</f>
        <v>0.83333333333333337</v>
      </c>
      <c r="L9" s="1426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20">
        <v>46267</v>
      </c>
      <c r="B10" s="1240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03"/>
      <c r="J10" s="810">
        <f t="shared" si="5"/>
        <v>12</v>
      </c>
      <c r="K10" s="813">
        <f t="shared" ref="K10:K14" si="6">J10/12</f>
        <v>1</v>
      </c>
      <c r="L10" s="1426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20">
        <v>46268</v>
      </c>
      <c r="B11" s="1240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03"/>
      <c r="J11" s="810">
        <f t="shared" si="5"/>
        <v>12</v>
      </c>
      <c r="K11" s="813">
        <f t="shared" si="6"/>
        <v>1</v>
      </c>
      <c r="L11" s="1426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20">
        <v>46268</v>
      </c>
      <c r="B12" s="1240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403"/>
      <c r="J12" s="810">
        <f t="shared" si="5"/>
        <v>11</v>
      </c>
      <c r="K12" s="813">
        <f t="shared" si="6"/>
        <v>0.91666666666666663</v>
      </c>
      <c r="L12" s="1426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20">
        <v>46269</v>
      </c>
      <c r="B13" s="1240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403"/>
      <c r="J13" s="810">
        <f t="shared" si="5"/>
        <v>0</v>
      </c>
      <c r="K13" s="813">
        <f t="shared" si="6"/>
        <v>0</v>
      </c>
      <c r="L13" s="1426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20">
        <v>46269</v>
      </c>
      <c r="B14" s="1240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404"/>
      <c r="J14" s="810">
        <f t="shared" si="5"/>
        <v>0</v>
      </c>
      <c r="K14" s="813">
        <f t="shared" si="6"/>
        <v>0</v>
      </c>
      <c r="L14" s="1426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22">
        <v>46270</v>
      </c>
      <c r="B15" s="122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405">
        <v>3</v>
      </c>
      <c r="J15" s="809">
        <f>(720-G15)/60</f>
        <v>0</v>
      </c>
      <c r="K15" s="812">
        <f>J15/12</f>
        <v>0</v>
      </c>
      <c r="L15" s="1427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22">
        <v>46270</v>
      </c>
      <c r="B16" s="122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406"/>
      <c r="J16" s="809">
        <f t="shared" ref="J16:J19" si="8">(720-G16)/60</f>
        <v>11</v>
      </c>
      <c r="K16" s="812">
        <f t="shared" ref="K16:K19" si="9">J16/12</f>
        <v>0.91666666666666663</v>
      </c>
      <c r="L16" s="1427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22">
        <v>46271</v>
      </c>
      <c r="B17" s="1221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406"/>
      <c r="J17" s="809">
        <f t="shared" si="8"/>
        <v>9.8333333333333339</v>
      </c>
      <c r="K17" s="812">
        <f t="shared" si="9"/>
        <v>0.81944444444444453</v>
      </c>
      <c r="L17" s="1427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22">
        <v>46271</v>
      </c>
      <c r="B18" s="1221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406"/>
      <c r="J18" s="809">
        <f t="shared" si="8"/>
        <v>12</v>
      </c>
      <c r="K18" s="812">
        <f t="shared" si="9"/>
        <v>1</v>
      </c>
      <c r="L18" s="1427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22">
        <v>46272</v>
      </c>
      <c r="B19" s="122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407"/>
      <c r="J19" s="809">
        <f t="shared" si="8"/>
        <v>11.683333333333334</v>
      </c>
      <c r="K19" s="812">
        <f t="shared" si="9"/>
        <v>0.97361111111111109</v>
      </c>
      <c r="L19" s="1428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20">
        <v>46272</v>
      </c>
      <c r="B20" s="1240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34">
        <v>4</v>
      </c>
      <c r="J20" s="810">
        <f>(720-G20)/60</f>
        <v>10.766666666666667</v>
      </c>
      <c r="K20" s="813">
        <f>J20/12</f>
        <v>0.89722222222222225</v>
      </c>
      <c r="L20" s="1428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20">
        <v>46273</v>
      </c>
      <c r="B21" s="1240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3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26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20">
        <v>46273</v>
      </c>
      <c r="B22" s="1240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35"/>
      <c r="J22" s="810">
        <f t="shared" si="10"/>
        <v>9.4499999999999993</v>
      </c>
      <c r="K22" s="813">
        <f t="shared" si="11"/>
        <v>0.78749999999999998</v>
      </c>
      <c r="L22" s="1426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20">
        <v>46274</v>
      </c>
      <c r="B23" s="1240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36"/>
      <c r="J23" s="810">
        <f t="shared" si="10"/>
        <v>3</v>
      </c>
      <c r="K23" s="813">
        <f t="shared" si="11"/>
        <v>0.25</v>
      </c>
      <c r="L23" s="1426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14">
        <v>46274</v>
      </c>
      <c r="B24" s="1243"/>
      <c r="C24" s="907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426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22">
        <v>46275</v>
      </c>
      <c r="B25" s="122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46">
        <v>5</v>
      </c>
      <c r="J25" s="809">
        <f>(720-G25)/60</f>
        <v>10.566666666666666</v>
      </c>
      <c r="K25" s="812">
        <f>J25/12</f>
        <v>0.88055555555555554</v>
      </c>
      <c r="L25" s="1427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22">
        <v>46275</v>
      </c>
      <c r="B26" s="1221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4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27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22">
        <v>46276</v>
      </c>
      <c r="B27" s="122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48"/>
      <c r="J27" s="809">
        <f t="shared" si="13"/>
        <v>10.983333333333333</v>
      </c>
      <c r="K27" s="812">
        <f t="shared" si="14"/>
        <v>0.91527777777777775</v>
      </c>
      <c r="L27" s="1428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41">
        <v>46276</v>
      </c>
      <c r="B28" s="124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31">
        <v>6</v>
      </c>
      <c r="J28" s="810">
        <f>(720-G28)/60</f>
        <v>2</v>
      </c>
      <c r="K28" s="813">
        <f>J28/12</f>
        <v>0.16666666666666666</v>
      </c>
      <c r="L28" s="1428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37">
        <v>46277</v>
      </c>
      <c r="B29" s="143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32"/>
      <c r="J29" s="810">
        <f t="shared" ref="J29:J33" si="15">(720-G29)/60</f>
        <v>0</v>
      </c>
      <c r="K29" s="813">
        <f t="shared" ref="K29:K33" si="16">J29/12</f>
        <v>0</v>
      </c>
      <c r="L29" s="1426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39">
        <v>46277</v>
      </c>
      <c r="B30" s="144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32"/>
      <c r="J30" s="810">
        <f t="shared" si="15"/>
        <v>0</v>
      </c>
      <c r="K30" s="813">
        <f t="shared" si="16"/>
        <v>0</v>
      </c>
      <c r="L30" s="1426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41">
        <v>46278</v>
      </c>
      <c r="B31" s="1242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32"/>
      <c r="J31" s="810">
        <f t="shared" si="15"/>
        <v>0</v>
      </c>
      <c r="K31" s="813">
        <f t="shared" si="16"/>
        <v>0</v>
      </c>
      <c r="L31" s="1426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21">
        <v>46278</v>
      </c>
      <c r="B32" s="1255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32"/>
      <c r="J32" s="810">
        <f t="shared" si="15"/>
        <v>0</v>
      </c>
      <c r="K32" s="813">
        <f t="shared" si="16"/>
        <v>0</v>
      </c>
      <c r="L32" s="1426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42">
        <v>46279</v>
      </c>
      <c r="B33" s="1257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33"/>
      <c r="J33" s="810">
        <f t="shared" si="15"/>
        <v>0</v>
      </c>
      <c r="K33" s="813">
        <f t="shared" si="16"/>
        <v>0</v>
      </c>
      <c r="L33" s="1428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29">
        <v>46279</v>
      </c>
      <c r="B34" s="1430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25">
        <v>7</v>
      </c>
      <c r="J34" s="809">
        <f>(720-G34)/60</f>
        <v>10</v>
      </c>
      <c r="K34" s="812">
        <f>J34/12</f>
        <v>0.83333333333333337</v>
      </c>
      <c r="L34" s="1428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22">
        <v>46280</v>
      </c>
      <c r="B35" s="1221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406"/>
      <c r="J35" s="809">
        <f t="shared" ref="J35:J36" si="20">(720-G35)/60</f>
        <v>12</v>
      </c>
      <c r="K35" s="812">
        <f t="shared" ref="K35:K36" si="21">J35/12</f>
        <v>1</v>
      </c>
      <c r="L35" s="1427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22">
        <v>46280</v>
      </c>
      <c r="B36" s="1221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407"/>
      <c r="J36" s="809">
        <f t="shared" si="20"/>
        <v>12</v>
      </c>
      <c r="K36" s="812">
        <f t="shared" si="21"/>
        <v>1</v>
      </c>
      <c r="L36" s="1427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20">
        <v>46281</v>
      </c>
      <c r="B37" s="1240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56">
        <v>8</v>
      </c>
      <c r="J37" s="810">
        <f>(720-G37)/60</f>
        <v>12</v>
      </c>
      <c r="K37" s="813">
        <f>J37/12</f>
        <v>1</v>
      </c>
      <c r="L37" s="1426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20">
        <v>46281</v>
      </c>
      <c r="B38" s="1240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57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26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20">
        <v>46282</v>
      </c>
      <c r="B39" s="1240"/>
      <c r="C39" s="497" t="s">
        <v>12</v>
      </c>
      <c r="D39" s="922" t="s">
        <v>628</v>
      </c>
      <c r="E39" s="829"/>
      <c r="F39" s="829"/>
      <c r="G39" s="499">
        <f t="shared" si="4"/>
        <v>0</v>
      </c>
      <c r="H39" s="923" t="s">
        <v>629</v>
      </c>
      <c r="I39" s="1457"/>
      <c r="J39" s="810">
        <f t="shared" si="22"/>
        <v>12</v>
      </c>
      <c r="K39" s="813">
        <f t="shared" si="23"/>
        <v>1</v>
      </c>
      <c r="L39" s="1426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18">
        <v>46282</v>
      </c>
      <c r="B40" s="1419"/>
      <c r="C40" s="910" t="s">
        <v>13</v>
      </c>
      <c r="D40" s="944" t="s">
        <v>598</v>
      </c>
      <c r="E40" s="940"/>
      <c r="F40" s="940"/>
      <c r="G40" s="941">
        <f t="shared" si="4"/>
        <v>0</v>
      </c>
      <c r="H40" s="945" t="s">
        <v>635</v>
      </c>
      <c r="I40" s="1458"/>
      <c r="J40" s="942">
        <f t="shared" si="22"/>
        <v>12</v>
      </c>
      <c r="K40" s="943">
        <f t="shared" si="23"/>
        <v>1</v>
      </c>
      <c r="L40" s="1426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15">
        <v>46283</v>
      </c>
      <c r="B41" s="1416"/>
      <c r="C41" s="969" t="s">
        <v>12</v>
      </c>
      <c r="D41" s="993" t="s">
        <v>542</v>
      </c>
      <c r="E41" s="994">
        <v>6.9444444444444447E-4</v>
      </c>
      <c r="F41" s="994">
        <v>0.12222222222222222</v>
      </c>
      <c r="G41" s="995">
        <f t="shared" si="4"/>
        <v>175</v>
      </c>
      <c r="H41" s="996" t="s">
        <v>648</v>
      </c>
      <c r="I41" s="1453">
        <v>9</v>
      </c>
      <c r="J41" s="997">
        <f t="shared" si="22"/>
        <v>9.0833333333333339</v>
      </c>
      <c r="K41" s="998">
        <f t="shared" si="23"/>
        <v>0.75694444444444453</v>
      </c>
      <c r="L41" s="1449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15">
        <v>46283</v>
      </c>
      <c r="B42" s="1416"/>
      <c r="C42" s="969" t="s">
        <v>13</v>
      </c>
      <c r="D42" s="999" t="s">
        <v>649</v>
      </c>
      <c r="E42" s="994">
        <v>6.9444444444444447E-4</v>
      </c>
      <c r="F42" s="994">
        <v>6.9444444444444447E-4</v>
      </c>
      <c r="G42" s="995">
        <f t="shared" si="4"/>
        <v>0</v>
      </c>
      <c r="H42" s="1024" t="s">
        <v>650</v>
      </c>
      <c r="I42" s="1454"/>
      <c r="J42" s="997">
        <f t="shared" si="22"/>
        <v>12</v>
      </c>
      <c r="K42" s="998">
        <f t="shared" si="23"/>
        <v>1</v>
      </c>
      <c r="L42" s="1449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15">
        <v>46284</v>
      </c>
      <c r="B43" s="1416"/>
      <c r="C43" s="969" t="s">
        <v>12</v>
      </c>
      <c r="D43" s="1025" t="s">
        <v>509</v>
      </c>
      <c r="E43" s="994">
        <v>6.9444444444444447E-4</v>
      </c>
      <c r="F43" s="994">
        <v>6.9444444444444447E-4</v>
      </c>
      <c r="G43" s="995">
        <f t="shared" si="4"/>
        <v>0</v>
      </c>
      <c r="H43" s="1000" t="s">
        <v>650</v>
      </c>
      <c r="I43" s="1454"/>
      <c r="J43" s="997">
        <f t="shared" si="22"/>
        <v>12</v>
      </c>
      <c r="K43" s="998">
        <f t="shared" si="23"/>
        <v>1</v>
      </c>
      <c r="L43" s="1449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15">
        <v>46284</v>
      </c>
      <c r="B44" s="1416"/>
      <c r="C44" s="969" t="s">
        <v>13</v>
      </c>
      <c r="D44" s="1025" t="s">
        <v>652</v>
      </c>
      <c r="E44" s="994">
        <v>6.9444444444444447E-4</v>
      </c>
      <c r="F44" s="994">
        <v>0.25069444444444444</v>
      </c>
      <c r="G44" s="995">
        <f t="shared" si="4"/>
        <v>360</v>
      </c>
      <c r="H44" s="1024" t="s">
        <v>651</v>
      </c>
      <c r="I44" s="1455"/>
      <c r="J44" s="997">
        <f t="shared" si="22"/>
        <v>6</v>
      </c>
      <c r="K44" s="998">
        <f t="shared" si="23"/>
        <v>0.5</v>
      </c>
      <c r="L44" s="1449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18">
        <v>46285</v>
      </c>
      <c r="B45" s="1419"/>
      <c r="C45" s="910" t="s">
        <v>12</v>
      </c>
      <c r="D45" s="1031" t="s">
        <v>169</v>
      </c>
      <c r="E45" s="940">
        <v>6.9444444444444447E-4</v>
      </c>
      <c r="F45" s="940">
        <v>0.50069444444444444</v>
      </c>
      <c r="G45" s="941">
        <f t="shared" si="4"/>
        <v>720</v>
      </c>
      <c r="H45" s="1032" t="s">
        <v>654</v>
      </c>
      <c r="I45" s="1395">
        <v>10</v>
      </c>
      <c r="J45" s="942">
        <f t="shared" si="22"/>
        <v>0</v>
      </c>
      <c r="K45" s="943">
        <f t="shared" si="23"/>
        <v>0</v>
      </c>
      <c r="L45" s="1424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18">
        <v>46285</v>
      </c>
      <c r="B46" s="1419"/>
      <c r="C46" s="910" t="s">
        <v>13</v>
      </c>
      <c r="D46" s="1058" t="s">
        <v>509</v>
      </c>
      <c r="E46" s="940">
        <v>6.9444444444444447E-4</v>
      </c>
      <c r="F46" s="940">
        <v>0.50069444444444444</v>
      </c>
      <c r="G46" s="941">
        <f t="shared" ref="G46:G47" si="25">(F46-E46)*1440</f>
        <v>720</v>
      </c>
      <c r="H46" s="1059" t="s">
        <v>657</v>
      </c>
      <c r="I46" s="1396"/>
      <c r="J46" s="942">
        <f t="shared" si="22"/>
        <v>0</v>
      </c>
      <c r="K46" s="943">
        <f t="shared" si="23"/>
        <v>0</v>
      </c>
      <c r="L46" s="1424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18">
        <v>46286</v>
      </c>
      <c r="B47" s="1419"/>
      <c r="C47" s="910" t="s">
        <v>12</v>
      </c>
      <c r="D47" s="1071" t="s">
        <v>508</v>
      </c>
      <c r="E47" s="940">
        <v>6.9444444444444447E-4</v>
      </c>
      <c r="F47" s="940">
        <v>0.4</v>
      </c>
      <c r="G47" s="941">
        <f t="shared" si="25"/>
        <v>575</v>
      </c>
      <c r="H47" s="1073" t="s">
        <v>666</v>
      </c>
      <c r="I47" s="1396"/>
      <c r="J47" s="942">
        <f>(720-G47)/60</f>
        <v>2.4166666666666665</v>
      </c>
      <c r="K47" s="943">
        <f t="shared" si="23"/>
        <v>0.20138888888888887</v>
      </c>
      <c r="L47" s="1424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18">
        <v>46286</v>
      </c>
      <c r="B48" s="1419"/>
      <c r="C48" s="910" t="s">
        <v>13</v>
      </c>
      <c r="D48" s="1077" t="s">
        <v>542</v>
      </c>
      <c r="E48" s="940">
        <v>6.9444444444444447E-4</v>
      </c>
      <c r="F48" s="1078">
        <v>2.1527777777777778E-2</v>
      </c>
      <c r="G48" s="941">
        <f t="shared" ref="G48" si="27">(F48-E48)*1440</f>
        <v>30</v>
      </c>
      <c r="H48" s="1079" t="s">
        <v>668</v>
      </c>
      <c r="I48" s="1396"/>
      <c r="J48" s="942">
        <f t="shared" si="22"/>
        <v>11.5</v>
      </c>
      <c r="K48" s="943">
        <f t="shared" si="23"/>
        <v>0.95833333333333337</v>
      </c>
      <c r="L48" s="1424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18">
        <v>46287</v>
      </c>
      <c r="B49" s="1419"/>
      <c r="C49" s="910" t="s">
        <v>12</v>
      </c>
      <c r="D49" s="1083" t="s">
        <v>508</v>
      </c>
      <c r="E49" s="940">
        <v>6.9444444444444447E-4</v>
      </c>
      <c r="F49" s="940">
        <v>6.9444444444444447E-4</v>
      </c>
      <c r="G49" s="941">
        <f t="shared" ref="G49:G51" si="28">(F49-E49)*1440</f>
        <v>0</v>
      </c>
      <c r="H49" s="1084" t="s">
        <v>691</v>
      </c>
      <c r="I49" s="1396"/>
      <c r="J49" s="942">
        <f t="shared" si="22"/>
        <v>12</v>
      </c>
      <c r="K49" s="943">
        <f t="shared" si="23"/>
        <v>1</v>
      </c>
      <c r="L49" s="1424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18">
        <v>46287</v>
      </c>
      <c r="B50" s="1419"/>
      <c r="C50" s="910" t="s">
        <v>13</v>
      </c>
      <c r="D50" s="1086" t="s">
        <v>694</v>
      </c>
      <c r="E50" s="940">
        <v>6.9444444444444447E-4</v>
      </c>
      <c r="F50" s="940">
        <v>0.11527777777777778</v>
      </c>
      <c r="G50" s="941">
        <f t="shared" si="28"/>
        <v>165</v>
      </c>
      <c r="H50" s="1087" t="s">
        <v>695</v>
      </c>
      <c r="I50" s="1396"/>
      <c r="J50" s="942">
        <f t="shared" si="22"/>
        <v>9.25</v>
      </c>
      <c r="K50" s="943">
        <f t="shared" si="23"/>
        <v>0.77083333333333337</v>
      </c>
      <c r="L50" s="1424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18">
        <v>46288</v>
      </c>
      <c r="B51" s="1419"/>
      <c r="C51" s="910" t="s">
        <v>12</v>
      </c>
      <c r="D51" s="1101" t="s">
        <v>508</v>
      </c>
      <c r="E51" s="1102">
        <v>6.9444444444444447E-4</v>
      </c>
      <c r="F51" s="940">
        <v>0.18819444444444444</v>
      </c>
      <c r="G51" s="941">
        <f t="shared" si="28"/>
        <v>270</v>
      </c>
      <c r="H51" s="1103" t="s">
        <v>700</v>
      </c>
      <c r="I51" s="1396"/>
      <c r="J51" s="942">
        <f t="shared" si="22"/>
        <v>7.5</v>
      </c>
      <c r="K51" s="943">
        <f t="shared" si="23"/>
        <v>0.625</v>
      </c>
      <c r="L51" s="1424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18">
        <v>46288</v>
      </c>
      <c r="B52" s="1419"/>
      <c r="C52" s="910" t="s">
        <v>13</v>
      </c>
      <c r="D52" s="1101" t="s">
        <v>542</v>
      </c>
      <c r="E52" s="940">
        <v>6.9444444444444447E-4</v>
      </c>
      <c r="F52" s="940">
        <v>6.9444444444444447E-4</v>
      </c>
      <c r="G52" s="941">
        <f>(F52-E52)*1440</f>
        <v>0</v>
      </c>
      <c r="H52" s="1103" t="s">
        <v>701</v>
      </c>
      <c r="I52" s="1396"/>
      <c r="J52" s="942">
        <f t="shared" si="22"/>
        <v>12</v>
      </c>
      <c r="K52" s="943">
        <f t="shared" si="23"/>
        <v>1</v>
      </c>
      <c r="L52" s="1424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18">
        <v>46289</v>
      </c>
      <c r="B53" s="1419"/>
      <c r="C53" s="910" t="s">
        <v>12</v>
      </c>
      <c r="D53" s="1101" t="s">
        <v>508</v>
      </c>
      <c r="E53" s="940">
        <v>6.9444444444444447E-4</v>
      </c>
      <c r="F53" s="940">
        <v>6.9444444444444447E-4</v>
      </c>
      <c r="G53" s="941">
        <f t="shared" ref="G53:G57" si="29">(F53-E53)*1440</f>
        <v>0</v>
      </c>
      <c r="H53" s="1103" t="s">
        <v>704</v>
      </c>
      <c r="I53" s="1397"/>
      <c r="J53" s="942">
        <f t="shared" si="22"/>
        <v>12</v>
      </c>
      <c r="K53" s="943">
        <f t="shared" si="23"/>
        <v>1</v>
      </c>
      <c r="L53" s="1424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415">
        <v>46289</v>
      </c>
      <c r="B54" s="1416"/>
      <c r="C54" s="969" t="s">
        <v>13</v>
      </c>
      <c r="D54" s="1112" t="s">
        <v>169</v>
      </c>
      <c r="E54" s="994">
        <v>6.9444444444444447E-4</v>
      </c>
      <c r="F54" s="1113">
        <v>6.9444444444444447E-4</v>
      </c>
      <c r="G54" s="995">
        <f t="shared" si="29"/>
        <v>0</v>
      </c>
      <c r="H54" s="1114" t="s">
        <v>705</v>
      </c>
      <c r="I54" s="1450">
        <v>11</v>
      </c>
      <c r="J54" s="997">
        <f t="shared" si="22"/>
        <v>12</v>
      </c>
      <c r="K54" s="998">
        <f t="shared" si="23"/>
        <v>1</v>
      </c>
      <c r="L54" s="1424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15">
        <v>46290</v>
      </c>
      <c r="B55" s="1416"/>
      <c r="C55" s="969" t="s">
        <v>12</v>
      </c>
      <c r="D55" s="1124" t="s">
        <v>508</v>
      </c>
      <c r="E55" s="994">
        <v>6.9444444444444447E-4</v>
      </c>
      <c r="F55" s="994">
        <v>0.1125</v>
      </c>
      <c r="G55" s="995">
        <f t="shared" si="29"/>
        <v>161</v>
      </c>
      <c r="H55" s="1125" t="s">
        <v>709</v>
      </c>
      <c r="I55" s="1451"/>
      <c r="J55" s="997">
        <f t="shared" si="22"/>
        <v>9.3166666666666664</v>
      </c>
      <c r="K55" s="998">
        <f t="shared" si="23"/>
        <v>0.77638888888888891</v>
      </c>
      <c r="L55" s="1423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15">
        <v>46290</v>
      </c>
      <c r="B56" s="1416"/>
      <c r="C56" s="969" t="s">
        <v>13</v>
      </c>
      <c r="D56" s="1132" t="s">
        <v>741</v>
      </c>
      <c r="E56" s="994">
        <v>6.9444444444444447E-4</v>
      </c>
      <c r="F56" s="994">
        <v>0.50069444444444444</v>
      </c>
      <c r="G56" s="995">
        <f t="shared" si="29"/>
        <v>720</v>
      </c>
      <c r="H56" s="1133" t="s">
        <v>742</v>
      </c>
      <c r="I56" s="1452"/>
      <c r="J56" s="997">
        <f t="shared" si="22"/>
        <v>0</v>
      </c>
      <c r="K56" s="998">
        <f t="shared" si="23"/>
        <v>0</v>
      </c>
      <c r="L56" s="1423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15">
        <v>46291</v>
      </c>
      <c r="B57" s="1416"/>
      <c r="C57" s="969" t="s">
        <v>12</v>
      </c>
      <c r="D57" s="1160" t="s">
        <v>542</v>
      </c>
      <c r="E57" s="994">
        <v>6.9444444444444447E-4</v>
      </c>
      <c r="F57" s="994">
        <v>0.50069444444444444</v>
      </c>
      <c r="G57" s="995">
        <f t="shared" si="29"/>
        <v>720</v>
      </c>
      <c r="H57" s="1162" t="s">
        <v>750</v>
      </c>
      <c r="I57" s="122"/>
      <c r="J57" s="997">
        <f t="shared" si="22"/>
        <v>0</v>
      </c>
      <c r="K57" s="998">
        <f t="shared" si="23"/>
        <v>0</v>
      </c>
      <c r="L57" s="1423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415">
        <v>46291</v>
      </c>
      <c r="B58" s="1416"/>
      <c r="C58" s="969" t="s">
        <v>13</v>
      </c>
      <c r="D58" s="1160" t="s">
        <v>508</v>
      </c>
      <c r="E58" s="994">
        <v>6.9444444444444447E-4</v>
      </c>
      <c r="F58" s="994">
        <v>0.50069444444444444</v>
      </c>
      <c r="G58" s="995">
        <f t="shared" ref="G58:G69" si="30">(F58-E58)*1440</f>
        <v>720</v>
      </c>
      <c r="H58" s="1161" t="s">
        <v>751</v>
      </c>
      <c r="I58" s="122"/>
      <c r="J58" s="997">
        <f t="shared" si="22"/>
        <v>0</v>
      </c>
      <c r="K58" s="998">
        <f t="shared" si="23"/>
        <v>0</v>
      </c>
      <c r="L58" s="1423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18">
        <v>46292</v>
      </c>
      <c r="B59" s="1419"/>
      <c r="C59" s="910" t="s">
        <v>12</v>
      </c>
      <c r="D59" s="1163" t="s">
        <v>542</v>
      </c>
      <c r="E59" s="940">
        <v>6.9444444444444447E-4</v>
      </c>
      <c r="F59" s="940">
        <v>0.1673611111111111</v>
      </c>
      <c r="G59" s="941">
        <f t="shared" si="30"/>
        <v>240</v>
      </c>
      <c r="H59" s="1164" t="s">
        <v>750</v>
      </c>
      <c r="I59" s="106">
        <v>12</v>
      </c>
      <c r="J59" s="942">
        <f t="shared" si="22"/>
        <v>8</v>
      </c>
      <c r="K59" s="943">
        <f t="shared" si="23"/>
        <v>0.66666666666666663</v>
      </c>
      <c r="L59" s="1417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18">
        <v>46292</v>
      </c>
      <c r="B60" s="1419"/>
      <c r="C60" s="910" t="s">
        <v>13</v>
      </c>
      <c r="D60" s="1163" t="s">
        <v>508</v>
      </c>
      <c r="E60" s="940">
        <v>6.9444444444444447E-4</v>
      </c>
      <c r="F60" s="940">
        <v>4.2361111111111113E-2</v>
      </c>
      <c r="G60" s="941">
        <f t="shared" ref="G60" si="31">(F60-E60)*1440</f>
        <v>60.000000000000007</v>
      </c>
      <c r="H60" s="1165" t="s">
        <v>752</v>
      </c>
      <c r="I60" s="106">
        <v>12</v>
      </c>
      <c r="J60" s="942">
        <f t="shared" si="22"/>
        <v>11</v>
      </c>
      <c r="K60" s="943">
        <f t="shared" si="23"/>
        <v>0.91666666666666663</v>
      </c>
      <c r="L60" s="1417"/>
      <c r="O60" s="62"/>
      <c r="P60" s="71">
        <f>P59/60</f>
        <v>317.63333333333333</v>
      </c>
      <c r="Q60" s="43">
        <f>Q59/24</f>
        <v>18.286111111111108</v>
      </c>
      <c r="R60" s="949">
        <f>Q60+S60</f>
        <v>28.513888888888886</v>
      </c>
      <c r="S60" s="43">
        <f>S59/24</f>
        <v>10.227777777777778</v>
      </c>
    </row>
    <row r="61" spans="1:20" x14ac:dyDescent="0.3">
      <c r="A61" s="1418">
        <v>46293</v>
      </c>
      <c r="B61" s="1419"/>
      <c r="C61" s="910" t="s">
        <v>12</v>
      </c>
      <c r="D61" s="1168" t="s">
        <v>741</v>
      </c>
      <c r="E61" s="940">
        <v>6.9444444444444447E-4</v>
      </c>
      <c r="F61" s="940">
        <v>6.9444444444444447E-4</v>
      </c>
      <c r="G61" s="941">
        <f t="shared" si="30"/>
        <v>0</v>
      </c>
      <c r="H61" s="1169" t="s">
        <v>758</v>
      </c>
      <c r="I61" s="106">
        <v>12</v>
      </c>
      <c r="J61" s="942">
        <f t="shared" si="22"/>
        <v>12</v>
      </c>
      <c r="K61" s="943">
        <f t="shared" si="23"/>
        <v>1</v>
      </c>
      <c r="L61" s="1417">
        <f>SUM(J61:J62)/24</f>
        <v>1</v>
      </c>
      <c r="M61" s="43"/>
      <c r="Q61" s="10"/>
    </row>
    <row r="62" spans="1:20" ht="28.8" x14ac:dyDescent="0.3">
      <c r="A62" s="1418">
        <v>46293</v>
      </c>
      <c r="B62" s="1419"/>
      <c r="C62" s="910" t="s">
        <v>13</v>
      </c>
      <c r="D62" s="1168" t="s">
        <v>508</v>
      </c>
      <c r="E62" s="940">
        <v>6.9444444444444447E-4</v>
      </c>
      <c r="F62" s="940">
        <v>6.9444444444444447E-4</v>
      </c>
      <c r="G62" s="941">
        <f t="shared" si="30"/>
        <v>0</v>
      </c>
      <c r="H62" s="1170" t="s">
        <v>757</v>
      </c>
      <c r="I62" s="980">
        <v>12</v>
      </c>
      <c r="J62" s="942">
        <f t="shared" si="22"/>
        <v>12</v>
      </c>
      <c r="K62" s="943">
        <f t="shared" si="23"/>
        <v>1</v>
      </c>
      <c r="L62" s="1417"/>
      <c r="N62" s="10"/>
      <c r="P62" s="10"/>
    </row>
    <row r="63" spans="1:20" x14ac:dyDescent="0.3">
      <c r="A63" s="1418">
        <v>46294</v>
      </c>
      <c r="B63" s="1419"/>
      <c r="C63" s="910" t="s">
        <v>12</v>
      </c>
      <c r="D63" s="1171" t="s">
        <v>542</v>
      </c>
      <c r="E63" s="940">
        <v>6.9444444444444447E-4</v>
      </c>
      <c r="F63" s="940">
        <v>1.4583333333333334E-2</v>
      </c>
      <c r="G63" s="941">
        <f t="shared" si="30"/>
        <v>20</v>
      </c>
      <c r="H63" s="1172" t="s">
        <v>759</v>
      </c>
      <c r="I63" s="106">
        <v>12</v>
      </c>
      <c r="J63" s="942">
        <f t="shared" si="22"/>
        <v>11.666666666666666</v>
      </c>
      <c r="K63" s="943">
        <f t="shared" si="23"/>
        <v>0.97222222222222221</v>
      </c>
      <c r="L63" s="452"/>
    </row>
    <row r="64" spans="1:20" x14ac:dyDescent="0.3">
      <c r="A64" s="1414">
        <v>46294</v>
      </c>
      <c r="B64" s="1243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14">
        <v>46295</v>
      </c>
      <c r="B65" s="1243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14">
        <v>46295</v>
      </c>
      <c r="B66" s="1243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8"/>
      <c r="S66" s="136"/>
    </row>
    <row r="67" spans="1:19" x14ac:dyDescent="0.3">
      <c r="A67" s="1414">
        <v>46296</v>
      </c>
      <c r="B67" s="1243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14">
        <v>46296</v>
      </c>
      <c r="B68" s="1243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60" t="s">
        <v>659</v>
      </c>
    </row>
    <row r="69" spans="1:19" x14ac:dyDescent="0.3">
      <c r="A69" s="1414">
        <v>46297</v>
      </c>
      <c r="B69" s="1243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14">
        <v>46297</v>
      </c>
      <c r="B70" s="1243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14">
        <v>46298</v>
      </c>
      <c r="B71" s="1243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14">
        <v>46298</v>
      </c>
      <c r="B72" s="1243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14">
        <v>46299</v>
      </c>
      <c r="B73" s="1243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15">
        <v>46299</v>
      </c>
      <c r="B74" s="1416"/>
      <c r="C74" s="969" t="s">
        <v>13</v>
      </c>
      <c r="D74" s="1188"/>
      <c r="E74" s="994">
        <v>6.9444444444444447E-4</v>
      </c>
      <c r="F74" s="994">
        <v>7.6388888888888886E-3</v>
      </c>
      <c r="G74" s="995">
        <f t="shared" si="32"/>
        <v>10</v>
      </c>
      <c r="H74" s="1189" t="s">
        <v>771</v>
      </c>
      <c r="I74" s="122">
        <v>13</v>
      </c>
      <c r="J74" s="997">
        <f t="shared" si="33"/>
        <v>11.833333333333334</v>
      </c>
      <c r="K74" s="998">
        <f t="shared" si="34"/>
        <v>0.98611111111111116</v>
      </c>
      <c r="L74" s="1109"/>
    </row>
    <row r="75" spans="1:19" x14ac:dyDescent="0.3">
      <c r="A75" s="1415">
        <v>46300</v>
      </c>
      <c r="B75" s="1416"/>
      <c r="C75" s="969" t="s">
        <v>12</v>
      </c>
      <c r="D75" s="1188"/>
      <c r="E75" s="994">
        <v>6.9444444444444447E-4</v>
      </c>
      <c r="F75" s="994">
        <v>6.9444444444444447E-4</v>
      </c>
      <c r="G75" s="995">
        <f t="shared" si="32"/>
        <v>0</v>
      </c>
      <c r="H75" s="1190"/>
      <c r="I75" s="122">
        <v>13</v>
      </c>
      <c r="J75" s="997">
        <f t="shared" si="33"/>
        <v>12</v>
      </c>
      <c r="K75" s="998">
        <f t="shared" si="34"/>
        <v>1</v>
      </c>
      <c r="L75" s="1109"/>
    </row>
    <row r="76" spans="1:19" x14ac:dyDescent="0.3">
      <c r="A76" s="1415">
        <v>46300</v>
      </c>
      <c r="B76" s="1416"/>
      <c r="C76" s="969" t="s">
        <v>13</v>
      </c>
      <c r="D76" s="1188"/>
      <c r="E76" s="994">
        <v>6.9444444444444447E-4</v>
      </c>
      <c r="F76" s="994">
        <v>0.50069444444444444</v>
      </c>
      <c r="G76" s="995">
        <f t="shared" si="32"/>
        <v>720</v>
      </c>
      <c r="H76" s="1201" t="s">
        <v>779</v>
      </c>
      <c r="I76" s="122"/>
      <c r="J76" s="997">
        <f t="shared" si="33"/>
        <v>0</v>
      </c>
      <c r="K76" s="998">
        <f t="shared" si="34"/>
        <v>0</v>
      </c>
      <c r="L76" s="1109"/>
    </row>
    <row r="77" spans="1:19" x14ac:dyDescent="0.3">
      <c r="A77" s="1414">
        <v>46301</v>
      </c>
      <c r="B77" s="1243"/>
      <c r="C77" s="36" t="s">
        <v>12</v>
      </c>
      <c r="D77" s="65"/>
      <c r="E77" s="67"/>
      <c r="F77" s="67"/>
      <c r="G77" s="496">
        <f t="shared" ref="G77:G140" si="35">(F77-E77)*1440</f>
        <v>0</v>
      </c>
      <c r="H77" s="436"/>
      <c r="I77" s="417"/>
      <c r="J77" s="418">
        <f t="shared" ref="J77:J140" si="36">(720-G77)/60</f>
        <v>12</v>
      </c>
      <c r="K77" s="811">
        <f t="shared" ref="K77:K140" si="37">J77/12</f>
        <v>1</v>
      </c>
      <c r="L77" s="6"/>
    </row>
    <row r="78" spans="1:19" x14ac:dyDescent="0.3">
      <c r="A78" s="1414">
        <v>46301</v>
      </c>
      <c r="B78" s="1243"/>
      <c r="C78" s="36" t="s">
        <v>13</v>
      </c>
      <c r="D78" s="65"/>
      <c r="E78" s="67"/>
      <c r="F78" s="67"/>
      <c r="G78" s="496">
        <f t="shared" si="35"/>
        <v>0</v>
      </c>
      <c r="H78" s="436"/>
      <c r="I78" s="417"/>
      <c r="J78" s="418">
        <f t="shared" si="36"/>
        <v>12</v>
      </c>
      <c r="K78" s="811">
        <f t="shared" si="37"/>
        <v>1</v>
      </c>
      <c r="L78" s="6"/>
    </row>
    <row r="79" spans="1:19" x14ac:dyDescent="0.3">
      <c r="A79" s="1414">
        <v>46302</v>
      </c>
      <c r="B79" s="1243"/>
      <c r="C79" s="36" t="s">
        <v>12</v>
      </c>
      <c r="D79" s="65"/>
      <c r="E79" s="67"/>
      <c r="F79" s="67"/>
      <c r="G79" s="496">
        <f t="shared" si="35"/>
        <v>0</v>
      </c>
      <c r="H79" s="436"/>
      <c r="I79" s="417"/>
      <c r="J79" s="418">
        <f t="shared" si="36"/>
        <v>12</v>
      </c>
      <c r="K79" s="811">
        <f t="shared" si="37"/>
        <v>1</v>
      </c>
      <c r="L79" s="6"/>
    </row>
    <row r="80" spans="1:19" x14ac:dyDescent="0.3">
      <c r="A80" s="1414">
        <v>46302</v>
      </c>
      <c r="B80" s="1243"/>
      <c r="C80" s="36" t="s">
        <v>13</v>
      </c>
      <c r="D80" s="65"/>
      <c r="E80" s="67"/>
      <c r="F80" s="67"/>
      <c r="G80" s="496">
        <f t="shared" si="35"/>
        <v>0</v>
      </c>
      <c r="H80" s="436"/>
      <c r="I80" s="417"/>
      <c r="J80" s="418">
        <f t="shared" si="36"/>
        <v>12</v>
      </c>
      <c r="K80" s="811">
        <f t="shared" si="37"/>
        <v>1</v>
      </c>
      <c r="L80" s="6"/>
    </row>
    <row r="81" spans="1:12" x14ac:dyDescent="0.3">
      <c r="A81" s="1414">
        <v>46303</v>
      </c>
      <c r="B81" s="1243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414">
        <v>46303</v>
      </c>
      <c r="B82" s="1243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414">
        <v>46304</v>
      </c>
      <c r="B83" s="1243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414">
        <v>46304</v>
      </c>
      <c r="B84" s="1243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414">
        <v>46305</v>
      </c>
      <c r="B85" s="1243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414">
        <v>46305</v>
      </c>
      <c r="B86" s="1243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414">
        <v>46306</v>
      </c>
      <c r="B87" s="1243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414">
        <v>46306</v>
      </c>
      <c r="B88" s="1243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414">
        <v>46307</v>
      </c>
      <c r="B89" s="1243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414">
        <v>46307</v>
      </c>
      <c r="B90" s="1243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414">
        <v>46308</v>
      </c>
      <c r="B91" s="1243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414">
        <v>46308</v>
      </c>
      <c r="B92" s="1243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414">
        <v>46309</v>
      </c>
      <c r="B93" s="1243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14">
        <v>46309</v>
      </c>
      <c r="B94" s="1243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14">
        <v>46310</v>
      </c>
      <c r="B95" s="1243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14">
        <v>46310</v>
      </c>
      <c r="B96" s="1243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14">
        <v>46311</v>
      </c>
      <c r="B97" s="1243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14">
        <v>46311</v>
      </c>
      <c r="B98" s="1243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14">
        <v>46312</v>
      </c>
      <c r="B99" s="1243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14">
        <v>46312</v>
      </c>
      <c r="B100" s="1243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14">
        <v>46313</v>
      </c>
      <c r="B101" s="1243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14">
        <v>46313</v>
      </c>
      <c r="B102" s="1243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14">
        <v>46314</v>
      </c>
      <c r="B103" s="1243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14">
        <v>46314</v>
      </c>
      <c r="B104" s="1243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14">
        <v>46315</v>
      </c>
      <c r="B105" s="1243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14">
        <v>46315</v>
      </c>
      <c r="B106" s="1243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14">
        <v>46316</v>
      </c>
      <c r="B107" s="1243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14">
        <v>46316</v>
      </c>
      <c r="B108" s="1243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14">
        <v>46317</v>
      </c>
      <c r="B109" s="1243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14">
        <v>46317</v>
      </c>
      <c r="B110" s="1243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14">
        <v>46318</v>
      </c>
      <c r="B111" s="1243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14">
        <v>46318</v>
      </c>
      <c r="B112" s="1243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14">
        <v>46319</v>
      </c>
      <c r="B113" s="1243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14">
        <v>46319</v>
      </c>
      <c r="B114" s="1243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14">
        <v>46320</v>
      </c>
      <c r="B115" s="1243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14">
        <v>46320</v>
      </c>
      <c r="B116" s="1243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14">
        <v>46321</v>
      </c>
      <c r="B117" s="1243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14">
        <v>46321</v>
      </c>
      <c r="B118" s="1243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14">
        <v>46322</v>
      </c>
      <c r="B119" s="1243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14">
        <v>46322</v>
      </c>
      <c r="B120" s="1243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14">
        <v>46323</v>
      </c>
      <c r="B121" s="1243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14">
        <v>46323</v>
      </c>
      <c r="B122" s="1243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14">
        <v>46324</v>
      </c>
      <c r="B123" s="1243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14">
        <v>46324</v>
      </c>
      <c r="B124" s="1243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14">
        <v>46325</v>
      </c>
      <c r="B125" s="1243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14">
        <v>46325</v>
      </c>
      <c r="B126" s="1243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14">
        <v>46351</v>
      </c>
      <c r="B127" s="1243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14">
        <v>46352</v>
      </c>
      <c r="B128" s="1243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14">
        <v>46353</v>
      </c>
      <c r="B129" s="1243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14">
        <v>46354</v>
      </c>
      <c r="B130" s="1243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14">
        <v>46355</v>
      </c>
      <c r="B131" s="1243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14">
        <v>46356</v>
      </c>
      <c r="B132" s="1243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14">
        <v>46357</v>
      </c>
      <c r="B133" s="1243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14">
        <v>46358</v>
      </c>
      <c r="B134" s="1243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14">
        <v>46359</v>
      </c>
      <c r="B135" s="1243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14">
        <v>46360</v>
      </c>
      <c r="B136" s="1243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14">
        <v>46361</v>
      </c>
      <c r="B137" s="1243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14">
        <v>46362</v>
      </c>
      <c r="B138" s="1243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14">
        <v>46363</v>
      </c>
      <c r="B139" s="1243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14">
        <v>46364</v>
      </c>
      <c r="B140" s="1243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14">
        <v>46365</v>
      </c>
      <c r="B141" s="1243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14">
        <v>46366</v>
      </c>
      <c r="B142" s="1243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14">
        <v>46367</v>
      </c>
      <c r="B143" s="1243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14">
        <v>46368</v>
      </c>
      <c r="B144" s="1243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14">
        <v>46369</v>
      </c>
      <c r="B145" s="1243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14">
        <v>46370</v>
      </c>
      <c r="B146" s="1243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14">
        <v>46371</v>
      </c>
      <c r="B147" s="1243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14">
        <v>46372</v>
      </c>
      <c r="B148" s="1243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14">
        <v>46373</v>
      </c>
      <c r="B149" s="1243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14">
        <v>46374</v>
      </c>
      <c r="B150" s="1243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14">
        <v>46375</v>
      </c>
      <c r="B151" s="1243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14">
        <v>46376</v>
      </c>
      <c r="B152" s="1243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14">
        <v>46377</v>
      </c>
      <c r="B153" s="1243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14">
        <v>46378</v>
      </c>
      <c r="B154" s="1243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14">
        <v>46379</v>
      </c>
      <c r="B155" s="1243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14">
        <v>46380</v>
      </c>
      <c r="B156" s="1243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14">
        <v>46381</v>
      </c>
      <c r="B157" s="1243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14">
        <v>46382</v>
      </c>
      <c r="B158" s="1243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14">
        <v>46383</v>
      </c>
      <c r="B159" s="1243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14">
        <v>46384</v>
      </c>
      <c r="B160" s="1243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14">
        <v>46385</v>
      </c>
      <c r="B161" s="1243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14">
        <v>46386</v>
      </c>
      <c r="B162" s="1243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14">
        <v>46387</v>
      </c>
      <c r="B163" s="1243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14">
        <v>46388</v>
      </c>
      <c r="B164" s="1243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14">
        <v>46389</v>
      </c>
      <c r="B165" s="1243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14">
        <v>46390</v>
      </c>
      <c r="B166" s="1243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14">
        <v>46391</v>
      </c>
      <c r="B167" s="1243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14">
        <v>46392</v>
      </c>
      <c r="B168" s="1243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14">
        <v>46393</v>
      </c>
      <c r="B169" s="1243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14">
        <v>46394</v>
      </c>
      <c r="B170" s="1243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14">
        <v>46395</v>
      </c>
      <c r="B171" s="1243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14">
        <v>46396</v>
      </c>
      <c r="B172" s="1243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14">
        <v>46397</v>
      </c>
      <c r="B173" s="1243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14">
        <v>46398</v>
      </c>
      <c r="B174" s="1243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14">
        <v>46399</v>
      </c>
      <c r="B175" s="1243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14">
        <v>46400</v>
      </c>
      <c r="B176" s="1243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14">
        <v>46401</v>
      </c>
      <c r="B177" s="1243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14">
        <v>46402</v>
      </c>
      <c r="B178" s="1243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14">
        <v>46403</v>
      </c>
      <c r="B179" s="1243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1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1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E14" zoomScale="115" zoomScaleNormal="115" workbookViewId="0">
      <selection activeCell="K24" sqref="K2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59" t="s">
        <v>70</v>
      </c>
      <c r="C3" s="1459" t="s">
        <v>288</v>
      </c>
      <c r="D3" s="1459" t="s">
        <v>289</v>
      </c>
      <c r="E3" s="220" t="s">
        <v>292</v>
      </c>
      <c r="F3" s="220" t="s">
        <v>293</v>
      </c>
      <c r="G3" s="1330" t="s">
        <v>252</v>
      </c>
      <c r="H3" s="1331"/>
      <c r="I3" s="1331"/>
      <c r="J3" s="1332"/>
      <c r="K3" s="1471" t="s">
        <v>259</v>
      </c>
    </row>
    <row r="4" spans="2:20" x14ac:dyDescent="0.3">
      <c r="B4" s="1460"/>
      <c r="C4" s="1460"/>
      <c r="D4" s="1460"/>
      <c r="E4" s="221" t="s">
        <v>54</v>
      </c>
      <c r="F4" s="221" t="s">
        <v>294</v>
      </c>
      <c r="G4" s="1330" t="s">
        <v>265</v>
      </c>
      <c r="H4" s="1331"/>
      <c r="I4" s="1332"/>
      <c r="J4" s="131" t="s">
        <v>258</v>
      </c>
      <c r="K4" s="1471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61"/>
      <c r="C5" s="1461"/>
      <c r="D5" s="1461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71"/>
      <c r="O5" s="482" t="s">
        <v>480</v>
      </c>
      <c r="P5" s="147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26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26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26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68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69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69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70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398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399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399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399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399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400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68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69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69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69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69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69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69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69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70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465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466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466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466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466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67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68">
        <v>6</v>
      </c>
      <c r="Q34" s="897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69"/>
      <c r="Q35" s="897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69"/>
      <c r="Q36" s="897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69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69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69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69"/>
      <c r="Q40" s="898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69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70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5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5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5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5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5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5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8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8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8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8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8">
        <v>46284</v>
      </c>
      <c r="R53" s="1076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8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8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8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8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408">
        <v>9</v>
      </c>
      <c r="Q58" s="955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409"/>
      <c r="Q59" s="955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409"/>
      <c r="Q60" s="955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409"/>
      <c r="Q61" s="955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409"/>
      <c r="Q62" s="955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409"/>
      <c r="Q63" s="955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409"/>
      <c r="Q64" s="955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409"/>
      <c r="Q65" s="955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409"/>
      <c r="Q66" s="955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410"/>
      <c r="Q67" s="955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465">
        <v>10</v>
      </c>
      <c r="Q68" s="898">
        <v>46290</v>
      </c>
      <c r="R68" s="615"/>
      <c r="S68" s="615"/>
      <c r="T68" s="615"/>
    </row>
    <row r="69" spans="15:20" x14ac:dyDescent="0.3">
      <c r="O69" s="482" t="s">
        <v>534</v>
      </c>
      <c r="P69" s="1466"/>
      <c r="Q69" s="898">
        <v>46290</v>
      </c>
      <c r="R69" s="615"/>
      <c r="S69" s="615"/>
      <c r="T69" s="615"/>
    </row>
    <row r="70" spans="15:20" x14ac:dyDescent="0.3">
      <c r="O70" s="482" t="s">
        <v>535</v>
      </c>
      <c r="P70" s="1466"/>
      <c r="Q70" s="898">
        <v>46290</v>
      </c>
      <c r="R70" s="615"/>
      <c r="S70" s="615"/>
      <c r="T70" s="615"/>
    </row>
    <row r="71" spans="15:20" x14ac:dyDescent="0.3">
      <c r="O71" s="579" t="s">
        <v>480</v>
      </c>
      <c r="P71" s="1466"/>
      <c r="Q71" s="898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466"/>
      <c r="Q72" s="898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466"/>
      <c r="Q73" s="898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466"/>
      <c r="Q74" s="898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466"/>
      <c r="Q75" s="898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466"/>
      <c r="Q76" s="898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466"/>
      <c r="Q77" s="898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466"/>
      <c r="Q78" s="898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67"/>
      <c r="Q79" s="898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62">
        <v>11</v>
      </c>
      <c r="Q80" s="955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63"/>
      <c r="Q81" s="955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63"/>
      <c r="Q82" s="955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63"/>
      <c r="Q83" s="955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63"/>
      <c r="Q84" s="955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63"/>
      <c r="Q85" s="955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63"/>
      <c r="Q86" s="955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63"/>
      <c r="Q87" s="955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63"/>
      <c r="Q88" s="955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63"/>
      <c r="Q89" s="955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63"/>
      <c r="Q90" s="955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63"/>
      <c r="Q91" s="955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63"/>
      <c r="Q92" s="955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63"/>
      <c r="Q93" s="955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63"/>
      <c r="Q94" s="955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63"/>
      <c r="Q95" s="955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63"/>
      <c r="Q96" s="955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63"/>
      <c r="Q97" s="955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63"/>
      <c r="Q98" s="955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63"/>
      <c r="Q99" s="955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64"/>
      <c r="Q100" s="955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</mergeCells>
  <phoneticPr fontId="91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8" zoomScale="89" workbookViewId="0">
      <selection activeCell="O20" sqref="O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02" t="s">
        <v>562</v>
      </c>
      <c r="C2" s="1302"/>
      <c r="D2" s="1302"/>
      <c r="E2" s="1302"/>
      <c r="F2" s="1302"/>
      <c r="G2" s="1302"/>
      <c r="H2" s="1302"/>
      <c r="J2" s="1302" t="s">
        <v>563</v>
      </c>
      <c r="K2" s="1302"/>
      <c r="L2" s="1302"/>
      <c r="M2" s="1302"/>
      <c r="N2" s="1302"/>
      <c r="O2" s="1302"/>
      <c r="P2" s="1302"/>
      <c r="R2" s="1473" t="s">
        <v>564</v>
      </c>
      <c r="S2" s="1475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6" t="s">
        <v>565</v>
      </c>
      <c r="S3" s="957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8">
        <v>6</v>
      </c>
      <c r="S4" s="1030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473" t="s">
        <v>567</v>
      </c>
      <c r="S10" s="1474"/>
      <c r="T10" s="1475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476">
        <f>SUM(P4:P234,H4:H233)</f>
        <v>3975.42</v>
      </c>
      <c r="S11" s="1477"/>
      <c r="T11" s="1478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80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80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80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80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4" customFormat="1" x14ac:dyDescent="0.3">
      <c r="A21" s="1479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4" customFormat="1" x14ac:dyDescent="0.3">
      <c r="A22" s="1479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4" customFormat="1" x14ac:dyDescent="0.3">
      <c r="A23" s="1479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79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79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79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79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79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79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79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79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2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2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2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2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2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4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243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243">
        <v>0.21</v>
      </c>
      <c r="P48" s="6">
        <f t="shared" ref="P48:P49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243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"/>
      <c r="L50" s="13" t="s">
        <v>12</v>
      </c>
      <c r="M50" s="13"/>
      <c r="N50" s="6"/>
      <c r="O50" s="6"/>
      <c r="P50" s="6"/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"/>
      <c r="L51" s="13" t="s">
        <v>13</v>
      </c>
      <c r="M51" s="13"/>
      <c r="N51" s="6"/>
      <c r="O51" s="6"/>
      <c r="P51" s="6"/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1"/>
  <sheetViews>
    <sheetView topLeftCell="F1" zoomScale="72" zoomScaleNormal="85" workbookViewId="0">
      <pane ySplit="4" topLeftCell="A62" activePane="bottomLeft" state="frozen"/>
      <selection pane="bottomLeft" activeCell="P75" sqref="P75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17" t="s">
        <v>32</v>
      </c>
      <c r="I2" s="1217"/>
      <c r="J2" s="1217"/>
      <c r="K2" s="1217"/>
    </row>
    <row r="3" spans="1:92" ht="15" thickBot="1" x14ac:dyDescent="0.35"/>
    <row r="4" spans="1:92" ht="29.4" thickBot="1" x14ac:dyDescent="0.35">
      <c r="A4" s="585" t="s">
        <v>544</v>
      </c>
      <c r="B4" s="1218" t="s">
        <v>0</v>
      </c>
      <c r="C4" s="1219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8" t="s">
        <v>583</v>
      </c>
      <c r="AB4" s="925" t="s">
        <v>512</v>
      </c>
      <c r="AC4" s="721" t="s">
        <v>580</v>
      </c>
    </row>
    <row r="5" spans="1:92" ht="30.6" customHeight="1" thickBot="1" x14ac:dyDescent="0.35">
      <c r="A5" s="1220">
        <v>1</v>
      </c>
      <c r="B5" s="1221">
        <v>46265</v>
      </c>
      <c r="C5" s="1221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6">
        <v>1.135</v>
      </c>
      <c r="L5" s="877">
        <v>0.68</v>
      </c>
      <c r="M5" s="553">
        <f>H5*K5*G5</f>
        <v>30.116503140000003</v>
      </c>
      <c r="N5" s="1222">
        <f>SUM(M5:M6)</f>
        <v>95.90021999999999</v>
      </c>
      <c r="O5" s="553">
        <f t="shared" ref="O5:O11" si="1">M5/((720-R5)/60)</f>
        <v>2.8865657961661344</v>
      </c>
      <c r="P5" s="1222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244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6">
        <f t="shared" ref="AB5:AB49" si="5">W5*$AC$5</f>
        <v>72806646.340949997</v>
      </c>
      <c r="AC5" s="722">
        <v>2500000</v>
      </c>
      <c r="AE5" s="719"/>
      <c r="AG5" s="1282" t="s">
        <v>38</v>
      </c>
      <c r="AH5" s="1283"/>
      <c r="AI5" s="1283"/>
      <c r="AJ5" s="1284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20"/>
      <c r="B6" s="1221"/>
      <c r="C6" s="1221"/>
      <c r="D6" s="741" t="s">
        <v>441</v>
      </c>
      <c r="E6" s="741" t="s">
        <v>439</v>
      </c>
      <c r="F6" s="863" t="s">
        <v>13</v>
      </c>
      <c r="G6" s="812">
        <v>0.36</v>
      </c>
      <c r="H6" s="1097">
        <f>J6-H5</f>
        <v>98.859999999999985</v>
      </c>
      <c r="I6" s="553">
        <f t="shared" si="0"/>
        <v>8.2383333333333315</v>
      </c>
      <c r="J6" s="553">
        <v>215.7</v>
      </c>
      <c r="K6" s="876">
        <v>1.2350000000000001</v>
      </c>
      <c r="L6" s="877">
        <v>0.68</v>
      </c>
      <c r="M6" s="553">
        <f>(J6*K6*G6)-SUM(M5)</f>
        <v>65.783716859999984</v>
      </c>
      <c r="N6" s="1222"/>
      <c r="O6" s="553">
        <f t="shared" si="1"/>
        <v>5.4819764049999984</v>
      </c>
      <c r="P6" s="1222"/>
      <c r="Q6" s="553">
        <f t="shared" si="2"/>
        <v>720</v>
      </c>
      <c r="R6" s="553">
        <f>'Milling Down Time Hours'!G6</f>
        <v>0</v>
      </c>
      <c r="S6" s="1244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7">
        <f t="shared" si="5"/>
        <v>100155708.91934997</v>
      </c>
      <c r="AD6" s="719"/>
      <c r="AE6" s="719"/>
      <c r="AG6" s="699"/>
      <c r="AH6" s="706" t="s">
        <v>39</v>
      </c>
      <c r="AI6" s="720">
        <v>1190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20"/>
      <c r="B7" s="1221">
        <v>46266</v>
      </c>
      <c r="C7" s="1221"/>
      <c r="D7" s="741" t="s">
        <v>440</v>
      </c>
      <c r="E7" s="741" t="s">
        <v>439</v>
      </c>
      <c r="F7" s="863" t="s">
        <v>12</v>
      </c>
      <c r="G7" s="877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6">
        <v>1.2549999999999999</v>
      </c>
      <c r="L7" s="877">
        <v>0.7</v>
      </c>
      <c r="M7" s="553">
        <f>(J7*K7*G7)-SUM(M5:M6)</f>
        <v>78.8661855</v>
      </c>
      <c r="N7" s="1222">
        <f>SUM(M7:M8)</f>
        <v>196.41338000000002</v>
      </c>
      <c r="O7" s="553">
        <f t="shared" si="1"/>
        <v>6.5721821250000003</v>
      </c>
      <c r="P7" s="1222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244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7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20"/>
      <c r="B8" s="1221"/>
      <c r="C8" s="1221"/>
      <c r="D8" s="742" t="s">
        <v>441</v>
      </c>
      <c r="E8" s="742" t="s">
        <v>442</v>
      </c>
      <c r="F8" s="863" t="s">
        <v>13</v>
      </c>
      <c r="G8" s="877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6">
        <v>1.28</v>
      </c>
      <c r="L8" s="877">
        <v>0.7</v>
      </c>
      <c r="M8" s="553">
        <f>(K8*J8*G8)-(SUM(M5:M7))</f>
        <v>117.54719450000002</v>
      </c>
      <c r="N8" s="1222"/>
      <c r="O8" s="553">
        <f t="shared" si="1"/>
        <v>10.78414628440367</v>
      </c>
      <c r="P8" s="1222"/>
      <c r="Q8" s="553">
        <f t="shared" si="2"/>
        <v>654</v>
      </c>
      <c r="R8" s="553">
        <f>'Milling Down Time Hours'!G8</f>
        <v>66</v>
      </c>
      <c r="S8" s="1244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7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1.19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38">
        <v>2</v>
      </c>
      <c r="B9" s="1240">
        <v>46267</v>
      </c>
      <c r="C9" s="1240"/>
      <c r="D9" s="743" t="s">
        <v>440</v>
      </c>
      <c r="E9" s="743" t="s">
        <v>445</v>
      </c>
      <c r="F9" s="781" t="s">
        <v>12</v>
      </c>
      <c r="G9" s="878">
        <v>0.39</v>
      </c>
      <c r="H9" s="617">
        <f>J9</f>
        <v>215</v>
      </c>
      <c r="I9" s="485">
        <f t="shared" si="0"/>
        <v>21.5</v>
      </c>
      <c r="J9" s="617">
        <v>215</v>
      </c>
      <c r="K9" s="1099">
        <v>1.26</v>
      </c>
      <c r="L9" s="878">
        <v>0.72</v>
      </c>
      <c r="M9" s="485">
        <f>J9*K9*G9</f>
        <v>105.651</v>
      </c>
      <c r="N9" s="1241">
        <f>SUM(M9:M10)</f>
        <v>209.804</v>
      </c>
      <c r="O9" s="485">
        <f t="shared" si="1"/>
        <v>10.565099999999999</v>
      </c>
      <c r="P9" s="1241">
        <f>'Milling Down Time Hours'!Q7</f>
        <v>22</v>
      </c>
      <c r="Q9" s="485">
        <f t="shared" si="2"/>
        <v>600</v>
      </c>
      <c r="R9" s="934">
        <f>'Milling Down Time Hours'!G9</f>
        <v>120.00000000000001</v>
      </c>
      <c r="S9" s="1248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8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238"/>
      <c r="B10" s="1240"/>
      <c r="C10" s="1240"/>
      <c r="D10" s="743" t="s">
        <v>444</v>
      </c>
      <c r="E10" s="497"/>
      <c r="F10" s="781" t="s">
        <v>13</v>
      </c>
      <c r="G10" s="878">
        <v>0.4</v>
      </c>
      <c r="H10" s="617">
        <f>J10-H9</f>
        <v>198</v>
      </c>
      <c r="I10" s="485">
        <f t="shared" si="0"/>
        <v>16.5</v>
      </c>
      <c r="J10" s="617">
        <v>413</v>
      </c>
      <c r="K10" s="1099">
        <v>1.27</v>
      </c>
      <c r="L10" s="878">
        <v>0.72</v>
      </c>
      <c r="M10" s="485">
        <f>K10*J10*G10-SUM(M9)</f>
        <v>104.15300000000001</v>
      </c>
      <c r="N10" s="1241"/>
      <c r="O10" s="485">
        <f t="shared" si="1"/>
        <v>8.6794166666666666</v>
      </c>
      <c r="P10" s="1241"/>
      <c r="Q10" s="485">
        <f t="shared" si="2"/>
        <v>720</v>
      </c>
      <c r="R10" s="934">
        <f>'Milling Down Time Hours'!G10</f>
        <v>0</v>
      </c>
      <c r="S10" s="1248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8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238"/>
      <c r="B11" s="1240">
        <v>46268</v>
      </c>
      <c r="C11" s="1240"/>
      <c r="D11" s="743" t="s">
        <v>440</v>
      </c>
      <c r="E11" s="744" t="s">
        <v>471</v>
      </c>
      <c r="F11" s="781" t="s">
        <v>12</v>
      </c>
      <c r="G11" s="878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9">
        <v>1.2949999999999999</v>
      </c>
      <c r="L11" s="878">
        <v>0.71</v>
      </c>
      <c r="M11" s="485">
        <f>J11*K11*G11-SUM(M9:M10)</f>
        <v>90.338150000000013</v>
      </c>
      <c r="N11" s="1241">
        <f>SUM(M11:M12)</f>
        <v>90.338150000000013</v>
      </c>
      <c r="O11" s="485">
        <f t="shared" si="1"/>
        <v>7.5281791666666678</v>
      </c>
      <c r="P11" s="1241">
        <f>'Milling Down Time Hours'!Q8</f>
        <v>23</v>
      </c>
      <c r="Q11" s="485">
        <f t="shared" si="2"/>
        <v>720</v>
      </c>
      <c r="R11" s="934">
        <f>'Milling Down Time Hours'!G11</f>
        <v>0</v>
      </c>
      <c r="S11" s="1248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8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0.30481283422459887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238"/>
      <c r="B12" s="1242"/>
      <c r="C12" s="1242"/>
      <c r="D12" s="787" t="s">
        <v>444</v>
      </c>
      <c r="E12" s="788" t="s">
        <v>467</v>
      </c>
      <c r="F12" s="911" t="s">
        <v>13</v>
      </c>
      <c r="G12" s="892"/>
      <c r="H12" s="869"/>
      <c r="I12" s="554"/>
      <c r="J12" s="869"/>
      <c r="K12" s="869"/>
      <c r="L12" s="879"/>
      <c r="M12" s="554">
        <f t="shared" ref="M12:M74" si="7">H12*K12*G12</f>
        <v>0</v>
      </c>
      <c r="N12" s="1253"/>
      <c r="O12" s="554"/>
      <c r="P12" s="1253"/>
      <c r="Q12" s="554">
        <f t="shared" si="2"/>
        <v>660</v>
      </c>
      <c r="R12" s="960">
        <f>'Milling Down Time Hours'!G12</f>
        <v>60.000000000000007</v>
      </c>
      <c r="S12" s="125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11"/>
      <c r="AA12" s="1"/>
      <c r="AB12" s="929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362.72727272727263</v>
      </c>
      <c r="AJ12" s="726" t="s">
        <v>40</v>
      </c>
      <c r="AK12" s="7"/>
      <c r="AL12" s="111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39"/>
      <c r="B13" s="1254">
        <v>46269</v>
      </c>
      <c r="C13" s="1255"/>
      <c r="D13" s="1236" t="s">
        <v>484</v>
      </c>
      <c r="E13" s="730"/>
      <c r="F13" s="912" t="s">
        <v>12</v>
      </c>
      <c r="G13" s="893"/>
      <c r="H13" s="870"/>
      <c r="I13" s="795"/>
      <c r="J13" s="870"/>
      <c r="K13" s="870"/>
      <c r="L13" s="870"/>
      <c r="M13" s="795">
        <f t="shared" si="7"/>
        <v>0</v>
      </c>
      <c r="N13" s="795"/>
      <c r="O13" s="870">
        <v>0</v>
      </c>
      <c r="P13" s="795">
        <f>'Milling Down Time Hours'!Q9</f>
        <v>0</v>
      </c>
      <c r="Q13" s="795"/>
      <c r="R13" s="1251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9"/>
      <c r="AB13" s="929">
        <f t="shared" si="5"/>
        <v>0</v>
      </c>
      <c r="AG13" s="723"/>
      <c r="AH13" s="724" t="s">
        <v>49</v>
      </c>
      <c r="AI13" s="727">
        <f>(AI6-AI12)</f>
        <v>827.27272727272737</v>
      </c>
      <c r="AJ13" s="726" t="s">
        <v>40</v>
      </c>
      <c r="AK13" s="7"/>
      <c r="AL13" s="1205">
        <f>1.2*9</f>
        <v>10.799999999999999</v>
      </c>
    </row>
    <row r="14" spans="1:92" ht="16.2" thickBot="1" x14ac:dyDescent="0.35">
      <c r="A14" s="1239"/>
      <c r="B14" s="1256"/>
      <c r="C14" s="1257"/>
      <c r="D14" s="1237"/>
      <c r="E14" s="798"/>
      <c r="F14" s="913" t="s">
        <v>13</v>
      </c>
      <c r="G14" s="880"/>
      <c r="H14" s="871"/>
      <c r="I14" s="800"/>
      <c r="J14" s="871"/>
      <c r="K14" s="871"/>
      <c r="L14" s="880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252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20"/>
      <c r="AB14" s="929">
        <f t="shared" si="5"/>
        <v>0</v>
      </c>
      <c r="AG14" s="702"/>
      <c r="AH14" s="703"/>
      <c r="AI14" s="703"/>
      <c r="AJ14" s="704"/>
      <c r="AK14" s="7"/>
      <c r="AL14" s="1111"/>
    </row>
    <row r="15" spans="1:92" x14ac:dyDescent="0.3">
      <c r="A15" s="745"/>
      <c r="B15" s="1245">
        <v>46270</v>
      </c>
      <c r="C15" s="1245"/>
      <c r="D15" s="790"/>
      <c r="E15" s="790" t="s">
        <v>485</v>
      </c>
      <c r="F15" s="909" t="s">
        <v>12</v>
      </c>
      <c r="G15" s="865"/>
      <c r="H15" s="865"/>
      <c r="I15" s="792"/>
      <c r="J15" s="865"/>
      <c r="K15" s="865"/>
      <c r="L15" s="881"/>
      <c r="M15" s="792">
        <f t="shared" si="7"/>
        <v>0</v>
      </c>
      <c r="N15" s="865"/>
      <c r="O15" s="865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9"/>
      <c r="AB15" s="929">
        <f t="shared" si="5"/>
        <v>0</v>
      </c>
      <c r="AL15" s="1111"/>
      <c r="AM15" s="1111"/>
    </row>
    <row r="16" spans="1:92" x14ac:dyDescent="0.3">
      <c r="A16" s="1220">
        <v>3</v>
      </c>
      <c r="B16" s="1221">
        <v>46270</v>
      </c>
      <c r="C16" s="1221"/>
      <c r="D16" s="544" t="s">
        <v>441</v>
      </c>
      <c r="E16" s="570" t="s">
        <v>486</v>
      </c>
      <c r="F16" s="863" t="s">
        <v>13</v>
      </c>
      <c r="G16" s="877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7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244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7">
        <f t="shared" si="5"/>
        <v>71509192.454375014</v>
      </c>
    </row>
    <row r="17" spans="1:32" x14ac:dyDescent="0.3">
      <c r="A17" s="1220"/>
      <c r="B17" s="1221">
        <v>46271</v>
      </c>
      <c r="C17" s="1221"/>
      <c r="D17" s="599" t="s">
        <v>441</v>
      </c>
      <c r="E17" s="599" t="s">
        <v>506</v>
      </c>
      <c r="F17" s="863" t="s">
        <v>12</v>
      </c>
      <c r="G17" s="877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7">
        <v>0.65</v>
      </c>
      <c r="M17" s="553">
        <f>J17*K17*G17-SUM(M16)-'Au Cal Leaching Tank'!$U$10</f>
        <v>53.646499999999968</v>
      </c>
      <c r="N17" s="1222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220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7">
        <f t="shared" si="5"/>
        <v>121017562.91666658</v>
      </c>
      <c r="AE17" s="43"/>
      <c r="AF17" s="7"/>
    </row>
    <row r="18" spans="1:32" x14ac:dyDescent="0.3">
      <c r="A18" s="1220"/>
      <c r="B18" s="1221"/>
      <c r="C18" s="1221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7">
        <v>0.65</v>
      </c>
      <c r="M18" s="553">
        <f>J18*K18*G18-SUM(M16:M17)-'Au Cal Leaching Tank'!$U$10</f>
        <v>119.67800000000005</v>
      </c>
      <c r="N18" s="1222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220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7">
        <f t="shared" si="5"/>
        <v>243644461.66666678</v>
      </c>
      <c r="AC18" s="117"/>
    </row>
    <row r="19" spans="1:32" x14ac:dyDescent="0.3">
      <c r="A19" s="1220"/>
      <c r="B19" s="1221">
        <v>46272</v>
      </c>
      <c r="C19" s="1221"/>
      <c r="D19" s="599" t="s">
        <v>169</v>
      </c>
      <c r="E19" s="746" t="s">
        <v>518</v>
      </c>
      <c r="F19" s="863" t="s">
        <v>12</v>
      </c>
      <c r="G19" s="877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7">
        <v>0.73</v>
      </c>
      <c r="M19" s="553">
        <f>J19*K19*G19-SUM(M16:M18)-'Au Cal Leaching Tank'!$U$10</f>
        <v>127.33200000000005</v>
      </c>
      <c r="N19" s="1246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220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7">
        <f t="shared" si="5"/>
        <v>290316960.00000006</v>
      </c>
    </row>
    <row r="20" spans="1:32" x14ac:dyDescent="0.3">
      <c r="A20" s="1238">
        <v>4</v>
      </c>
      <c r="B20" s="1240">
        <v>46272</v>
      </c>
      <c r="C20" s="1240"/>
      <c r="D20" s="548" t="s">
        <v>509</v>
      </c>
      <c r="E20" s="623" t="s">
        <v>549</v>
      </c>
      <c r="F20" s="781" t="s">
        <v>13</v>
      </c>
      <c r="G20" s="878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8">
        <v>0.73</v>
      </c>
      <c r="M20" s="485">
        <f>J20*K20*G20-'Au Cal Leaching Tank'!$U$11</f>
        <v>58.259900000000002</v>
      </c>
      <c r="N20" s="1247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48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8">
        <f t="shared" si="5"/>
        <v>77242917.416666687</v>
      </c>
    </row>
    <row r="21" spans="1:32" x14ac:dyDescent="0.3">
      <c r="A21" s="1238"/>
      <c r="B21" s="1240">
        <v>46273</v>
      </c>
      <c r="C21" s="1240"/>
      <c r="D21" s="549" t="s">
        <v>169</v>
      </c>
      <c r="E21" s="549" t="s">
        <v>519</v>
      </c>
      <c r="F21" s="781" t="s">
        <v>12</v>
      </c>
      <c r="G21" s="878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8">
        <v>0.75</v>
      </c>
      <c r="M21" s="485">
        <f>J21*K21*G21-'Au Cal Leaching Tank'!$U$11-SUM(M20)</f>
        <v>106.05519999999997</v>
      </c>
      <c r="N21" s="124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48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8">
        <f t="shared" si="5"/>
        <v>171455906.66666663</v>
      </c>
    </row>
    <row r="22" spans="1:32" x14ac:dyDescent="0.3">
      <c r="A22" s="1238"/>
      <c r="B22" s="1240"/>
      <c r="C22" s="1240"/>
      <c r="D22" s="747" t="s">
        <v>523</v>
      </c>
      <c r="E22" s="748" t="s">
        <v>529</v>
      </c>
      <c r="F22" s="781" t="s">
        <v>13</v>
      </c>
      <c r="G22" s="878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8">
        <v>0.75</v>
      </c>
      <c r="M22" s="485">
        <f>J22*K22*G22-'Au Cal Leaching Tank'!$U$11-SUM(M20:M21)</f>
        <v>87.771600000000035</v>
      </c>
      <c r="N22" s="1249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48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8">
        <f t="shared" si="5"/>
        <v>139337415.00000003</v>
      </c>
    </row>
    <row r="23" spans="1:32" ht="28.8" x14ac:dyDescent="0.3">
      <c r="A23" s="1238"/>
      <c r="B23" s="1240">
        <v>46274</v>
      </c>
      <c r="C23" s="1240"/>
      <c r="D23" s="748" t="s">
        <v>169</v>
      </c>
      <c r="E23" s="749" t="s">
        <v>521</v>
      </c>
      <c r="F23" s="781" t="s">
        <v>12</v>
      </c>
      <c r="G23" s="878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8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48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8">
        <f t="shared" si="5"/>
        <v>96029968.499999955</v>
      </c>
    </row>
    <row r="24" spans="1:32" x14ac:dyDescent="0.3">
      <c r="A24" s="745"/>
      <c r="B24" s="1243">
        <v>46274</v>
      </c>
      <c r="C24" s="1243"/>
      <c r="D24" s="750" t="s">
        <v>523</v>
      </c>
      <c r="E24" s="751" t="s">
        <v>548</v>
      </c>
      <c r="F24" s="745" t="s">
        <v>13</v>
      </c>
      <c r="G24" s="882"/>
      <c r="H24" s="233"/>
      <c r="I24" s="154"/>
      <c r="J24" s="233"/>
      <c r="K24" s="233"/>
      <c r="L24" s="882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9">
        <f t="shared" si="5"/>
        <v>0</v>
      </c>
    </row>
    <row r="25" spans="1:32" x14ac:dyDescent="0.3">
      <c r="A25" s="1220">
        <v>5</v>
      </c>
      <c r="B25" s="1221">
        <v>46275</v>
      </c>
      <c r="C25" s="1221"/>
      <c r="D25" s="575" t="s">
        <v>169</v>
      </c>
      <c r="E25" s="576" t="s">
        <v>522</v>
      </c>
      <c r="F25" s="863" t="s">
        <v>12</v>
      </c>
      <c r="G25" s="877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7">
        <v>0.75</v>
      </c>
      <c r="M25" s="553">
        <f>J25*K25*G25-'Au Cal Leaching Tank'!$U$12</f>
        <v>123.06580000000004</v>
      </c>
      <c r="N25" s="1222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244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7">
        <f t="shared" si="5"/>
        <v>224595085.00000006</v>
      </c>
    </row>
    <row r="26" spans="1:32" x14ac:dyDescent="0.3">
      <c r="A26" s="1220"/>
      <c r="B26" s="1221"/>
      <c r="C26" s="1221"/>
      <c r="D26" s="577" t="s">
        <v>541</v>
      </c>
      <c r="E26" s="578"/>
      <c r="F26" s="863" t="s">
        <v>13</v>
      </c>
      <c r="G26" s="877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7">
        <v>0.75</v>
      </c>
      <c r="M26" s="553">
        <f>(J26*K26*G26-'Au Cal Leaching Tank'!$U$12)-M25</f>
        <v>139.02199999999993</v>
      </c>
      <c r="N26" s="1247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244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7">
        <f t="shared" si="5"/>
        <v>179338379.99999991</v>
      </c>
    </row>
    <row r="27" spans="1:32" ht="28.8" x14ac:dyDescent="0.3">
      <c r="A27" s="1220"/>
      <c r="B27" s="1221">
        <v>46276</v>
      </c>
      <c r="C27" s="1221"/>
      <c r="D27" s="577" t="s">
        <v>540</v>
      </c>
      <c r="E27" s="838" t="s">
        <v>554</v>
      </c>
      <c r="F27" s="863" t="s">
        <v>12</v>
      </c>
      <c r="G27" s="877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7">
        <v>0.75</v>
      </c>
      <c r="M27" s="553">
        <f>(J27*K27*G27-'Au Cal Leaching Tank'!$U$12)-SUM(M25:M26)</f>
        <v>4.8980000000000814</v>
      </c>
      <c r="N27" s="1222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244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7">
        <f t="shared" si="5"/>
        <v>6318420.0000001052</v>
      </c>
      <c r="AD27" s="444"/>
    </row>
    <row r="28" spans="1:32" x14ac:dyDescent="0.3">
      <c r="A28" s="781"/>
      <c r="B28" s="1240">
        <v>46276</v>
      </c>
      <c r="C28" s="1240"/>
      <c r="D28" s="786" t="s">
        <v>540</v>
      </c>
      <c r="E28" s="972" t="s">
        <v>582</v>
      </c>
      <c r="F28" s="781" t="s">
        <v>12</v>
      </c>
      <c r="G28" s="878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8">
        <v>0.75</v>
      </c>
      <c r="M28" s="485">
        <f>(J28*K28*G28)-'Au Cal Leaching Tank'!$U$13</f>
        <v>60.108412500000014</v>
      </c>
      <c r="N28" s="1222"/>
      <c r="O28" s="888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248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8">
        <f t="shared" si="5"/>
        <v>214687213.31250003</v>
      </c>
      <c r="AD28" s="444"/>
    </row>
    <row r="29" spans="1:32" ht="28.8" x14ac:dyDescent="0.3">
      <c r="A29" s="1238">
        <v>6</v>
      </c>
      <c r="B29" s="1240">
        <v>46276</v>
      </c>
      <c r="C29" s="1240"/>
      <c r="D29" s="487" t="s">
        <v>550</v>
      </c>
      <c r="E29" s="837" t="s">
        <v>547</v>
      </c>
      <c r="F29" s="781" t="s">
        <v>13</v>
      </c>
      <c r="G29" s="878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8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248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8">
        <f t="shared" si="5"/>
        <v>33202181.250000007</v>
      </c>
    </row>
    <row r="30" spans="1:32" ht="28.8" x14ac:dyDescent="0.3">
      <c r="A30" s="1238"/>
      <c r="B30" s="1240">
        <v>46277</v>
      </c>
      <c r="C30" s="1240"/>
      <c r="D30" s="623" t="s">
        <v>551</v>
      </c>
      <c r="E30" s="752" t="s">
        <v>552</v>
      </c>
      <c r="F30" s="781" t="s">
        <v>12</v>
      </c>
      <c r="G30" s="878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8">
        <v>0.75</v>
      </c>
      <c r="M30" s="485">
        <f>(J30*K30*G30)-'Au Cal Leaching Tank'!$U$13-SUM(M28:M29)</f>
        <v>120.49319999999999</v>
      </c>
      <c r="N30" s="124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248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8">
        <f t="shared" si="5"/>
        <v>91976475.999999985</v>
      </c>
    </row>
    <row r="31" spans="1:32" x14ac:dyDescent="0.3">
      <c r="A31" s="1238"/>
      <c r="B31" s="1240"/>
      <c r="C31" s="1240"/>
      <c r="D31" s="753" t="s">
        <v>570</v>
      </c>
      <c r="E31" s="753" t="s">
        <v>571</v>
      </c>
      <c r="F31" s="781" t="s">
        <v>13</v>
      </c>
      <c r="G31" s="878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8">
        <v>0.75</v>
      </c>
      <c r="M31" s="485">
        <f>(J31*K31*G31)-'Au Cal Leaching Tank'!$U$13-SUM(M28:M30)</f>
        <v>46.31880000000001</v>
      </c>
      <c r="N31" s="1241"/>
      <c r="O31" s="485" t="str">
        <f t="shared" ref="O31:O42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248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8">
        <f t="shared" si="5"/>
        <v>35356684.000000007</v>
      </c>
      <c r="AC31" s="136"/>
    </row>
    <row r="32" spans="1:32" x14ac:dyDescent="0.3">
      <c r="A32" s="1226"/>
      <c r="B32" s="1243">
        <v>46278</v>
      </c>
      <c r="C32" s="1243"/>
      <c r="D32" s="754" t="s">
        <v>572</v>
      </c>
      <c r="E32" s="754" t="s">
        <v>571</v>
      </c>
      <c r="F32" s="745" t="s">
        <v>12</v>
      </c>
      <c r="G32" s="894"/>
      <c r="H32" s="233"/>
      <c r="I32" s="154"/>
      <c r="J32" s="233"/>
      <c r="K32" s="233"/>
      <c r="L32" s="882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9">
        <f t="shared" si="5"/>
        <v>0</v>
      </c>
    </row>
    <row r="33" spans="1:33" x14ac:dyDescent="0.3">
      <c r="A33" s="1227"/>
      <c r="B33" s="1243">
        <v>46278</v>
      </c>
      <c r="C33" s="1243"/>
      <c r="D33" s="754" t="s">
        <v>572</v>
      </c>
      <c r="E33" s="754" t="s">
        <v>571</v>
      </c>
      <c r="F33" s="745" t="s">
        <v>13</v>
      </c>
      <c r="G33" s="233"/>
      <c r="H33" s="233"/>
      <c r="I33" s="872"/>
      <c r="J33" s="233"/>
      <c r="K33" s="233"/>
      <c r="L33" s="233"/>
      <c r="M33" s="872"/>
      <c r="N33" s="233"/>
      <c r="O33" s="872"/>
      <c r="P33" s="233"/>
      <c r="Q33" s="872"/>
      <c r="R33" s="233"/>
      <c r="S33" s="13"/>
      <c r="T33" s="6"/>
      <c r="U33" s="6"/>
      <c r="V33" s="6"/>
      <c r="W33" s="6"/>
      <c r="X33" s="13"/>
      <c r="Y33" s="13"/>
      <c r="Z33" s="745"/>
      <c r="AB33" s="929">
        <f t="shared" si="5"/>
        <v>0</v>
      </c>
    </row>
    <row r="34" spans="1:33" x14ac:dyDescent="0.3">
      <c r="B34" s="1277">
        <v>46279</v>
      </c>
      <c r="C34" s="1278"/>
      <c r="D34" s="754" t="s">
        <v>572</v>
      </c>
      <c r="E34" s="754" t="s">
        <v>571</v>
      </c>
      <c r="F34" s="745" t="s">
        <v>12</v>
      </c>
      <c r="G34" s="894"/>
      <c r="H34" s="233"/>
      <c r="I34" s="233"/>
      <c r="J34" s="233"/>
      <c r="K34" s="233"/>
      <c r="L34" s="882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9">
        <f t="shared" si="5"/>
        <v>0</v>
      </c>
    </row>
    <row r="35" spans="1:33" ht="15" thickBot="1" x14ac:dyDescent="0.35">
      <c r="A35" s="1235">
        <v>7</v>
      </c>
      <c r="B35" s="1279">
        <v>46279</v>
      </c>
      <c r="C35" s="1280"/>
      <c r="D35" s="755" t="s">
        <v>169</v>
      </c>
      <c r="E35" s="756" t="s">
        <v>581</v>
      </c>
      <c r="F35" s="863" t="s">
        <v>13</v>
      </c>
      <c r="G35" s="877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7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262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8">
        <f t="shared" si="5"/>
        <v>126415465.03999998</v>
      </c>
      <c r="AC35" s="10"/>
    </row>
    <row r="36" spans="1:33" x14ac:dyDescent="0.3">
      <c r="A36" s="1235"/>
      <c r="B36" s="1273">
        <v>46280</v>
      </c>
      <c r="C36" s="1274"/>
      <c r="D36" s="816" t="s">
        <v>523</v>
      </c>
      <c r="E36" s="816" t="s">
        <v>590</v>
      </c>
      <c r="F36" s="914" t="s">
        <v>12</v>
      </c>
      <c r="G36" s="877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7">
        <v>0.75</v>
      </c>
      <c r="M36" s="553">
        <f>(J36*K36*G36)-'Au Cal Leaching Tank'!$U$14-SUM(M35)</f>
        <v>81.933325925999952</v>
      </c>
      <c r="N36" s="1222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263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8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235"/>
      <c r="B37" s="1275"/>
      <c r="C37" s="1276"/>
      <c r="D37" s="769" t="s">
        <v>516</v>
      </c>
      <c r="E37" s="836" t="s">
        <v>630</v>
      </c>
      <c r="F37" s="915" t="s">
        <v>13</v>
      </c>
      <c r="G37" s="895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7">
        <v>0.75</v>
      </c>
      <c r="M37" s="553">
        <f>(J37*K37*G37)-'Au Cal Leaching Tank'!$U$14-SUM(M35:M36)</f>
        <v>84.15322978100005</v>
      </c>
      <c r="N37" s="1222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264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8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234">
        <v>8</v>
      </c>
      <c r="B38" s="1269">
        <v>46281</v>
      </c>
      <c r="C38" s="1270"/>
      <c r="D38" s="487" t="s">
        <v>626</v>
      </c>
      <c r="E38" s="826" t="s">
        <v>592</v>
      </c>
      <c r="F38" s="916" t="s">
        <v>12</v>
      </c>
      <c r="G38" s="896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8">
        <v>0.75</v>
      </c>
      <c r="M38" s="884">
        <f>(J38*K38*G38)-'Au Cal Leaching Tank'!$U$15</f>
        <v>117.10293023999996</v>
      </c>
      <c r="N38" s="1250">
        <f>SUM(M38:M39)</f>
        <v>171.64785532499997</v>
      </c>
      <c r="O38" s="532">
        <f t="shared" si="15"/>
        <v>9.7585775199999976</v>
      </c>
      <c r="P38" s="934">
        <f t="shared" si="19"/>
        <v>12</v>
      </c>
      <c r="Q38" s="485">
        <f t="shared" si="20"/>
        <v>720</v>
      </c>
      <c r="R38" s="485">
        <f>'Milling Down Time Hours'!G37</f>
        <v>0</v>
      </c>
      <c r="S38" s="1250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8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234"/>
      <c r="B39" s="1271"/>
      <c r="C39" s="1272"/>
      <c r="D39" s="826" t="s">
        <v>598</v>
      </c>
      <c r="E39" s="826" t="s">
        <v>599</v>
      </c>
      <c r="F39" s="911" t="s">
        <v>13</v>
      </c>
      <c r="G39" s="896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8">
        <v>0.75</v>
      </c>
      <c r="M39" s="884">
        <f>(J39*K39*G39)-'Au Cal Leaching Tank'!$U$15-SUM(M38)</f>
        <v>54.544925085000003</v>
      </c>
      <c r="N39" s="1259"/>
      <c r="O39" s="532">
        <f>IFERROR(M39/P39,"")</f>
        <v>4.9888650992378052</v>
      </c>
      <c r="P39" s="934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258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8">
        <f t="shared" si="5"/>
        <v>80181039.874949992</v>
      </c>
      <c r="AE39" s="1">
        <v>70</v>
      </c>
    </row>
    <row r="40" spans="1:33" ht="37.200000000000003" customHeight="1" thickBot="1" x14ac:dyDescent="0.35">
      <c r="A40" s="1234"/>
      <c r="B40" s="1269">
        <v>46282</v>
      </c>
      <c r="C40" s="1270"/>
      <c r="D40" s="487" t="s">
        <v>626</v>
      </c>
      <c r="E40" s="921" t="s">
        <v>627</v>
      </c>
      <c r="F40" s="916" t="s">
        <v>12</v>
      </c>
      <c r="G40" s="878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8">
        <v>0.75</v>
      </c>
      <c r="M40" s="884">
        <f>(J40*K40*G40)-'Au Cal Leaching Tank'!$U$15-SUM(M38:M39)</f>
        <v>115.12942664999997</v>
      </c>
      <c r="N40" s="1253">
        <f>SUM(M40:M41)</f>
        <v>194.06992673100001</v>
      </c>
      <c r="O40" s="532">
        <f>IFERROR(M40/P40,"")</f>
        <v>9.594118887499997</v>
      </c>
      <c r="P40" s="934">
        <f t="shared" si="19"/>
        <v>12</v>
      </c>
      <c r="Q40" s="554">
        <f t="shared" si="20"/>
        <v>720</v>
      </c>
      <c r="R40" s="554">
        <f>'Milling Down Time Hours'!G39</f>
        <v>0</v>
      </c>
      <c r="S40" s="1258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8">
        <f t="shared" si="5"/>
        <v>176819611.09662494</v>
      </c>
      <c r="AC40" s="136"/>
      <c r="AE40" s="1">
        <v>60</v>
      </c>
    </row>
    <row r="41" spans="1:33" ht="29.4" thickBot="1" x14ac:dyDescent="0.35">
      <c r="A41" s="1234"/>
      <c r="B41" s="1271"/>
      <c r="C41" s="1272"/>
      <c r="D41" s="946" t="s">
        <v>598</v>
      </c>
      <c r="E41" s="959" t="s">
        <v>641</v>
      </c>
      <c r="F41" s="947" t="s">
        <v>13</v>
      </c>
      <c r="G41" s="937">
        <v>0.34</v>
      </c>
      <c r="H41" s="934">
        <f>J41-'Au Cal Leaching Tank'!$T$15-SUM(H38:H40)</f>
        <v>215.69916000000012</v>
      </c>
      <c r="I41" s="934">
        <f t="shared" ref="I41:I43" si="21">H41/((720-R41)/60)</f>
        <v>17.974930000000011</v>
      </c>
      <c r="J41" s="934">
        <f t="shared" si="18"/>
        <v>970.64621999999997</v>
      </c>
      <c r="K41" s="450">
        <v>1.22</v>
      </c>
      <c r="L41" s="937">
        <v>0.75</v>
      </c>
      <c r="M41" s="884">
        <f>(J41*K41*G41)-'Au Cal Leaching Tank'!$U$15-SUM(M38:M40)</f>
        <v>78.940500081000039</v>
      </c>
      <c r="N41" s="1281"/>
      <c r="O41" s="532">
        <f>IFERROR(M41/P41,"")</f>
        <v>6.5783750067500035</v>
      </c>
      <c r="P41" s="934">
        <f t="shared" si="19"/>
        <v>12</v>
      </c>
      <c r="Q41" s="554">
        <f t="shared" si="20"/>
        <v>720</v>
      </c>
      <c r="R41" s="554">
        <f>'Milling Down Time Hours'!G40</f>
        <v>0</v>
      </c>
      <c r="S41" s="1259"/>
      <c r="T41" s="978">
        <f>AVERAGE('LT Ball Mill'!F85:F87)</f>
        <v>0.68533333333333335</v>
      </c>
      <c r="U41" s="978">
        <f>AVERAGE('LT Ball Mill'!G85:G87)</f>
        <v>0.55000000000000004</v>
      </c>
      <c r="V41" s="978">
        <f>AVERAGE('LT Ball Mill'!H85:H87)</f>
        <v>9.6166666666666671</v>
      </c>
      <c r="W41" s="979">
        <f t="shared" si="3"/>
        <v>54.10055605551203</v>
      </c>
      <c r="X41" s="934">
        <f t="shared" si="6"/>
        <v>43.417275044550024</v>
      </c>
      <c r="Y41" s="934">
        <f t="shared" si="4"/>
        <v>759.14447577895044</v>
      </c>
      <c r="Z41" s="980">
        <v>10.8</v>
      </c>
      <c r="AB41" s="928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233">
        <v>9</v>
      </c>
      <c r="B42" s="1265">
        <v>46283</v>
      </c>
      <c r="C42" s="1266"/>
      <c r="D42" s="667" t="s">
        <v>646</v>
      </c>
      <c r="E42" s="667" t="s">
        <v>645</v>
      </c>
      <c r="F42" s="961" t="s">
        <v>12</v>
      </c>
      <c r="G42" s="962">
        <v>0.34</v>
      </c>
      <c r="H42" s="965">
        <f>J42-'Au Cal Leaching Tank'!$T$18</f>
        <v>323.54831999999988</v>
      </c>
      <c r="I42" s="965">
        <f t="shared" si="21"/>
        <v>35.619998532110074</v>
      </c>
      <c r="J42" s="965">
        <f t="shared" si="18"/>
        <v>431.3983199999999</v>
      </c>
      <c r="K42" s="963">
        <v>1.22</v>
      </c>
      <c r="L42" s="962">
        <v>0.75</v>
      </c>
      <c r="M42" s="964">
        <f>(J42*K42*G42)-'Au Cal Leaching Tank'!$U$16</f>
        <v>135.87951813599997</v>
      </c>
      <c r="N42" s="1210">
        <f>SUM(M42:M43)</f>
        <v>229.75179256799998</v>
      </c>
      <c r="O42" s="966">
        <f t="shared" si="15"/>
        <v>14.959213005798162</v>
      </c>
      <c r="P42" s="965">
        <f t="shared" si="19"/>
        <v>9.0833333333333339</v>
      </c>
      <c r="Q42" s="977">
        <f t="shared" si="20"/>
        <v>545</v>
      </c>
      <c r="R42" s="965">
        <f>'Milling Down Time Hours'!G41</f>
        <v>175</v>
      </c>
      <c r="S42" s="1210">
        <f>SUM(M42:M45)</f>
        <v>472.85193585999997</v>
      </c>
      <c r="T42" s="1001">
        <f>AVERAGE('LT Ball Mill'!F88:F90)</f>
        <v>0.7679999999999999</v>
      </c>
      <c r="U42" s="1001">
        <f>AVERAGE('LT Ball Mill'!G88:G90)</f>
        <v>0.53666666666666674</v>
      </c>
      <c r="V42" s="1001">
        <f>AVERAGE('LT Ball Mill'!H88:H90)</f>
        <v>12.049999999999999</v>
      </c>
      <c r="W42" s="967">
        <f t="shared" si="3"/>
        <v>104.35546992844796</v>
      </c>
      <c r="X42" s="965">
        <f t="shared" si="6"/>
        <v>72.922008066319989</v>
      </c>
      <c r="Y42" s="965">
        <f t="shared" si="4"/>
        <v>1637.3481935387995</v>
      </c>
      <c r="Z42" s="968">
        <v>4.8</v>
      </c>
      <c r="AB42" s="928">
        <f t="shared" si="5"/>
        <v>260888674.8211199</v>
      </c>
      <c r="AE42" s="1">
        <v>60</v>
      </c>
    </row>
    <row r="43" spans="1:33" ht="15" thickBot="1" x14ac:dyDescent="0.35">
      <c r="A43" s="1233"/>
      <c r="B43" s="1267"/>
      <c r="C43" s="1268"/>
      <c r="D43" s="986" t="s">
        <v>598</v>
      </c>
      <c r="E43" s="976" t="s">
        <v>644</v>
      </c>
      <c r="F43" s="970" t="s">
        <v>13</v>
      </c>
      <c r="G43" s="962">
        <v>0.36</v>
      </c>
      <c r="H43" s="965">
        <f>J43-'Au Cal Leaching Tank'!$T$18-SUM(H42)</f>
        <v>179.74930000000006</v>
      </c>
      <c r="I43" s="965">
        <f t="shared" si="21"/>
        <v>14.979108333333338</v>
      </c>
      <c r="J43" s="965">
        <f>3.14*Z43*((10.7/2)^2)</f>
        <v>611.14761999999996</v>
      </c>
      <c r="K43" s="963">
        <v>1.24</v>
      </c>
      <c r="L43" s="962">
        <v>0.75</v>
      </c>
      <c r="M43" s="964">
        <f>(J43*K43*G43)-'Au Cal Leaching Tank'!$U$16-SUM(M42)</f>
        <v>93.872274432000012</v>
      </c>
      <c r="N43" s="1260"/>
      <c r="O43" s="966">
        <f t="shared" ref="O43:O49" si="22">IFERROR(M43/P43,"")</f>
        <v>7.8226895360000013</v>
      </c>
      <c r="P43" s="965">
        <f t="shared" ref="P43:P45" si="23">(720-R43)/60</f>
        <v>12</v>
      </c>
      <c r="Q43" s="965">
        <f t="shared" si="20"/>
        <v>720</v>
      </c>
      <c r="R43" s="965">
        <f>'Milling Down Time Hours'!G42</f>
        <v>0</v>
      </c>
      <c r="S43" s="1261"/>
      <c r="T43" s="971">
        <f>AVERAGE('LT Ball Mill'!F91:F93)</f>
        <v>0.51666666666666672</v>
      </c>
      <c r="U43" s="971">
        <f>AVERAGE('LT Ball Mill'!G91:G93)</f>
        <v>0.71666666666666667</v>
      </c>
      <c r="V43" s="971">
        <f>AVERAGE('LT Ball Mill'!H91:H93)</f>
        <v>11.409999999999998</v>
      </c>
      <c r="W43" s="967">
        <f t="shared" si="3"/>
        <v>48.500675123200011</v>
      </c>
      <c r="X43" s="965">
        <f t="shared" si="6"/>
        <v>67.275130009600005</v>
      </c>
      <c r="Y43" s="965">
        <f t="shared" si="4"/>
        <v>1071.0826512691199</v>
      </c>
      <c r="Z43" s="968">
        <v>6.8</v>
      </c>
      <c r="AB43" s="928">
        <f t="shared" si="5"/>
        <v>121251687.80800003</v>
      </c>
      <c r="AE43" s="1">
        <v>72</v>
      </c>
    </row>
    <row r="44" spans="1:33" ht="15" thickBot="1" x14ac:dyDescent="0.35">
      <c r="A44" s="1233"/>
      <c r="B44" s="1265">
        <v>46284</v>
      </c>
      <c r="C44" s="1266"/>
      <c r="D44" s="667" t="s">
        <v>646</v>
      </c>
      <c r="E44" s="667" t="s">
        <v>644</v>
      </c>
      <c r="F44" s="961" t="s">
        <v>12</v>
      </c>
      <c r="G44" s="962">
        <v>0.35</v>
      </c>
      <c r="H44" s="965">
        <f>J44-'Au Cal Leaching Tank'!$T$18-SUM(H43)</f>
        <v>575.19733999999971</v>
      </c>
      <c r="I44" s="965">
        <f>H44/((720-R44)/60)</f>
        <v>47.93311166666664</v>
      </c>
      <c r="J44" s="965">
        <f>3.14*Z44*((10.7/2)^2)</f>
        <v>862.7966399999998</v>
      </c>
      <c r="K44" s="963">
        <v>1.23</v>
      </c>
      <c r="L44" s="962">
        <v>0.75</v>
      </c>
      <c r="M44" s="964">
        <f>(J44*K44*G44)-'Au Cal Leaching Tank'!$U$16-SUM(M42:M43)</f>
        <v>98.617655951999893</v>
      </c>
      <c r="N44" s="1210">
        <f>SUM(M44:M45)</f>
        <v>243.10014329199998</v>
      </c>
      <c r="O44" s="966">
        <f t="shared" si="22"/>
        <v>8.2181379959999905</v>
      </c>
      <c r="P44" s="965">
        <f t="shared" si="23"/>
        <v>12</v>
      </c>
      <c r="Q44" s="965">
        <f t="shared" si="20"/>
        <v>720</v>
      </c>
      <c r="R44" s="965">
        <f>'Milling Down Time Hours'!G43</f>
        <v>0</v>
      </c>
      <c r="S44" s="1261"/>
      <c r="T44" s="1001">
        <f>AVERAGE('LT Ball Mill'!F94:F96)</f>
        <v>0.59099999999999997</v>
      </c>
      <c r="U44" s="1001">
        <f>AVERAGE('LT Ball Mill'!G94:G96)</f>
        <v>0.96666666666666679</v>
      </c>
      <c r="V44" s="1001">
        <f>AVERAGE('LT Ball Mill'!H94:H96)</f>
        <v>16.586666666666662</v>
      </c>
      <c r="W44" s="967">
        <f t="shared" si="3"/>
        <v>58.283034667631931</v>
      </c>
      <c r="X44" s="965">
        <f t="shared" si="6"/>
        <v>95.330400753599903</v>
      </c>
      <c r="Y44" s="965">
        <f t="shared" si="4"/>
        <v>1635.7381867238378</v>
      </c>
      <c r="Z44" s="968">
        <v>9.6</v>
      </c>
      <c r="AB44" s="928">
        <f t="shared" si="5"/>
        <v>145707586.66907984</v>
      </c>
      <c r="AE44" s="1">
        <v>72</v>
      </c>
    </row>
    <row r="45" spans="1:33" ht="29.4" thickBot="1" x14ac:dyDescent="0.35">
      <c r="A45" s="1233"/>
      <c r="B45" s="1267"/>
      <c r="C45" s="1268"/>
      <c r="D45" s="986" t="s">
        <v>647</v>
      </c>
      <c r="E45" s="1038" t="s">
        <v>656</v>
      </c>
      <c r="F45" s="970" t="s">
        <v>13</v>
      </c>
      <c r="G45" s="962">
        <v>0.4</v>
      </c>
      <c r="H45" s="965">
        <f>J45-'Au Cal Leaching Tank'!$T$18-SUM(H44)</f>
        <v>332.53620500000022</v>
      </c>
      <c r="I45" s="965">
        <f>H45/((720-R45)/60)</f>
        <v>55.422700833333373</v>
      </c>
      <c r="J45" s="965">
        <f>3.14*Z45*((10.7/2)^2)</f>
        <v>1015.583545</v>
      </c>
      <c r="K45" s="963">
        <v>1.27</v>
      </c>
      <c r="L45" s="962">
        <v>0.75</v>
      </c>
      <c r="M45" s="964">
        <f>(J45*K45*G45)-'Au Cal Leaching Tank'!$U$16-SUM(M42:M44)</f>
        <v>144.48248734000009</v>
      </c>
      <c r="N45" s="1260"/>
      <c r="O45" s="966">
        <f>IFERROR(M45/P45,"")</f>
        <v>24.080414556666682</v>
      </c>
      <c r="P45" s="965">
        <f t="shared" si="23"/>
        <v>6</v>
      </c>
      <c r="Q45" s="965">
        <f t="shared" si="20"/>
        <v>360</v>
      </c>
      <c r="R45" s="965">
        <f>'Milling Down Time Hours'!G44</f>
        <v>360</v>
      </c>
      <c r="S45" s="1211"/>
      <c r="T45" s="971">
        <f>AVERAGE('LT Ball Mill'!F97:F99)</f>
        <v>0.54733333333333334</v>
      </c>
      <c r="U45" s="971">
        <f>AVERAGE('LT Ball Mill'!G97:G99)</f>
        <v>1.2333333333333332</v>
      </c>
      <c r="V45" s="971">
        <f>AVERAGE('LT Ball Mill'!H97:H99)</f>
        <v>18.656666666666666</v>
      </c>
      <c r="W45" s="967">
        <f t="shared" si="3"/>
        <v>79.080081404093377</v>
      </c>
      <c r="X45" s="965">
        <f>M45*U45</f>
        <v>178.19506771933342</v>
      </c>
      <c r="Y45" s="965">
        <f t="shared" si="4"/>
        <v>2695.5616054732682</v>
      </c>
      <c r="Z45" s="968">
        <v>11.3</v>
      </c>
      <c r="AB45" s="928">
        <f t="shared" si="5"/>
        <v>197700203.51023343</v>
      </c>
      <c r="AE45" s="1">
        <v>60</v>
      </c>
    </row>
    <row r="46" spans="1:33" ht="29.4" thickBot="1" x14ac:dyDescent="0.35">
      <c r="A46" s="1232">
        <v>10</v>
      </c>
      <c r="B46" s="1228">
        <v>46285</v>
      </c>
      <c r="C46" s="1229"/>
      <c r="D46" s="451" t="s">
        <v>508</v>
      </c>
      <c r="E46" s="451" t="s">
        <v>655</v>
      </c>
      <c r="F46" s="1033" t="s">
        <v>12</v>
      </c>
      <c r="G46" s="450" t="s">
        <v>684</v>
      </c>
      <c r="H46" s="934" t="s">
        <v>685</v>
      </c>
      <c r="I46" s="934" t="s">
        <v>686</v>
      </c>
      <c r="J46" s="1082" t="s">
        <v>687</v>
      </c>
      <c r="K46" s="450" t="s">
        <v>688</v>
      </c>
      <c r="L46" s="937" t="s">
        <v>689</v>
      </c>
      <c r="M46" s="1034" t="s">
        <v>690</v>
      </c>
      <c r="N46" s="1085" t="s">
        <v>693</v>
      </c>
      <c r="O46" s="1035" t="str">
        <f t="shared" si="22"/>
        <v/>
      </c>
      <c r="P46" s="934">
        <f t="shared" ref="P46" si="24">(720-R46)/60</f>
        <v>0</v>
      </c>
      <c r="Q46" s="934">
        <f t="shared" ref="Q46" si="25">720-R46</f>
        <v>0</v>
      </c>
      <c r="R46" s="934">
        <f>'Milling Down Time Hours'!G45</f>
        <v>720</v>
      </c>
      <c r="S46" s="451"/>
      <c r="T46" s="1036"/>
      <c r="U46" s="1036"/>
      <c r="V46" s="1037"/>
      <c r="W46" s="979" t="e">
        <f t="shared" si="3"/>
        <v>#VALUE!</v>
      </c>
      <c r="X46" s="934" t="e">
        <f t="shared" si="6"/>
        <v>#VALUE!</v>
      </c>
      <c r="Y46" s="934" t="e">
        <f t="shared" si="4"/>
        <v>#VALUE!</v>
      </c>
      <c r="Z46" s="980">
        <v>0</v>
      </c>
      <c r="AB46" s="928" t="e">
        <f>W46*$AC$5</f>
        <v>#VALUE!</v>
      </c>
      <c r="AE46" s="1">
        <v>72</v>
      </c>
    </row>
    <row r="47" spans="1:33" ht="15" customHeight="1" thickBot="1" x14ac:dyDescent="0.35">
      <c r="A47" s="1232"/>
      <c r="B47" s="1230"/>
      <c r="C47" s="1231"/>
      <c r="D47" s="1057" t="s">
        <v>509</v>
      </c>
      <c r="E47" s="1057" t="s">
        <v>655</v>
      </c>
      <c r="F47" s="947" t="s">
        <v>13</v>
      </c>
      <c r="G47" s="934" t="s">
        <v>679</v>
      </c>
      <c r="H47" s="934" t="s">
        <v>679</v>
      </c>
      <c r="I47" s="934" t="s">
        <v>679</v>
      </c>
      <c r="J47" s="934" t="s">
        <v>679</v>
      </c>
      <c r="K47" s="934" t="s">
        <v>679</v>
      </c>
      <c r="L47" s="934" t="s">
        <v>679</v>
      </c>
      <c r="M47" s="934" t="s">
        <v>679</v>
      </c>
      <c r="N47" s="934" t="s">
        <v>679</v>
      </c>
      <c r="O47" s="934" t="s">
        <v>679</v>
      </c>
      <c r="P47" s="934" t="s">
        <v>679</v>
      </c>
      <c r="Q47" s="934" t="s">
        <v>679</v>
      </c>
      <c r="R47" s="934" t="s">
        <v>679</v>
      </c>
      <c r="S47" s="934" t="s">
        <v>679</v>
      </c>
      <c r="T47" s="934" t="s">
        <v>679</v>
      </c>
      <c r="U47" s="934" t="s">
        <v>679</v>
      </c>
      <c r="V47" s="934" t="s">
        <v>679</v>
      </c>
      <c r="W47" s="934" t="s">
        <v>679</v>
      </c>
      <c r="X47" s="934" t="s">
        <v>679</v>
      </c>
      <c r="Y47" s="934" t="s">
        <v>679</v>
      </c>
      <c r="Z47" s="934" t="s">
        <v>679</v>
      </c>
      <c r="AB47" s="928" t="e">
        <f t="shared" si="5"/>
        <v>#VALUE!</v>
      </c>
      <c r="AE47" s="1">
        <v>72</v>
      </c>
    </row>
    <row r="48" spans="1:33" ht="15" customHeight="1" thickBot="1" x14ac:dyDescent="0.35">
      <c r="A48" s="1232"/>
      <c r="B48" s="1228">
        <v>46286</v>
      </c>
      <c r="C48" s="1229"/>
      <c r="D48" s="451" t="s">
        <v>508</v>
      </c>
      <c r="E48" s="451" t="s">
        <v>663</v>
      </c>
      <c r="F48" s="1033" t="s">
        <v>12</v>
      </c>
      <c r="G48" s="937">
        <v>0.3</v>
      </c>
      <c r="H48" s="934">
        <f>J48-'Au Cal Leaching Tank'!$T$18</f>
        <v>62.911834999999996</v>
      </c>
      <c r="I48" s="934">
        <f t="shared" ref="I48:I54" si="26">H48/((720-R48)/60)</f>
        <v>26.032483448275862</v>
      </c>
      <c r="J48" s="934">
        <f t="shared" ref="J48:J51" si="27">3.14*Z48*((10.7/2)^2)</f>
        <v>170.76183499999999</v>
      </c>
      <c r="K48" s="450">
        <v>1.19</v>
      </c>
      <c r="L48" s="937">
        <v>0.72</v>
      </c>
      <c r="M48" s="1034">
        <f>(J48*K48*G48)-'Au Cal Leaching Tank'!$U$17</f>
        <v>14.721287594999986</v>
      </c>
      <c r="N48" s="1223">
        <f>SUM(M48:M49)</f>
        <v>95.832260473499986</v>
      </c>
      <c r="O48" s="1035">
        <f>IFERROR(M48/P48,"")</f>
        <v>6.0915672806896497</v>
      </c>
      <c r="P48" s="934">
        <f t="shared" ref="P48:P49" si="28">(720-R48)/60</f>
        <v>2.4166666666666665</v>
      </c>
      <c r="Q48" s="934">
        <f t="shared" ref="Q48:Q49" si="29">720-R48</f>
        <v>145</v>
      </c>
      <c r="R48" s="934">
        <f>'Milling Down Time Hours'!G47</f>
        <v>575</v>
      </c>
      <c r="S48" s="1223">
        <f>SUM(M48:M54)</f>
        <v>389.3044488509999</v>
      </c>
      <c r="T48" s="1080">
        <f>AVERAGE('LT Ball Mill'!F100:F102)</f>
        <v>0.9860000000000001</v>
      </c>
      <c r="U48" s="1080">
        <f>AVERAGE('LT Ball Mill'!G100:G102)</f>
        <v>1.99</v>
      </c>
      <c r="V48" s="1080">
        <f>AVERAGE('LT Ball Mill'!H100:H102)</f>
        <v>20.026666666666667</v>
      </c>
      <c r="W48" s="934">
        <f>T48*M48</f>
        <v>14.515189568669987</v>
      </c>
      <c r="X48" s="934">
        <f>U48*M48</f>
        <v>29.295362314049971</v>
      </c>
      <c r="Y48" s="934">
        <f>V48*M48</f>
        <v>294.81831956919973</v>
      </c>
      <c r="Z48" s="980">
        <v>1.9</v>
      </c>
      <c r="AB48" s="928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32"/>
      <c r="B49" s="1230"/>
      <c r="C49" s="1231"/>
      <c r="D49" s="1075" t="s">
        <v>541</v>
      </c>
      <c r="E49" s="1081" t="s">
        <v>681</v>
      </c>
      <c r="F49" s="947" t="s">
        <v>13</v>
      </c>
      <c r="G49" s="937">
        <v>0.28999999999999998</v>
      </c>
      <c r="H49" s="934">
        <f>J49-'Au Cal Leaching Tank'!$T$18-SUM(H48)</f>
        <v>242.66155499999991</v>
      </c>
      <c r="I49" s="934">
        <f t="shared" si="26"/>
        <v>21.101004782608687</v>
      </c>
      <c r="J49" s="934">
        <f t="shared" si="27"/>
        <v>413.42338999999993</v>
      </c>
      <c r="K49" s="450">
        <v>1.1850000000000001</v>
      </c>
      <c r="L49" s="937">
        <v>0.67</v>
      </c>
      <c r="M49" s="1034">
        <f>(J49*K49*G49)-'Au Cal Leaching Tank'!$U$17-SUM(M48)</f>
        <v>81.110972878500007</v>
      </c>
      <c r="N49" s="1224"/>
      <c r="O49" s="1035">
        <f t="shared" si="22"/>
        <v>7.0531280763913049</v>
      </c>
      <c r="P49" s="934">
        <f t="shared" si="28"/>
        <v>11.5</v>
      </c>
      <c r="Q49" s="934">
        <f t="shared" si="29"/>
        <v>690</v>
      </c>
      <c r="R49" s="934">
        <f>'Milling Down Time Hours'!G48</f>
        <v>30</v>
      </c>
      <c r="S49" s="1225"/>
      <c r="T49" s="978">
        <f>AVERAGE('LT Ball Mill'!F103:F105)</f>
        <v>0.55333333333333334</v>
      </c>
      <c r="U49" s="978">
        <f>AVERAGE('LT Ball Mill'!G103:G105)</f>
        <v>1.2133333333333332</v>
      </c>
      <c r="V49" s="978">
        <f>AVERAGE('LT Ball Mill'!H103:H105)</f>
        <v>18.866666666666667</v>
      </c>
      <c r="W49" s="934">
        <f>T49*M49</f>
        <v>44.881404992770008</v>
      </c>
      <c r="X49" s="934">
        <f>U49*M49</f>
        <v>98.414647092579997</v>
      </c>
      <c r="Y49" s="934">
        <f>V49*M49</f>
        <v>1530.2936883077002</v>
      </c>
      <c r="Z49" s="980">
        <v>4.5999999999999996</v>
      </c>
      <c r="AB49" s="928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32"/>
      <c r="B50" s="1228">
        <v>46287</v>
      </c>
      <c r="C50" s="1229"/>
      <c r="D50" s="451" t="s">
        <v>682</v>
      </c>
      <c r="E50" s="451" t="s">
        <v>683</v>
      </c>
      <c r="F50" s="1033" t="s">
        <v>12</v>
      </c>
      <c r="G50" s="937">
        <v>0.35</v>
      </c>
      <c r="H50" s="934">
        <f>J50-'Au Cal Leaching Tank'!$T$18-SUM(H48:H49)</f>
        <v>143.79944</v>
      </c>
      <c r="I50" s="934">
        <f t="shared" si="26"/>
        <v>11.983286666666666</v>
      </c>
      <c r="J50" s="934">
        <f t="shared" si="27"/>
        <v>557.22282999999993</v>
      </c>
      <c r="K50" s="450">
        <v>1.2250000000000001</v>
      </c>
      <c r="L50" s="937">
        <v>0.61</v>
      </c>
      <c r="M50" s="1034">
        <f>(J50*K50*G50)-'Au Cal Leaching Tank'!$U$17-SUM(M48:M49)</f>
        <v>96.836340388999986</v>
      </c>
      <c r="N50" s="1223">
        <f>SUM(M50:M51)</f>
        <v>182.93176135649995</v>
      </c>
      <c r="O50" s="1035">
        <f t="shared" ref="O50:O53" si="30">IFERROR(M50/P50,"")</f>
        <v>8.0696950324166661</v>
      </c>
      <c r="P50" s="960">
        <f t="shared" ref="P50:P58" si="31">(720-R50)/60</f>
        <v>12</v>
      </c>
      <c r="Q50" s="960">
        <f t="shared" ref="Q50:Q51" si="32">720-R50</f>
        <v>720</v>
      </c>
      <c r="R50" s="960">
        <f>'Milling Down Time Hours'!G49</f>
        <v>0</v>
      </c>
      <c r="S50" s="1225"/>
      <c r="T50" s="1105">
        <f>AVERAGE('LT Ball Mill'!F106:F108)</f>
        <v>0.82600000000000007</v>
      </c>
      <c r="U50" s="1105">
        <f>AVERAGE('LT Ball Mill'!G106:G108)</f>
        <v>1.1100000000000001</v>
      </c>
      <c r="V50" s="1105">
        <f>AVERAGE('LT Ball Mill'!H106:H108)</f>
        <v>19.606666666666669</v>
      </c>
      <c r="W50" s="1091">
        <f>T50*M50</f>
        <v>79.986817161313994</v>
      </c>
      <c r="X50" s="960">
        <f>U50*M50</f>
        <v>107.48833783178999</v>
      </c>
      <c r="Y50" s="960">
        <f>V50*M50</f>
        <v>1898.6378472269932</v>
      </c>
      <c r="Z50" s="947">
        <v>6.2</v>
      </c>
      <c r="AE50" s="1">
        <v>72</v>
      </c>
      <c r="AG50" s="1">
        <v>69</v>
      </c>
    </row>
    <row r="51" spans="1:33" ht="15" customHeight="1" thickBot="1" x14ac:dyDescent="0.35">
      <c r="A51" s="1232"/>
      <c r="B51" s="1230"/>
      <c r="C51" s="1231"/>
      <c r="D51" s="1088" t="s">
        <v>509</v>
      </c>
      <c r="E51" s="1088" t="s">
        <v>697</v>
      </c>
      <c r="F51" s="947" t="s">
        <v>13</v>
      </c>
      <c r="G51" s="937">
        <v>0.35</v>
      </c>
      <c r="H51" s="934">
        <f>J51-'Au Cal Leaching Tank'!$T$18-SUM(H48:H50)</f>
        <v>197.72422999999992</v>
      </c>
      <c r="I51" s="934">
        <f t="shared" si="26"/>
        <v>21.375592432432423</v>
      </c>
      <c r="J51" s="934">
        <f t="shared" si="27"/>
        <v>754.94705999999985</v>
      </c>
      <c r="K51" s="450">
        <v>1.23</v>
      </c>
      <c r="L51" s="937">
        <v>0.67</v>
      </c>
      <c r="M51" s="1034">
        <f>(J51*K51*G51)-'Au Cal Leaching Tank'!$U$17-SUM(M48:M50)</f>
        <v>86.095420967499962</v>
      </c>
      <c r="N51" s="1224"/>
      <c r="O51" s="1035">
        <f t="shared" si="30"/>
        <v>9.307613077567563</v>
      </c>
      <c r="P51" s="934">
        <f t="shared" si="31"/>
        <v>9.25</v>
      </c>
      <c r="Q51" s="934">
        <f t="shared" si="32"/>
        <v>555</v>
      </c>
      <c r="R51" s="934">
        <f>'Milling Down Time Hours'!G50</f>
        <v>165</v>
      </c>
      <c r="S51" s="1225"/>
      <c r="T51" s="1117">
        <f>AVERAGE('LT Ball Mill'!F109:F111)</f>
        <v>0.749</v>
      </c>
      <c r="U51" s="1117">
        <f>AVERAGE('LT Ball Mill'!G109:G111)</f>
        <v>1.0666666666666667</v>
      </c>
      <c r="V51" s="1117">
        <f>AVERAGE('LT Ball Mill'!H109:H111)</f>
        <v>15.506666666666668</v>
      </c>
      <c r="W51" s="979">
        <f t="shared" ref="W51:W53" si="33">T51*M51</f>
        <v>64.485470304657468</v>
      </c>
      <c r="X51" s="934">
        <f t="shared" ref="X51:X53" si="34">U51*M51</f>
        <v>91.835115698666627</v>
      </c>
      <c r="Y51" s="934">
        <f t="shared" ref="Y51:Y53" si="35">V51*M51</f>
        <v>1335.0529944693662</v>
      </c>
      <c r="Z51" s="980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232"/>
      <c r="B52" s="1228">
        <v>46288</v>
      </c>
      <c r="C52" s="1229"/>
      <c r="D52" s="451" t="s">
        <v>508</v>
      </c>
      <c r="E52" s="451" t="s">
        <v>699</v>
      </c>
      <c r="F52" s="1033" t="s">
        <v>12</v>
      </c>
      <c r="G52" s="937">
        <v>0.36</v>
      </c>
      <c r="H52" s="934">
        <f>J52-'Au Cal Leaching Tank'!$T$18-SUM(H48:H51)</f>
        <v>80.887185000000045</v>
      </c>
      <c r="I52" s="934">
        <f t="shared" si="26"/>
        <v>10.784958000000007</v>
      </c>
      <c r="J52" s="934">
        <f>3.14*Z52*((10.7/2)^2)</f>
        <v>835.8342449999999</v>
      </c>
      <c r="K52" s="450">
        <v>1.2350000000000001</v>
      </c>
      <c r="L52" s="937">
        <v>0.64</v>
      </c>
      <c r="M52" s="1034">
        <f>(J52*K52*G52)-'Au Cal Leaching Tank'!$U$17-SUM(M48:M51)</f>
        <v>46.607195997000019</v>
      </c>
      <c r="N52" s="1223">
        <f>SUM(M52:M53)</f>
        <v>69.643866285000001</v>
      </c>
      <c r="O52" s="1035">
        <f t="shared" si="30"/>
        <v>6.2142927996000026</v>
      </c>
      <c r="P52" s="934">
        <f t="shared" si="31"/>
        <v>7.5</v>
      </c>
      <c r="Q52" s="934">
        <f t="shared" ref="Q52:Q53" si="36">720-R52</f>
        <v>450</v>
      </c>
      <c r="R52" s="934">
        <f>'Milling Down Time Hours'!G51</f>
        <v>270</v>
      </c>
      <c r="S52" s="1225"/>
      <c r="T52" s="1118">
        <f>AVERAGE('LT Ball Mill'!F112:F114)</f>
        <v>1.0543333333333333</v>
      </c>
      <c r="U52" s="1118">
        <f>AVERAGE('LT Ball Mill'!G112:G114)</f>
        <v>0.93333333333333324</v>
      </c>
      <c r="V52" s="1118">
        <f>AVERAGE('LT Ball Mill'!H112:H114)</f>
        <v>18.046666666666667</v>
      </c>
      <c r="W52" s="1092">
        <f t="shared" si="33"/>
        <v>49.139520312837021</v>
      </c>
      <c r="X52" s="1035">
        <f t="shared" si="34"/>
        <v>43.500049597200011</v>
      </c>
      <c r="Y52" s="1035">
        <f t="shared" si="35"/>
        <v>841.10453042586039</v>
      </c>
      <c r="Z52" s="1093">
        <v>9.3000000000000007</v>
      </c>
      <c r="AE52" s="1">
        <v>72</v>
      </c>
      <c r="AG52" s="1">
        <v>76</v>
      </c>
    </row>
    <row r="53" spans="1:33" ht="15" thickBot="1" x14ac:dyDescent="0.35">
      <c r="A53" s="1232"/>
      <c r="B53" s="1230"/>
      <c r="C53" s="1231"/>
      <c r="D53" s="1100" t="s">
        <v>509</v>
      </c>
      <c r="E53" s="1104" t="s">
        <v>702</v>
      </c>
      <c r="F53" s="947" t="s">
        <v>13</v>
      </c>
      <c r="G53" s="937">
        <v>0.35</v>
      </c>
      <c r="H53" s="934">
        <f>J53-'Au Cal Leaching Tank'!$T$18-SUM(H48:H52)</f>
        <v>80.887184999999931</v>
      </c>
      <c r="I53" s="934">
        <f t="shared" si="26"/>
        <v>6.740598749999994</v>
      </c>
      <c r="J53" s="934">
        <f>3.14*Z53*((10.7/2)^2)</f>
        <v>916.72142999999983</v>
      </c>
      <c r="K53" s="450">
        <v>1.23</v>
      </c>
      <c r="L53" s="937">
        <v>0.69</v>
      </c>
      <c r="M53" s="1034">
        <f>(J53*K53*G53)-'Au Cal Leaching Tank'!$U$17-SUM(M48:M52)</f>
        <v>23.036670287999982</v>
      </c>
      <c r="N53" s="1224"/>
      <c r="O53" s="1035">
        <f t="shared" si="30"/>
        <v>1.9197225239999984</v>
      </c>
      <c r="P53" s="934">
        <f t="shared" si="31"/>
        <v>12</v>
      </c>
      <c r="Q53" s="934">
        <f t="shared" si="36"/>
        <v>720</v>
      </c>
      <c r="R53" s="934">
        <f>'Milling Down Time Hours'!G52</f>
        <v>0</v>
      </c>
      <c r="S53" s="1225"/>
      <c r="T53" s="978">
        <f>AVERAGE('LT Ball Mill'!F115:F117)</f>
        <v>0.73499999999999999</v>
      </c>
      <c r="U53" s="978">
        <f>AVERAGE('LT Ball Mill'!G115:G117)</f>
        <v>0.64666666666666661</v>
      </c>
      <c r="V53" s="978">
        <f>AVERAGE('LT Ball Mill'!H115:H117)</f>
        <v>16.513333333333332</v>
      </c>
      <c r="W53" s="979">
        <f t="shared" si="33"/>
        <v>16.931952661679986</v>
      </c>
      <c r="X53" s="934">
        <f t="shared" si="34"/>
        <v>14.897046786239986</v>
      </c>
      <c r="Y53" s="934">
        <f t="shared" si="35"/>
        <v>380.41221535583969</v>
      </c>
      <c r="Z53" s="980">
        <v>10.199999999999999</v>
      </c>
      <c r="AE53" s="1">
        <v>72</v>
      </c>
      <c r="AG53" s="1">
        <v>74</v>
      </c>
    </row>
    <row r="54" spans="1:33" ht="15" thickBot="1" x14ac:dyDescent="0.35">
      <c r="B54" s="1206">
        <v>46289</v>
      </c>
      <c r="C54" s="1207"/>
      <c r="D54" s="451" t="s">
        <v>508</v>
      </c>
      <c r="E54" s="451" t="s">
        <v>703</v>
      </c>
      <c r="F54" s="1033" t="s">
        <v>12</v>
      </c>
      <c r="G54" s="937">
        <v>0.36</v>
      </c>
      <c r="H54" s="934">
        <f>J54-'Au Cal Leaching Tank'!$T$18-SUM(H48:H53)</f>
        <v>62.912254999999959</v>
      </c>
      <c r="I54" s="934">
        <f t="shared" si="26"/>
        <v>5.2426879166666636</v>
      </c>
      <c r="J54" s="934">
        <f>3.14*Z54*((10.7/2)^2)</f>
        <v>979.63368499999979</v>
      </c>
      <c r="K54" s="450">
        <v>1.2350000000000001</v>
      </c>
      <c r="L54" s="937">
        <v>0.74</v>
      </c>
      <c r="M54" s="1034">
        <f>(J54*K54*G54)-'Au Cal Leaching Tank'!$U$17-SUM(M48:M53)</f>
        <v>40.896560735999969</v>
      </c>
      <c r="N54" s="1223">
        <f>SUM(M54:M56)</f>
        <v>299.60957198599993</v>
      </c>
      <c r="O54" s="1223">
        <f>(N54)/24</f>
        <v>12.48373216608333</v>
      </c>
      <c r="P54" s="934">
        <f t="shared" si="31"/>
        <v>12</v>
      </c>
      <c r="Q54" s="934">
        <f t="shared" ref="Q54" si="37">720-R54</f>
        <v>720</v>
      </c>
      <c r="R54" s="934">
        <f>'Milling Down Time Hours'!G53</f>
        <v>0</v>
      </c>
      <c r="S54" s="1296"/>
      <c r="T54" s="1080">
        <f>AVERAGE('LT Ball Mill'!F118:F120)</f>
        <v>0.87766666666666671</v>
      </c>
      <c r="U54" s="1080">
        <f>AVERAGE('LT Ball Mill'!G118:G120)</f>
        <v>1.0133333333333334</v>
      </c>
      <c r="V54" s="1080">
        <f>AVERAGE('LT Ball Mill'!H118:H120)</f>
        <v>16.686666666666667</v>
      </c>
      <c r="W54" s="979">
        <f t="shared" ref="W54" si="38">T54*M54</f>
        <v>35.893548139295973</v>
      </c>
      <c r="X54" s="934">
        <f t="shared" ref="X54" si="39">U54*M54</f>
        <v>41.441848212479975</v>
      </c>
      <c r="Y54" s="934">
        <f t="shared" ref="Y54" si="40">V54*M54</f>
        <v>682.42727681471956</v>
      </c>
      <c r="Z54" s="980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285"/>
      <c r="C55" s="1286"/>
      <c r="D55" s="667" t="s">
        <v>508</v>
      </c>
      <c r="E55" s="667" t="s">
        <v>748</v>
      </c>
      <c r="F55" s="1144" t="s">
        <v>12</v>
      </c>
      <c r="G55" s="962">
        <v>0.36</v>
      </c>
      <c r="H55" s="965">
        <f>J55-108</f>
        <v>152.63648499999994</v>
      </c>
      <c r="I55" s="965"/>
      <c r="J55" s="965">
        <f>3.14*Z55*((10.7/2)^2)</f>
        <v>260.63648499999994</v>
      </c>
      <c r="K55" s="963">
        <v>1.24</v>
      </c>
      <c r="L55" s="962">
        <v>0.74</v>
      </c>
      <c r="M55" s="964">
        <f>(J55*G55*K55)-'Au Cal Leaching Tank'!$U$18</f>
        <v>76.227926903999972</v>
      </c>
      <c r="N55" s="1225"/>
      <c r="O55" s="1225"/>
      <c r="P55" s="965"/>
      <c r="Q55" s="965"/>
      <c r="R55" s="965"/>
      <c r="S55" s="1145"/>
      <c r="T55" s="1146">
        <f>T54</f>
        <v>0.87766666666666671</v>
      </c>
      <c r="U55" s="1146">
        <f t="shared" ref="U55:V55" si="41">U54</f>
        <v>1.0133333333333334</v>
      </c>
      <c r="V55" s="1146">
        <f t="shared" si="41"/>
        <v>16.686666666666667</v>
      </c>
      <c r="W55" s="965">
        <f>T55*$M$55</f>
        <v>66.90271051274398</v>
      </c>
      <c r="X55" s="965">
        <f t="shared" ref="X55:Y55" si="42">U55*$M$55</f>
        <v>77.244299262719977</v>
      </c>
      <c r="Y55" s="965">
        <f t="shared" si="42"/>
        <v>1271.9900069380797</v>
      </c>
      <c r="Z55" s="968">
        <v>2.9</v>
      </c>
      <c r="AA55" s="10"/>
      <c r="AE55" s="1">
        <v>82</v>
      </c>
    </row>
    <row r="56" spans="1:33" ht="15" thickBot="1" x14ac:dyDescent="0.35">
      <c r="A56" s="1216">
        <v>11</v>
      </c>
      <c r="B56" s="1208"/>
      <c r="C56" s="1209"/>
      <c r="D56" s="1116" t="s">
        <v>541</v>
      </c>
      <c r="E56" s="1122" t="s">
        <v>707</v>
      </c>
      <c r="F56" s="970" t="s">
        <v>13</v>
      </c>
      <c r="G56" s="962">
        <v>0.38</v>
      </c>
      <c r="H56" s="965">
        <f>J56-'Au Cal Leaching Tank'!$T$18</f>
        <v>521.27254999999991</v>
      </c>
      <c r="I56" s="965">
        <f>H56/((720-R56)/60)</f>
        <v>43.439379166666662</v>
      </c>
      <c r="J56" s="965">
        <f>3.14*Z56*((10.7/2)^2)</f>
        <v>629.12254999999993</v>
      </c>
      <c r="K56" s="1121">
        <v>1.25</v>
      </c>
      <c r="L56" s="962">
        <v>0.77</v>
      </c>
      <c r="M56" s="964">
        <f>(J56*G56*K56)-'Au Cal Leaching Tank'!$U$18-SUM(M55)</f>
        <v>182.48508434600001</v>
      </c>
      <c r="N56" s="1224"/>
      <c r="O56" s="1296"/>
      <c r="P56" s="965">
        <f t="shared" si="31"/>
        <v>12</v>
      </c>
      <c r="Q56" s="965">
        <f>720-R56</f>
        <v>720</v>
      </c>
      <c r="R56" s="965">
        <f>'Milling Down Time Hours'!G54</f>
        <v>0</v>
      </c>
      <c r="S56" s="1210">
        <f>SUM(M55:M59)</f>
        <v>354.52837561499985</v>
      </c>
      <c r="T56" s="971">
        <f>AVERAGE('LT Ball Mill'!F121:F123)</f>
        <v>0.57966666666666666</v>
      </c>
      <c r="U56" s="971">
        <f>AVERAGE('LT Ball Mill'!G121:G123)</f>
        <v>1.8533333333333333</v>
      </c>
      <c r="V56" s="971">
        <f>AVERAGE('LT Ball Mill'!H121:H123)</f>
        <v>17.643333333333334</v>
      </c>
      <c r="W56" s="965">
        <f>T56*$M$56</f>
        <v>105.78052055923133</v>
      </c>
      <c r="X56" s="965">
        <f t="shared" ref="X56:Y56" si="43">U56*$M$56</f>
        <v>338.20568965458665</v>
      </c>
      <c r="Y56" s="965">
        <f t="shared" si="43"/>
        <v>3219.6451714779269</v>
      </c>
      <c r="Z56" s="968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216"/>
      <c r="B57" s="1265">
        <v>46290</v>
      </c>
      <c r="C57" s="1266"/>
      <c r="D57" s="667" t="s">
        <v>682</v>
      </c>
      <c r="E57" s="667" t="s">
        <v>708</v>
      </c>
      <c r="F57" s="961" t="s">
        <v>12</v>
      </c>
      <c r="G57" s="962">
        <v>0.35</v>
      </c>
      <c r="H57" s="965">
        <f>J57-'Au Cal Leaching Tank'!$T$18-SUM(H56)</f>
        <v>251.64901999999995</v>
      </c>
      <c r="I57" s="965">
        <f>H57/((720-R57)/60)</f>
        <v>27.010628264758491</v>
      </c>
      <c r="J57" s="965">
        <f t="shared" ref="J57:J64" si="44">3.14*Z57*((10.7/2)^2)</f>
        <v>880.77156999999988</v>
      </c>
      <c r="K57" s="963">
        <v>1.23</v>
      </c>
      <c r="L57" s="962">
        <v>0.77</v>
      </c>
      <c r="M57" s="964">
        <f>(J57*G57*K57)-'Au Cal Leaching Tank'!$U$18-SUM(M55:M56)</f>
        <v>80.338949634999892</v>
      </c>
      <c r="N57" s="1210">
        <f>SUM(M57:M58)</f>
        <v>91.946260682499883</v>
      </c>
      <c r="O57" s="1106"/>
      <c r="P57" s="965">
        <f t="shared" si="31"/>
        <v>9.3166666666666664</v>
      </c>
      <c r="Q57" s="965">
        <f t="shared" ref="Q57:Q58" si="45">720-R57</f>
        <v>559</v>
      </c>
      <c r="R57" s="965">
        <f>'Milling Down Time Hours'!G55</f>
        <v>161</v>
      </c>
      <c r="S57" s="1261"/>
      <c r="T57" s="1001">
        <f>AVERAGE('LT Ball Mill'!F124:F126)</f>
        <v>0.73</v>
      </c>
      <c r="U57" s="1001">
        <f>AVERAGE('LT Ball Mill'!G124:G126)</f>
        <v>1.2166666666666668</v>
      </c>
      <c r="V57" s="1001">
        <f>AVERAGE('LT Ball Mill'!H124:H126)</f>
        <v>20.023333333333337</v>
      </c>
      <c r="W57" s="967">
        <f>T57*$M$57</f>
        <v>58.647433233549918</v>
      </c>
      <c r="X57" s="967">
        <f t="shared" ref="X57:Y57" si="46">U57*$M$57</f>
        <v>97.745722055916545</v>
      </c>
      <c r="Y57" s="967">
        <f t="shared" si="46"/>
        <v>1608.6535681914816</v>
      </c>
      <c r="Z57" s="968">
        <v>9.8000000000000007</v>
      </c>
      <c r="AE57" s="1">
        <v>80</v>
      </c>
      <c r="AG57" s="1">
        <v>82</v>
      </c>
    </row>
    <row r="58" spans="1:33" ht="15" thickBot="1" x14ac:dyDescent="0.35">
      <c r="A58" s="1216"/>
      <c r="B58" s="1267"/>
      <c r="C58" s="1268"/>
      <c r="D58" s="1116" t="s">
        <v>541</v>
      </c>
      <c r="E58" s="1136" t="s">
        <v>746</v>
      </c>
      <c r="F58" s="970" t="s">
        <v>13</v>
      </c>
      <c r="G58" s="962">
        <v>0.35</v>
      </c>
      <c r="H58" s="965">
        <f>J58-'Au Cal Leaching Tank'!$T$18-SUM(H56:H57)</f>
        <v>26.962394999999901</v>
      </c>
      <c r="I58" s="965"/>
      <c r="J58" s="965">
        <f t="shared" si="44"/>
        <v>907.73396499999978</v>
      </c>
      <c r="K58" s="963">
        <v>1.23</v>
      </c>
      <c r="L58" s="962">
        <v>0.77</v>
      </c>
      <c r="M58" s="964">
        <f>(J58*G58*K58)-'Au Cal Leaching Tank'!$U$18-SUM(M55:M57)</f>
        <v>11.607311047499991</v>
      </c>
      <c r="N58" s="1260"/>
      <c r="O58" s="1106"/>
      <c r="P58" s="965">
        <f t="shared" si="31"/>
        <v>0</v>
      </c>
      <c r="Q58" s="965">
        <f t="shared" si="45"/>
        <v>0</v>
      </c>
      <c r="R58" s="965">
        <f>'Milling Down Time Hours'!G56</f>
        <v>720</v>
      </c>
      <c r="S58" s="1211"/>
      <c r="T58" s="971">
        <f>T57</f>
        <v>0.73</v>
      </c>
      <c r="U58" s="971">
        <f t="shared" ref="U58:V59" si="47">U57</f>
        <v>1.2166666666666668</v>
      </c>
      <c r="V58" s="971">
        <f t="shared" si="47"/>
        <v>20.023333333333337</v>
      </c>
      <c r="W58" s="967">
        <f>T58*$M$58</f>
        <v>8.4733370646749933</v>
      </c>
      <c r="X58" s="967">
        <f t="shared" ref="X58:Y58" si="48">U58*$M$58</f>
        <v>14.122228441124991</v>
      </c>
      <c r="Y58" s="967">
        <f t="shared" si="48"/>
        <v>232.41705820777486</v>
      </c>
      <c r="Z58" s="968">
        <v>10.1</v>
      </c>
      <c r="AG58" s="1">
        <v>83</v>
      </c>
    </row>
    <row r="59" spans="1:33" ht="15" thickBot="1" x14ac:dyDescent="0.35">
      <c r="A59" s="1215">
        <v>12</v>
      </c>
      <c r="B59" s="1228">
        <v>46291</v>
      </c>
      <c r="C59" s="1229"/>
      <c r="D59" s="667"/>
      <c r="E59" s="667"/>
      <c r="F59" s="961" t="s">
        <v>12</v>
      </c>
      <c r="G59" s="962">
        <v>0.35</v>
      </c>
      <c r="H59" s="965"/>
      <c r="I59" s="965"/>
      <c r="J59" s="965">
        <f t="shared" si="44"/>
        <v>916.72142999999983</v>
      </c>
      <c r="K59" s="963">
        <v>1.23</v>
      </c>
      <c r="L59" s="963"/>
      <c r="M59" s="964">
        <f>(J59*G59*K59)-'Au Cal Leaching Tank'!$U$18-SUM(M55:M58)</f>
        <v>3.8691036824999969</v>
      </c>
      <c r="N59" s="963"/>
      <c r="O59" s="1106"/>
      <c r="P59" s="965">
        <f t="shared" ref="P59:P61" si="49">(720-R59)/60</f>
        <v>0</v>
      </c>
      <c r="Q59" s="965">
        <f t="shared" ref="Q59:Q61" si="50">720-R59</f>
        <v>0</v>
      </c>
      <c r="R59" s="965">
        <f>'Milling Down Time Hours'!G57</f>
        <v>720</v>
      </c>
      <c r="S59" s="667"/>
      <c r="T59" s="1001">
        <f>T58</f>
        <v>0.73</v>
      </c>
      <c r="U59" s="1001">
        <f t="shared" si="47"/>
        <v>1.2166666666666668</v>
      </c>
      <c r="V59" s="1001">
        <f t="shared" si="47"/>
        <v>20.023333333333337</v>
      </c>
      <c r="W59" s="967">
        <f>T59*$M$59</f>
        <v>2.8244456882249978</v>
      </c>
      <c r="X59" s="967">
        <f t="shared" ref="X59:Y59" si="51">U59*$M$59</f>
        <v>4.7074094803749968</v>
      </c>
      <c r="Y59" s="967">
        <f t="shared" si="51"/>
        <v>77.472352735924957</v>
      </c>
      <c r="Z59" s="968">
        <v>10.199999999999999</v>
      </c>
      <c r="AG59" s="1">
        <v>80</v>
      </c>
    </row>
    <row r="60" spans="1:33" ht="15" thickBot="1" x14ac:dyDescent="0.35">
      <c r="A60" s="1215"/>
      <c r="B60" s="1230"/>
      <c r="C60" s="1231"/>
      <c r="D60" s="910"/>
      <c r="E60" s="910"/>
      <c r="F60" s="947" t="s">
        <v>13</v>
      </c>
      <c r="G60" s="450"/>
      <c r="H60" s="934"/>
      <c r="I60" s="934"/>
      <c r="J60" s="934">
        <f>3.14*Z60*((10.7/2)^2)</f>
        <v>0</v>
      </c>
      <c r="K60" s="450"/>
      <c r="L60" s="450"/>
      <c r="M60" s="1034">
        <f t="shared" si="7"/>
        <v>0</v>
      </c>
      <c r="N60" s="450"/>
      <c r="O60" s="1137"/>
      <c r="P60" s="934">
        <f t="shared" si="49"/>
        <v>0</v>
      </c>
      <c r="Q60" s="934">
        <f t="shared" si="50"/>
        <v>0</v>
      </c>
      <c r="R60" s="934">
        <f>'Milling Down Time Hours'!G58</f>
        <v>720</v>
      </c>
      <c r="S60" s="451"/>
      <c r="T60" s="1138"/>
      <c r="U60" s="1138"/>
      <c r="V60" s="1139"/>
      <c r="W60" s="979"/>
      <c r="X60" s="934"/>
      <c r="Y60" s="934"/>
      <c r="Z60" s="980"/>
      <c r="AG60" s="1">
        <v>80</v>
      </c>
    </row>
    <row r="61" spans="1:33" ht="15" thickBot="1" x14ac:dyDescent="0.35">
      <c r="A61" s="1215"/>
      <c r="B61" s="1228">
        <v>46292</v>
      </c>
      <c r="C61" s="1229"/>
      <c r="D61" s="451" t="s">
        <v>508</v>
      </c>
      <c r="E61" s="451" t="s">
        <v>753</v>
      </c>
      <c r="F61" s="1033" t="s">
        <v>12</v>
      </c>
      <c r="G61" s="937">
        <v>0.34</v>
      </c>
      <c r="H61" s="934">
        <f>J61-'Au Cal Leaching Tank'!$T$19</f>
        <v>17.824509999999975</v>
      </c>
      <c r="I61" s="934">
        <f t="shared" ref="I61:I62" si="52">H61/((720-R61)/60)</f>
        <v>2.2280637499999969</v>
      </c>
      <c r="J61" s="934">
        <f t="shared" si="44"/>
        <v>125.82450999999998</v>
      </c>
      <c r="K61" s="450">
        <v>1.22</v>
      </c>
      <c r="L61" s="937">
        <v>0.75</v>
      </c>
      <c r="M61" s="1034">
        <f>(J61*K61*G61)-'Au Cal Leaching Tank'!$U$19</f>
        <v>5.6980067479999974</v>
      </c>
      <c r="N61" s="1223">
        <f>SUM(M61:M62)</f>
        <v>100.53193993499997</v>
      </c>
      <c r="O61" s="934">
        <f>(M61/P61)</f>
        <v>0.71225084349999968</v>
      </c>
      <c r="P61" s="934">
        <f t="shared" si="49"/>
        <v>8</v>
      </c>
      <c r="Q61" s="934">
        <f t="shared" si="50"/>
        <v>480</v>
      </c>
      <c r="R61" s="934">
        <f>'Milling Down Time Hours'!G59</f>
        <v>240</v>
      </c>
      <c r="S61" s="1212">
        <f>SUM(M61:M65)</f>
        <v>385.05530941200004</v>
      </c>
      <c r="T61" s="1080">
        <f>AVERAGE('LT Ball Mill'!F130:F132)</f>
        <v>0.52033333333333331</v>
      </c>
      <c r="U61" s="1080">
        <f>AVERAGE('LT Ball Mill'!G130:G132)</f>
        <v>1.1033333333333333</v>
      </c>
      <c r="V61" s="1080">
        <f>AVERAGE('LT Ball Mill'!H130:H132)</f>
        <v>13.643333333333333</v>
      </c>
      <c r="W61" s="979">
        <f>M61*T61</f>
        <v>2.9648628445426652</v>
      </c>
      <c r="X61" s="979">
        <f>M61*U61</f>
        <v>6.2868007786266631</v>
      </c>
      <c r="Y61" s="934">
        <f>M61*V61</f>
        <v>77.739805398546622</v>
      </c>
      <c r="Z61" s="980">
        <v>1.4</v>
      </c>
      <c r="AG61" s="1">
        <v>78</v>
      </c>
    </row>
    <row r="62" spans="1:33" ht="15" thickBot="1" x14ac:dyDescent="0.35">
      <c r="A62" s="1215"/>
      <c r="B62" s="1230"/>
      <c r="C62" s="1231"/>
      <c r="D62" s="1166" t="s">
        <v>508</v>
      </c>
      <c r="E62" s="1166" t="s">
        <v>754</v>
      </c>
      <c r="F62" s="947" t="s">
        <v>13</v>
      </c>
      <c r="G62" s="937">
        <v>0.35</v>
      </c>
      <c r="H62" s="934">
        <f>(J62)-'Au Cal Leaching Tank'!$T$19-SUM(H61)</f>
        <v>215.69916000000001</v>
      </c>
      <c r="I62" s="934">
        <f t="shared" si="52"/>
        <v>19.609014545454546</v>
      </c>
      <c r="J62" s="934">
        <f t="shared" si="44"/>
        <v>341.52366999999998</v>
      </c>
      <c r="K62" s="450">
        <v>1.23</v>
      </c>
      <c r="L62" s="937">
        <v>0.72</v>
      </c>
      <c r="M62" s="1034">
        <f>(J62*K62*G62)-'Au Cal Leaching Tank'!$U$19-SUM(M61)</f>
        <v>94.833933186999971</v>
      </c>
      <c r="N62" s="1224"/>
      <c r="O62" s="934">
        <f>(M62/P62)</f>
        <v>8.6212666533636337</v>
      </c>
      <c r="P62" s="934">
        <f t="shared" ref="P62:P63" si="53">(720-R62)/60</f>
        <v>11</v>
      </c>
      <c r="Q62" s="934">
        <f t="shared" ref="Q62:Q63" si="54">720-R62</f>
        <v>660</v>
      </c>
      <c r="R62" s="934">
        <f>'Milling Down Time Hours'!G60</f>
        <v>60.000000000000007</v>
      </c>
      <c r="S62" s="1213"/>
      <c r="T62" s="978">
        <f>AVERAGE('LT Ball Mill'!F133:F135)</f>
        <v>0.74766666666666659</v>
      </c>
      <c r="U62" s="978">
        <f>AVERAGE('LT Ball Mill'!G133:G135)</f>
        <v>1.4400000000000002</v>
      </c>
      <c r="V62" s="978">
        <f>AVERAGE('LT Ball Mill'!H133:H135)</f>
        <v>15.363333333333335</v>
      </c>
      <c r="W62" s="979">
        <f>M62*T62</f>
        <v>70.904170712813638</v>
      </c>
      <c r="X62" s="934">
        <f>M62*U62</f>
        <v>136.56086378927998</v>
      </c>
      <c r="Y62" s="934">
        <f>M62*V62</f>
        <v>1456.9653268629431</v>
      </c>
      <c r="Z62" s="980">
        <v>3.8</v>
      </c>
      <c r="AG62" s="1">
        <v>67</v>
      </c>
    </row>
    <row r="63" spans="1:33" ht="15" thickBot="1" x14ac:dyDescent="0.35">
      <c r="A63" s="1215"/>
      <c r="B63" s="1228">
        <v>46293</v>
      </c>
      <c r="C63" s="1229"/>
      <c r="D63" s="451" t="s">
        <v>541</v>
      </c>
      <c r="E63" s="451" t="s">
        <v>755</v>
      </c>
      <c r="F63" s="1033" t="s">
        <v>12</v>
      </c>
      <c r="G63" s="937">
        <v>0.35</v>
      </c>
      <c r="H63" s="934">
        <f>(J63)-'Au Cal Leaching Tank'!$T$19-SUM(H61:H62)</f>
        <v>188.73676500000005</v>
      </c>
      <c r="I63" s="934">
        <f t="shared" ref="I63" si="55">H63/((720-R63)/60)</f>
        <v>15.728063750000004</v>
      </c>
      <c r="J63" s="934">
        <f t="shared" si="44"/>
        <v>530.26043500000003</v>
      </c>
      <c r="K63" s="450">
        <v>1.23</v>
      </c>
      <c r="L63" s="937">
        <v>0.71</v>
      </c>
      <c r="M63" s="1034">
        <f>(J63*K63*G63)-'Au Cal Leaching Tank'!$U$19-SUM(M61:M62)</f>
        <v>81.251177332500021</v>
      </c>
      <c r="N63" s="1223">
        <f>SUM(M63:M64)</f>
        <v>158.63325098249993</v>
      </c>
      <c r="O63" s="934">
        <f t="shared" ref="O63:O65" si="56">(M63/P63)</f>
        <v>6.7709314443750017</v>
      </c>
      <c r="P63" s="934">
        <f t="shared" si="53"/>
        <v>12</v>
      </c>
      <c r="Q63" s="934">
        <f t="shared" si="54"/>
        <v>720</v>
      </c>
      <c r="R63" s="934">
        <f>'Milling Down Time Hours'!G61</f>
        <v>0</v>
      </c>
      <c r="S63" s="1213"/>
      <c r="T63" s="1080">
        <f>AVERAGE('LT Ball Mill'!F136:F138)</f>
        <v>0.58499999999999996</v>
      </c>
      <c r="U63" s="1080">
        <f>AVERAGE('LT Ball Mill'!G136:G138)</f>
        <v>1.0999999999999999</v>
      </c>
      <c r="V63" s="1080">
        <f>AVERAGE('LT Ball Mill'!H136:H138)</f>
        <v>14.276666666666666</v>
      </c>
      <c r="W63" s="979">
        <f>M63*T63</f>
        <v>47.531938739512512</v>
      </c>
      <c r="X63" s="979">
        <f>M63*U63</f>
        <v>89.376295065750014</v>
      </c>
      <c r="Y63" s="934">
        <f>M63*V63</f>
        <v>1159.9959750503251</v>
      </c>
      <c r="Z63" s="980">
        <v>5.9</v>
      </c>
      <c r="AG63" s="1">
        <v>72</v>
      </c>
    </row>
    <row r="64" spans="1:33" ht="15" thickBot="1" x14ac:dyDescent="0.35">
      <c r="A64" s="1215"/>
      <c r="B64" s="1230"/>
      <c r="C64" s="1231"/>
      <c r="D64" s="1167" t="s">
        <v>756</v>
      </c>
      <c r="E64" s="1167" t="s">
        <v>755</v>
      </c>
      <c r="F64" s="947" t="s">
        <v>13</v>
      </c>
      <c r="G64" s="937">
        <v>0.35</v>
      </c>
      <c r="H64" s="934">
        <f>(J64)-'Au Cal Leaching Tank'!$T$19-SUM(H61:H63)</f>
        <v>179.74929999999983</v>
      </c>
      <c r="I64" s="934">
        <f t="shared" ref="I64:I65" si="57">H64/((720-R64)/60)</f>
        <v>14.97910833333332</v>
      </c>
      <c r="J64" s="934">
        <f t="shared" si="44"/>
        <v>710.00973499999986</v>
      </c>
      <c r="K64" s="450">
        <v>1.23</v>
      </c>
      <c r="L64" s="937">
        <v>0.71</v>
      </c>
      <c r="M64" s="1034">
        <f>(J64*K64*G64)-'Au Cal Leaching Tank'!$U$19-SUM(M61:M63)</f>
        <v>77.38207364999991</v>
      </c>
      <c r="N64" s="1224"/>
      <c r="O64" s="934">
        <f t="shared" si="56"/>
        <v>6.4485061374999928</v>
      </c>
      <c r="P64" s="934">
        <f t="shared" ref="P64" si="58">(720-R64)/60</f>
        <v>12</v>
      </c>
      <c r="Q64" s="934">
        <f t="shared" ref="Q64" si="59">720-R64</f>
        <v>720</v>
      </c>
      <c r="R64" s="934">
        <f>'Milling Down Time Hours'!G62</f>
        <v>0</v>
      </c>
      <c r="S64" s="1213"/>
      <c r="T64" s="978">
        <f>AVERAGE('LT Ball Mill'!F139:F141)</f>
        <v>0.54866666666666664</v>
      </c>
      <c r="U64" s="978">
        <f>AVERAGE('LT Ball Mill'!G139:G141)</f>
        <v>2.0799999999999996</v>
      </c>
      <c r="V64" s="978">
        <f>AVERAGE('LT Ball Mill'!H139:H141)</f>
        <v>17.903333333333336</v>
      </c>
      <c r="W64" s="979">
        <f t="shared" ref="W64:W102" si="60">T64*M64</f>
        <v>42.45696440929995</v>
      </c>
      <c r="X64" s="934">
        <f t="shared" ref="X64:X102" si="61">M64*U64</f>
        <v>160.95471319199979</v>
      </c>
      <c r="Y64" s="934">
        <f t="shared" ref="Y64:Y102" si="62">M64*V64</f>
        <v>1385.3970585804987</v>
      </c>
      <c r="Z64" s="980">
        <v>7.9</v>
      </c>
      <c r="AG64" s="1">
        <v>78</v>
      </c>
    </row>
    <row r="65" spans="1:30" ht="15" thickBot="1" x14ac:dyDescent="0.35">
      <c r="A65" s="676"/>
      <c r="B65" s="1265">
        <v>46294</v>
      </c>
      <c r="C65" s="1266"/>
      <c r="D65" s="451" t="s">
        <v>542</v>
      </c>
      <c r="E65" s="451" t="s">
        <v>760</v>
      </c>
      <c r="F65" s="1033" t="s">
        <v>12</v>
      </c>
      <c r="G65" s="937">
        <v>0.36</v>
      </c>
      <c r="H65" s="934">
        <f>(J65)-'Au Cal Leaching Tank'!$T$19-SUM(H61:H64)</f>
        <v>260.63648500000011</v>
      </c>
      <c r="I65" s="934">
        <f t="shared" si="57"/>
        <v>22.340270142857154</v>
      </c>
      <c r="J65" s="934">
        <f>3.14*Z65*((10.7/2)^2)</f>
        <v>970.64621999999997</v>
      </c>
      <c r="K65" s="450">
        <v>1.2350000000000001</v>
      </c>
      <c r="L65" s="937">
        <v>0.71</v>
      </c>
      <c r="M65" s="1034">
        <f>(J65*K65*G65)-'Au Cal Leaching Tank'!$U$19-SUM(M61:M64)</f>
        <v>125.89011849450014</v>
      </c>
      <c r="N65" s="1210">
        <f>SUM(M65:M66)</f>
        <v>125.89011849450014</v>
      </c>
      <c r="O65" s="934">
        <f t="shared" si="56"/>
        <v>10.790581585242871</v>
      </c>
      <c r="P65" s="934">
        <f t="shared" ref="P65:P66" si="63">(720-R65)/60</f>
        <v>11.666666666666666</v>
      </c>
      <c r="Q65" s="934">
        <f t="shared" ref="Q65:Q66" si="64">720-R65</f>
        <v>700</v>
      </c>
      <c r="R65" s="934">
        <f>'Milling Down Time Hours'!G63</f>
        <v>20</v>
      </c>
      <c r="S65" s="1214"/>
      <c r="T65" s="1080">
        <f>AVERAGE('LT Ball Mill'!F142:F147)</f>
        <v>0.5481666666666668</v>
      </c>
      <c r="U65" s="1080">
        <f>AVERAGE('LT Ball Mill'!G142:G147)</f>
        <v>1.1816666666666669</v>
      </c>
      <c r="V65" s="1080">
        <f>AVERAGE('LT Ball Mill'!H142:H147)</f>
        <v>19.161666666666665</v>
      </c>
      <c r="W65" s="979">
        <f t="shared" si="60"/>
        <v>69.008766621401847</v>
      </c>
      <c r="X65" s="934">
        <f t="shared" si="61"/>
        <v>148.76015668766769</v>
      </c>
      <c r="Y65" s="934">
        <f t="shared" si="62"/>
        <v>2412.2644872187802</v>
      </c>
      <c r="Z65" s="980">
        <v>10.8</v>
      </c>
    </row>
    <row r="66" spans="1:30" ht="15" thickBot="1" x14ac:dyDescent="0.35">
      <c r="A66" s="676"/>
      <c r="B66" s="1267"/>
      <c r="C66" s="1268"/>
      <c r="D66" s="969"/>
      <c r="E66" s="1183" t="s">
        <v>766</v>
      </c>
      <c r="F66" s="970" t="s">
        <v>13</v>
      </c>
      <c r="G66" s="963"/>
      <c r="H66" s="963"/>
      <c r="I66" s="1106"/>
      <c r="J66" s="963"/>
      <c r="K66" s="963"/>
      <c r="L66" s="963"/>
      <c r="M66" s="964">
        <f t="shared" si="7"/>
        <v>0</v>
      </c>
      <c r="N66" s="1211"/>
      <c r="O66" s="965" t="e">
        <f>(M66/P66)</f>
        <v>#DIV/0!</v>
      </c>
      <c r="P66" s="965">
        <f t="shared" si="63"/>
        <v>0</v>
      </c>
      <c r="Q66" s="965">
        <f t="shared" si="64"/>
        <v>0</v>
      </c>
      <c r="R66" s="965">
        <f>'Milling Down Time Hours'!G64</f>
        <v>720</v>
      </c>
      <c r="S66" s="667"/>
      <c r="T66" s="1181"/>
      <c r="U66" s="1181"/>
      <c r="V66" s="1182"/>
      <c r="W66" s="967">
        <f t="shared" si="60"/>
        <v>0</v>
      </c>
      <c r="X66" s="965">
        <f t="shared" si="61"/>
        <v>0</v>
      </c>
      <c r="Y66" s="965">
        <f t="shared" si="62"/>
        <v>0</v>
      </c>
      <c r="Z66" s="968"/>
    </row>
    <row r="67" spans="1:30" ht="15" thickBot="1" x14ac:dyDescent="0.35">
      <c r="B67" s="1206">
        <v>46295</v>
      </c>
      <c r="C67" s="1207"/>
      <c r="D67" s="13"/>
      <c r="E67" s="13"/>
      <c r="F67" s="917" t="s">
        <v>12</v>
      </c>
      <c r="G67" s="233"/>
      <c r="H67" s="233"/>
      <c r="I67" s="872"/>
      <c r="J67" s="233"/>
      <c r="K67" s="233"/>
      <c r="L67" s="233"/>
      <c r="M67" s="885">
        <f t="shared" si="7"/>
        <v>0</v>
      </c>
      <c r="N67" s="233"/>
      <c r="O67" s="872"/>
      <c r="P67" s="889"/>
      <c r="Q67" s="867"/>
      <c r="R67" s="889"/>
      <c r="S67" s="13"/>
      <c r="T67" s="988"/>
      <c r="U67" s="988"/>
      <c r="V67" s="992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208"/>
      <c r="C68" s="1209"/>
      <c r="D68" s="36"/>
      <c r="E68" s="36"/>
      <c r="F68" s="908" t="s">
        <v>13</v>
      </c>
      <c r="G68" s="233"/>
      <c r="H68" s="233"/>
      <c r="I68" s="872"/>
      <c r="J68" s="233"/>
      <c r="K68" s="233"/>
      <c r="L68" s="233"/>
      <c r="M68" s="885">
        <f t="shared" si="7"/>
        <v>0</v>
      </c>
      <c r="N68" s="233"/>
      <c r="O68" s="872"/>
      <c r="P68" s="931"/>
      <c r="Q68" s="890"/>
      <c r="R68" s="1289">
        <f>'Milling Down Time Hours'!L73</f>
        <v>0</v>
      </c>
      <c r="S68" s="13"/>
      <c r="T68" s="987"/>
      <c r="U68" s="987"/>
      <c r="V68" s="991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206">
        <v>46296</v>
      </c>
      <c r="C69" s="1207"/>
      <c r="D69" s="13"/>
      <c r="E69" s="13"/>
      <c r="F69" s="917" t="s">
        <v>12</v>
      </c>
      <c r="G69" s="233"/>
      <c r="H69" s="233"/>
      <c r="I69" s="872"/>
      <c r="J69" s="233"/>
      <c r="K69" s="233"/>
      <c r="L69" s="233"/>
      <c r="M69" s="885">
        <f t="shared" si="7"/>
        <v>0</v>
      </c>
      <c r="N69" s="233"/>
      <c r="O69" s="872"/>
      <c r="P69" s="932"/>
      <c r="Q69" s="891"/>
      <c r="R69" s="1288"/>
      <c r="S69" s="13"/>
      <c r="T69" s="988"/>
      <c r="U69" s="988"/>
      <c r="V69" s="992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208"/>
      <c r="C70" s="1209"/>
      <c r="D70" s="36"/>
      <c r="E70" s="36"/>
      <c r="F70" s="908" t="s">
        <v>13</v>
      </c>
      <c r="G70" s="233"/>
      <c r="H70" s="233"/>
      <c r="I70" s="872"/>
      <c r="J70" s="233"/>
      <c r="K70" s="233"/>
      <c r="L70" s="233"/>
      <c r="M70" s="885">
        <f t="shared" si="7"/>
        <v>0</v>
      </c>
      <c r="N70" s="233"/>
      <c r="O70" s="872"/>
      <c r="P70" s="930"/>
      <c r="Q70" s="866"/>
      <c r="R70" s="1289">
        <f>'Milling Down Time Hours'!L75</f>
        <v>0</v>
      </c>
      <c r="S70" s="13"/>
      <c r="T70" s="987"/>
      <c r="U70" s="987"/>
      <c r="V70" s="989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206">
        <v>46297</v>
      </c>
      <c r="C71" s="1207"/>
      <c r="D71" s="13"/>
      <c r="E71" s="13"/>
      <c r="F71" s="917" t="s">
        <v>12</v>
      </c>
      <c r="G71" s="233"/>
      <c r="H71" s="13"/>
      <c r="I71" s="872"/>
      <c r="J71" s="233"/>
      <c r="K71" s="233"/>
      <c r="L71" s="233"/>
      <c r="M71" s="885">
        <f t="shared" si="7"/>
        <v>0</v>
      </c>
      <c r="N71" s="233"/>
      <c r="O71" s="872"/>
      <c r="P71" s="889"/>
      <c r="Q71" s="867"/>
      <c r="R71" s="1288"/>
      <c r="S71" s="13"/>
      <c r="T71" s="988"/>
      <c r="U71" s="988"/>
      <c r="V71" s="990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208"/>
      <c r="C72" s="1209"/>
      <c r="D72" s="36"/>
      <c r="E72" s="36"/>
      <c r="F72" s="908" t="s">
        <v>13</v>
      </c>
      <c r="G72" s="882"/>
      <c r="H72" s="13"/>
      <c r="I72" s="872"/>
      <c r="J72" s="233"/>
      <c r="K72" s="233"/>
      <c r="L72" s="882"/>
      <c r="M72" s="885">
        <f t="shared" si="7"/>
        <v>0</v>
      </c>
      <c r="N72" s="882"/>
      <c r="O72" s="872"/>
      <c r="P72" s="930"/>
      <c r="Q72" s="866"/>
      <c r="R72" s="1289">
        <f>'Milling Down Time Hours'!L77</f>
        <v>0</v>
      </c>
      <c r="S72" s="13"/>
      <c r="T72" s="987"/>
      <c r="U72" s="987"/>
      <c r="V72" s="989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206">
        <v>46298</v>
      </c>
      <c r="C73" s="1207"/>
      <c r="D73" s="13"/>
      <c r="E73" s="13"/>
      <c r="F73" s="917" t="s">
        <v>12</v>
      </c>
      <c r="G73" s="233"/>
      <c r="H73" s="13"/>
      <c r="I73" s="872"/>
      <c r="J73" s="233"/>
      <c r="K73" s="233"/>
      <c r="L73" s="233"/>
      <c r="M73" s="885">
        <f t="shared" si="7"/>
        <v>0</v>
      </c>
      <c r="N73" s="233"/>
      <c r="O73" s="872"/>
      <c r="P73" s="889"/>
      <c r="Q73" s="867"/>
      <c r="R73" s="1288"/>
      <c r="S73" s="13"/>
      <c r="T73" s="988"/>
      <c r="U73" s="988"/>
      <c r="V73" s="990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208"/>
      <c r="C74" s="1209"/>
      <c r="D74" s="36"/>
      <c r="E74" s="36"/>
      <c r="F74" s="908" t="s">
        <v>13</v>
      </c>
      <c r="G74" s="882"/>
      <c r="H74" s="13"/>
      <c r="I74" s="872"/>
      <c r="J74" s="233"/>
      <c r="K74" s="233"/>
      <c r="L74" s="882"/>
      <c r="M74" s="885">
        <f t="shared" si="7"/>
        <v>0</v>
      </c>
      <c r="N74" s="882"/>
      <c r="O74" s="872"/>
      <c r="P74" s="930"/>
      <c r="Q74" s="866"/>
      <c r="R74" s="930">
        <f>'Milling Down Time Hours'!L79</f>
        <v>0</v>
      </c>
      <c r="S74" s="13"/>
      <c r="T74" s="987"/>
      <c r="U74" s="987"/>
      <c r="V74" s="989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265">
        <v>46299</v>
      </c>
      <c r="C75" s="1266"/>
      <c r="D75" s="667"/>
      <c r="E75" s="667" t="s">
        <v>766</v>
      </c>
      <c r="F75" s="961" t="s">
        <v>12</v>
      </c>
      <c r="G75" s="962">
        <v>0.22</v>
      </c>
      <c r="H75" s="668">
        <f>J75</f>
        <v>539.24789999999996</v>
      </c>
      <c r="I75" s="965">
        <f>H75/P75</f>
        <v>44.937324999999994</v>
      </c>
      <c r="J75" s="965">
        <f>3.14*Z75*((10.7/2)^2)</f>
        <v>539.24789999999996</v>
      </c>
      <c r="K75" s="963">
        <v>1.135</v>
      </c>
      <c r="L75" s="962">
        <v>0.7</v>
      </c>
      <c r="M75" s="964">
        <f>H75*K75*G75</f>
        <v>134.65020063</v>
      </c>
      <c r="N75" s="1210">
        <f>SUM(M75:M76)</f>
        <v>199.82504994374997</v>
      </c>
      <c r="O75" s="965">
        <f>M75/P75</f>
        <v>11.220850052499999</v>
      </c>
      <c r="P75" s="1192">
        <f>(720-R75)/60</f>
        <v>12</v>
      </c>
      <c r="Q75" s="1192">
        <f>720-R75</f>
        <v>720</v>
      </c>
      <c r="R75" s="1191">
        <f>'Milling Down Time Hours'!G73</f>
        <v>0</v>
      </c>
      <c r="S75" s="1210">
        <f>SUM(M75:M78)</f>
        <v>346.52070054000001</v>
      </c>
      <c r="T75" s="1193"/>
      <c r="U75" s="1193"/>
      <c r="V75" s="1194"/>
      <c r="W75" s="967">
        <f t="shared" si="60"/>
        <v>0</v>
      </c>
      <c r="X75" s="965">
        <f t="shared" si="61"/>
        <v>0</v>
      </c>
      <c r="Y75" s="965">
        <f t="shared" si="62"/>
        <v>0</v>
      </c>
      <c r="Z75" s="968">
        <v>6</v>
      </c>
    </row>
    <row r="76" spans="1:30" ht="15" thickBot="1" x14ac:dyDescent="0.35">
      <c r="B76" s="1267"/>
      <c r="C76" s="1268"/>
      <c r="D76" s="969"/>
      <c r="E76" s="969"/>
      <c r="F76" s="970" t="s">
        <v>13</v>
      </c>
      <c r="G76" s="962">
        <v>0.25</v>
      </c>
      <c r="H76" s="668">
        <f>J76-SUM(H75)</f>
        <v>152.78690499999993</v>
      </c>
      <c r="I76" s="965">
        <f>H76/P76</f>
        <v>12.911569436619713</v>
      </c>
      <c r="J76" s="965">
        <f>3.14*Z76*((10.7/2)^2)</f>
        <v>692.03480499999989</v>
      </c>
      <c r="K76" s="963">
        <v>1.155</v>
      </c>
      <c r="L76" s="962">
        <v>0.7</v>
      </c>
      <c r="M76" s="964">
        <f>(J76*K76*G76)-SUM(M75)</f>
        <v>65.174849313749974</v>
      </c>
      <c r="N76" s="1211"/>
      <c r="O76" s="965">
        <f>M76/P76</f>
        <v>5.5077337448239412</v>
      </c>
      <c r="P76" s="1192">
        <f>(720-R76)/60</f>
        <v>11.833333333333334</v>
      </c>
      <c r="Q76" s="1192">
        <f>720-R76</f>
        <v>710</v>
      </c>
      <c r="R76" s="1191">
        <f>'Milling Down Time Hours'!G74</f>
        <v>10</v>
      </c>
      <c r="S76" s="1261"/>
      <c r="T76" s="1195"/>
      <c r="U76" s="1195"/>
      <c r="V76" s="1196"/>
      <c r="W76" s="967">
        <f t="shared" si="60"/>
        <v>0</v>
      </c>
      <c r="X76" s="965">
        <f t="shared" si="61"/>
        <v>0</v>
      </c>
      <c r="Y76" s="965">
        <f t="shared" si="62"/>
        <v>0</v>
      </c>
      <c r="Z76" s="968">
        <v>7.7</v>
      </c>
    </row>
    <row r="77" spans="1:30" ht="15" thickBot="1" x14ac:dyDescent="0.35">
      <c r="B77" s="1265">
        <v>46300</v>
      </c>
      <c r="C77" s="1266"/>
      <c r="D77" s="667"/>
      <c r="E77" s="667"/>
      <c r="F77" s="961" t="s">
        <v>12</v>
      </c>
      <c r="G77" s="962">
        <v>0.3</v>
      </c>
      <c r="H77" s="668">
        <f>J77-SUM(H75:H76)</f>
        <v>179.74929999999995</v>
      </c>
      <c r="I77" s="965">
        <f>H77/P77</f>
        <v>14.979108333333329</v>
      </c>
      <c r="J77" s="965">
        <f>3.14*Z77*((10.7/2)^2)</f>
        <v>871.78410499999984</v>
      </c>
      <c r="K77" s="963">
        <v>1.19</v>
      </c>
      <c r="L77" s="962">
        <v>0.7</v>
      </c>
      <c r="M77" s="964">
        <f>(J77*K77*G77)-SUM(M75:M76)</f>
        <v>111.40187554124995</v>
      </c>
      <c r="N77" s="1210">
        <f>SUM(M77:M78)</f>
        <v>146.69565059625003</v>
      </c>
      <c r="O77" s="965">
        <f>M77/P77</f>
        <v>9.2834896284374953</v>
      </c>
      <c r="P77" s="1192">
        <f>(720-R77)/60</f>
        <v>12</v>
      </c>
      <c r="Q77" s="1192">
        <f>720-R77</f>
        <v>720</v>
      </c>
      <c r="R77" s="1191">
        <f>'Milling Down Time Hours'!G75</f>
        <v>0</v>
      </c>
      <c r="S77" s="1261"/>
      <c r="T77" s="1202"/>
      <c r="U77" s="1202"/>
      <c r="V77" s="1203"/>
      <c r="W77" s="967">
        <f t="shared" si="60"/>
        <v>0</v>
      </c>
      <c r="X77" s="965">
        <f t="shared" si="61"/>
        <v>0</v>
      </c>
      <c r="Y77" s="965">
        <f t="shared" si="62"/>
        <v>0</v>
      </c>
      <c r="Z77" s="968">
        <v>9.6999999999999993</v>
      </c>
    </row>
    <row r="78" spans="1:30" ht="15" thickBot="1" x14ac:dyDescent="0.35">
      <c r="B78" s="1267"/>
      <c r="C78" s="1268"/>
      <c r="D78" s="969"/>
      <c r="E78" s="969"/>
      <c r="F78" s="970" t="s">
        <v>13</v>
      </c>
      <c r="G78" s="962">
        <v>0.3</v>
      </c>
      <c r="H78" s="668">
        <f>J78-SUM(H75:H77)</f>
        <v>98.862115000000131</v>
      </c>
      <c r="I78" s="965" t="e">
        <f>H78/P78</f>
        <v>#DIV/0!</v>
      </c>
      <c r="J78" s="965">
        <f>3.14*Z78*((10.7/2)^2)</f>
        <v>970.64621999999997</v>
      </c>
      <c r="K78" s="963">
        <v>1.19</v>
      </c>
      <c r="L78" s="962"/>
      <c r="M78" s="964">
        <f>(J78*K78*G78)-SUM(M75:M77)</f>
        <v>35.293775055000083</v>
      </c>
      <c r="N78" s="1211"/>
      <c r="O78" s="1106"/>
      <c r="P78" s="965"/>
      <c r="Q78" s="965"/>
      <c r="R78" s="965">
        <f>'Milling Down Time Hours'!L83</f>
        <v>0</v>
      </c>
      <c r="S78" s="1211"/>
      <c r="T78" s="1181"/>
      <c r="U78" s="1181"/>
      <c r="V78" s="1204"/>
      <c r="W78" s="967">
        <f t="shared" si="60"/>
        <v>0</v>
      </c>
      <c r="X78" s="965">
        <f t="shared" si="61"/>
        <v>0</v>
      </c>
      <c r="Y78" s="965">
        <f t="shared" si="62"/>
        <v>0</v>
      </c>
      <c r="Z78" s="968">
        <v>10.8</v>
      </c>
    </row>
    <row r="79" spans="1:30" ht="15" thickBot="1" x14ac:dyDescent="0.35">
      <c r="B79" s="1206">
        <v>46301</v>
      </c>
      <c r="C79" s="1207"/>
      <c r="D79" s="13"/>
      <c r="E79" s="13"/>
      <c r="F79" s="917" t="s">
        <v>12</v>
      </c>
      <c r="G79" s="233"/>
      <c r="H79" s="13"/>
      <c r="I79" s="872"/>
      <c r="J79" s="233"/>
      <c r="K79" s="233"/>
      <c r="L79" s="233"/>
      <c r="M79" s="885">
        <f t="shared" ref="M79:M102" si="65">H79*K79*G79</f>
        <v>0</v>
      </c>
      <c r="N79" s="233"/>
      <c r="O79" s="872"/>
      <c r="P79" s="154"/>
      <c r="Q79" s="154"/>
      <c r="R79" s="154"/>
      <c r="S79" s="13"/>
      <c r="T79" s="988"/>
      <c r="U79" s="988"/>
      <c r="V79" s="990"/>
      <c r="W79" s="159">
        <f t="shared" si="60"/>
        <v>0</v>
      </c>
      <c r="X79" s="154">
        <f t="shared" si="61"/>
        <v>0</v>
      </c>
      <c r="Y79" s="154">
        <f t="shared" si="62"/>
        <v>0</v>
      </c>
      <c r="Z79" s="745"/>
    </row>
    <row r="80" spans="1:30" ht="14.55" hidden="1" customHeight="1" thickBot="1" x14ac:dyDescent="0.35">
      <c r="B80" s="1285"/>
      <c r="C80" s="1286"/>
      <c r="D80" s="36"/>
      <c r="E80" s="36"/>
      <c r="F80" s="908" t="s">
        <v>13</v>
      </c>
      <c r="G80" s="882"/>
      <c r="H80" s="13"/>
      <c r="I80" s="872"/>
      <c r="J80" s="233"/>
      <c r="K80" s="233"/>
      <c r="L80" s="233"/>
      <c r="M80" s="885">
        <f t="shared" si="65"/>
        <v>0</v>
      </c>
      <c r="N80" s="233"/>
      <c r="O80" s="872"/>
      <c r="P80" s="1287">
        <f>'Milling Down Time Hours'!Q43</f>
        <v>0</v>
      </c>
      <c r="Q80" s="458"/>
      <c r="R80" s="1287">
        <f>'Milling Down Time Hours'!L85</f>
        <v>0</v>
      </c>
      <c r="S80" s="13"/>
      <c r="T80" s="1292">
        <v>0.35699999999999998</v>
      </c>
      <c r="U80" s="1292">
        <v>1.056</v>
      </c>
      <c r="V80" s="1294">
        <v>32.25</v>
      </c>
      <c r="W80" s="159">
        <f t="shared" si="60"/>
        <v>0</v>
      </c>
      <c r="X80" s="154">
        <f t="shared" si="61"/>
        <v>0</v>
      </c>
      <c r="Y80" s="154">
        <f t="shared" si="62"/>
        <v>0</v>
      </c>
      <c r="Z80" s="745"/>
      <c r="AD80" s="1">
        <v>0.51600000000000001</v>
      </c>
    </row>
    <row r="81" spans="2:30" ht="15" hidden="1" customHeight="1" thickBot="1" x14ac:dyDescent="0.35">
      <c r="B81" s="1285"/>
      <c r="C81" s="1286"/>
      <c r="D81" s="13"/>
      <c r="E81" s="13"/>
      <c r="F81" s="917" t="s">
        <v>12</v>
      </c>
      <c r="G81" s="233"/>
      <c r="H81" s="13"/>
      <c r="I81" s="872"/>
      <c r="J81" s="233"/>
      <c r="K81" s="233"/>
      <c r="L81" s="233"/>
      <c r="M81" s="885">
        <f t="shared" si="65"/>
        <v>0</v>
      </c>
      <c r="N81" s="233"/>
      <c r="O81" s="872"/>
      <c r="P81" s="1288"/>
      <c r="Q81" s="867"/>
      <c r="R81" s="1288"/>
      <c r="S81" s="13"/>
      <c r="T81" s="1293"/>
      <c r="U81" s="1293"/>
      <c r="V81" s="1295"/>
      <c r="W81" s="159">
        <f t="shared" si="60"/>
        <v>0</v>
      </c>
      <c r="X81" s="154">
        <f t="shared" si="61"/>
        <v>0</v>
      </c>
      <c r="Y81" s="154">
        <f t="shared" si="62"/>
        <v>0</v>
      </c>
      <c r="Z81" s="745"/>
      <c r="AD81" s="117">
        <f>AVERAGE(AD75:AD80)</f>
        <v>0.51600000000000001</v>
      </c>
    </row>
    <row r="82" spans="2:30" ht="14.55" hidden="1" customHeight="1" thickBot="1" x14ac:dyDescent="0.35">
      <c r="B82" s="1285"/>
      <c r="C82" s="1286"/>
      <c r="D82" s="36"/>
      <c r="E82" s="36"/>
      <c r="F82" s="908" t="s">
        <v>13</v>
      </c>
      <c r="G82" s="233"/>
      <c r="H82" s="13"/>
      <c r="I82" s="872"/>
      <c r="J82" s="233"/>
      <c r="K82" s="233"/>
      <c r="L82" s="233"/>
      <c r="M82" s="885">
        <f t="shared" si="65"/>
        <v>0</v>
      </c>
      <c r="N82" s="233"/>
      <c r="O82" s="872"/>
      <c r="P82" s="1289">
        <f>'Milling Down Time Hours'!M87</f>
        <v>0</v>
      </c>
      <c r="Q82" s="866"/>
      <c r="R82" s="1289">
        <f>'Milling Down Time Hours'!L87</f>
        <v>0</v>
      </c>
      <c r="S82" s="13"/>
      <c r="T82" s="1290" t="e">
        <f>SUM(#REF!)</f>
        <v>#REF!</v>
      </c>
      <c r="U82" s="1290" t="e">
        <f t="shared" ref="U82:V82" si="66">SUM(T82:T84)</f>
        <v>#REF!</v>
      </c>
      <c r="V82" s="1297" t="e">
        <f t="shared" si="66"/>
        <v>#REF!</v>
      </c>
      <c r="W82" s="159" t="e">
        <f t="shared" si="60"/>
        <v>#REF!</v>
      </c>
      <c r="X82" s="154" t="e">
        <f t="shared" si="61"/>
        <v>#REF!</v>
      </c>
      <c r="Y82" s="154" t="e">
        <f t="shared" si="62"/>
        <v>#REF!</v>
      </c>
      <c r="Z82" s="745"/>
    </row>
    <row r="83" spans="2:30" ht="15" hidden="1" customHeight="1" thickBot="1" x14ac:dyDescent="0.35">
      <c r="B83" s="1285"/>
      <c r="C83" s="1286"/>
      <c r="D83" s="13"/>
      <c r="E83" s="13"/>
      <c r="F83" s="917" t="s">
        <v>12</v>
      </c>
      <c r="G83" s="233"/>
      <c r="H83" s="13"/>
      <c r="I83" s="872"/>
      <c r="J83" s="233"/>
      <c r="K83" s="233"/>
      <c r="L83" s="233"/>
      <c r="M83" s="885">
        <f t="shared" si="65"/>
        <v>0</v>
      </c>
      <c r="N83" s="233"/>
      <c r="O83" s="872"/>
      <c r="P83" s="1288"/>
      <c r="Q83" s="867"/>
      <c r="R83" s="1288"/>
      <c r="S83" s="13"/>
      <c r="T83" s="1291"/>
      <c r="U83" s="1291"/>
      <c r="V83" s="1298"/>
      <c r="W83" s="159">
        <f t="shared" si="60"/>
        <v>0</v>
      </c>
      <c r="X83" s="154">
        <f t="shared" si="61"/>
        <v>0</v>
      </c>
      <c r="Y83" s="154">
        <f t="shared" si="62"/>
        <v>0</v>
      </c>
      <c r="Z83" s="745"/>
    </row>
    <row r="84" spans="2:30" ht="14.55" hidden="1" customHeight="1" thickBot="1" x14ac:dyDescent="0.35">
      <c r="B84" s="1285"/>
      <c r="C84" s="1286"/>
      <c r="D84" s="36"/>
      <c r="E84" s="36"/>
      <c r="F84" s="908" t="s">
        <v>13</v>
      </c>
      <c r="G84" s="233"/>
      <c r="H84" s="13"/>
      <c r="I84" s="872"/>
      <c r="J84" s="233"/>
      <c r="K84" s="233"/>
      <c r="L84" s="233"/>
      <c r="M84" s="885">
        <f t="shared" si="65"/>
        <v>0</v>
      </c>
      <c r="N84" s="233"/>
      <c r="O84" s="872"/>
      <c r="P84" s="1289">
        <f>'Milling Down Time Hours'!M89</f>
        <v>0</v>
      </c>
      <c r="Q84" s="866"/>
      <c r="R84" s="1289">
        <f>'Milling Down Time Hours'!L89</f>
        <v>0</v>
      </c>
      <c r="S84" s="13"/>
      <c r="T84" s="1290" t="e">
        <f>SUM(#REF!)</f>
        <v>#REF!</v>
      </c>
      <c r="U84" s="1290" t="e">
        <f t="shared" ref="U84:V84" si="67">SUM(T84:T86)</f>
        <v>#REF!</v>
      </c>
      <c r="V84" s="1297" t="e">
        <f t="shared" si="67"/>
        <v>#REF!</v>
      </c>
      <c r="W84" s="159" t="e">
        <f t="shared" si="60"/>
        <v>#REF!</v>
      </c>
      <c r="X84" s="154" t="e">
        <f t="shared" si="61"/>
        <v>#REF!</v>
      </c>
      <c r="Y84" s="154" t="e">
        <f t="shared" si="62"/>
        <v>#REF!</v>
      </c>
      <c r="Z84" s="745"/>
    </row>
    <row r="85" spans="2:30" ht="15" hidden="1" customHeight="1" thickBot="1" x14ac:dyDescent="0.35">
      <c r="B85" s="1285"/>
      <c r="C85" s="1286"/>
      <c r="D85" s="13"/>
      <c r="E85" s="13"/>
      <c r="F85" s="917" t="s">
        <v>12</v>
      </c>
      <c r="G85" s="233"/>
      <c r="H85" s="13"/>
      <c r="I85" s="872"/>
      <c r="J85" s="233"/>
      <c r="K85" s="233"/>
      <c r="L85" s="233"/>
      <c r="M85" s="885">
        <f t="shared" si="65"/>
        <v>0</v>
      </c>
      <c r="N85" s="233"/>
      <c r="O85" s="872"/>
      <c r="P85" s="1288"/>
      <c r="Q85" s="867"/>
      <c r="R85" s="1288"/>
      <c r="S85" s="13"/>
      <c r="T85" s="1291"/>
      <c r="U85" s="1291"/>
      <c r="V85" s="1298"/>
      <c r="W85" s="159">
        <f t="shared" si="60"/>
        <v>0</v>
      </c>
      <c r="X85" s="154">
        <f t="shared" si="61"/>
        <v>0</v>
      </c>
      <c r="Y85" s="154">
        <f t="shared" si="62"/>
        <v>0</v>
      </c>
      <c r="Z85" s="745"/>
    </row>
    <row r="86" spans="2:30" ht="14.55" hidden="1" customHeight="1" thickBot="1" x14ac:dyDescent="0.35">
      <c r="B86" s="1285"/>
      <c r="C86" s="1286"/>
      <c r="D86" s="36"/>
      <c r="E86" s="36"/>
      <c r="F86" s="908" t="s">
        <v>13</v>
      </c>
      <c r="G86" s="233"/>
      <c r="H86" s="13"/>
      <c r="I86" s="872"/>
      <c r="J86" s="233"/>
      <c r="K86" s="233"/>
      <c r="L86" s="233"/>
      <c r="M86" s="885">
        <f t="shared" si="65"/>
        <v>0</v>
      </c>
      <c r="N86" s="233"/>
      <c r="O86" s="872"/>
      <c r="P86" s="1289">
        <f>'Milling Down Time Hours'!M91</f>
        <v>0</v>
      </c>
      <c r="Q86" s="866"/>
      <c r="R86" s="1289">
        <f>'Milling Down Time Hours'!L91</f>
        <v>0</v>
      </c>
      <c r="S86" s="13"/>
      <c r="T86" s="1290" t="e">
        <f>SUM(#REF!)</f>
        <v>#REF!</v>
      </c>
      <c r="U86" s="1290" t="e">
        <f t="shared" ref="U86:V86" si="68">SUM(T86:T88)</f>
        <v>#REF!</v>
      </c>
      <c r="V86" s="1297" t="e">
        <f t="shared" si="68"/>
        <v>#REF!</v>
      </c>
      <c r="W86" s="159" t="e">
        <f t="shared" si="60"/>
        <v>#REF!</v>
      </c>
      <c r="X86" s="154" t="e">
        <f t="shared" si="61"/>
        <v>#REF!</v>
      </c>
      <c r="Y86" s="154" t="e">
        <f t="shared" si="62"/>
        <v>#REF!</v>
      </c>
      <c r="Z86" s="745"/>
    </row>
    <row r="87" spans="2:30" ht="15" hidden="1" customHeight="1" thickBot="1" x14ac:dyDescent="0.35">
      <c r="B87" s="1285"/>
      <c r="C87" s="1286"/>
      <c r="D87" s="13"/>
      <c r="E87" s="13"/>
      <c r="F87" s="917" t="s">
        <v>12</v>
      </c>
      <c r="G87" s="233"/>
      <c r="H87" s="13"/>
      <c r="I87" s="872"/>
      <c r="J87" s="233"/>
      <c r="K87" s="233"/>
      <c r="L87" s="233"/>
      <c r="M87" s="885">
        <f t="shared" si="65"/>
        <v>0</v>
      </c>
      <c r="N87" s="233"/>
      <c r="O87" s="872"/>
      <c r="P87" s="1288"/>
      <c r="Q87" s="867"/>
      <c r="R87" s="1288"/>
      <c r="S87" s="13"/>
      <c r="T87" s="1291"/>
      <c r="U87" s="1291"/>
      <c r="V87" s="1298"/>
      <c r="W87" s="159">
        <f t="shared" si="60"/>
        <v>0</v>
      </c>
      <c r="X87" s="154">
        <f t="shared" si="61"/>
        <v>0</v>
      </c>
      <c r="Y87" s="154">
        <f t="shared" si="62"/>
        <v>0</v>
      </c>
      <c r="Z87" s="745"/>
    </row>
    <row r="88" spans="2:30" ht="14.55" hidden="1" customHeight="1" thickBot="1" x14ac:dyDescent="0.35">
      <c r="B88" s="1285"/>
      <c r="C88" s="1286"/>
      <c r="D88" s="36"/>
      <c r="E88" s="36"/>
      <c r="F88" s="908" t="s">
        <v>13</v>
      </c>
      <c r="G88" s="233"/>
      <c r="H88" s="13"/>
      <c r="I88" s="872"/>
      <c r="J88" s="233"/>
      <c r="K88" s="233"/>
      <c r="L88" s="233"/>
      <c r="M88" s="885">
        <f t="shared" si="65"/>
        <v>0</v>
      </c>
      <c r="N88" s="233"/>
      <c r="O88" s="872"/>
      <c r="P88" s="1289">
        <f>'Milling Down Time Hours'!M93</f>
        <v>0</v>
      </c>
      <c r="Q88" s="866"/>
      <c r="R88" s="1289">
        <f>'Milling Down Time Hours'!L93</f>
        <v>0</v>
      </c>
      <c r="S88" s="13"/>
      <c r="T88" s="1290" t="e">
        <f>SUM(#REF!)</f>
        <v>#REF!</v>
      </c>
      <c r="U88" s="1290" t="e">
        <f t="shared" ref="U88:V88" si="69">SUM(T88:T90)</f>
        <v>#REF!</v>
      </c>
      <c r="V88" s="1297" t="e">
        <f t="shared" si="69"/>
        <v>#REF!</v>
      </c>
      <c r="W88" s="159" t="e">
        <f t="shared" si="60"/>
        <v>#REF!</v>
      </c>
      <c r="X88" s="154" t="e">
        <f t="shared" si="61"/>
        <v>#REF!</v>
      </c>
      <c r="Y88" s="154" t="e">
        <f t="shared" si="62"/>
        <v>#REF!</v>
      </c>
      <c r="Z88" s="745"/>
    </row>
    <row r="89" spans="2:30" ht="15" hidden="1" customHeight="1" thickBot="1" x14ac:dyDescent="0.35">
      <c r="B89" s="1285"/>
      <c r="C89" s="1286"/>
      <c r="D89" s="13"/>
      <c r="E89" s="13"/>
      <c r="F89" s="917" t="s">
        <v>12</v>
      </c>
      <c r="G89" s="233"/>
      <c r="H89" s="13"/>
      <c r="I89" s="872"/>
      <c r="J89" s="233"/>
      <c r="K89" s="233"/>
      <c r="L89" s="233"/>
      <c r="M89" s="885">
        <f t="shared" si="65"/>
        <v>0</v>
      </c>
      <c r="N89" s="233"/>
      <c r="O89" s="872"/>
      <c r="P89" s="1288"/>
      <c r="Q89" s="867"/>
      <c r="R89" s="1288"/>
      <c r="S89" s="13"/>
      <c r="T89" s="1291"/>
      <c r="U89" s="1291"/>
      <c r="V89" s="1298"/>
      <c r="W89" s="159">
        <f t="shared" si="60"/>
        <v>0</v>
      </c>
      <c r="X89" s="154">
        <f t="shared" si="61"/>
        <v>0</v>
      </c>
      <c r="Y89" s="154">
        <f t="shared" si="62"/>
        <v>0</v>
      </c>
      <c r="Z89" s="745"/>
    </row>
    <row r="90" spans="2:30" ht="14.55" hidden="1" customHeight="1" thickBot="1" x14ac:dyDescent="0.35">
      <c r="B90" s="1285"/>
      <c r="C90" s="1286"/>
      <c r="D90" s="36"/>
      <c r="E90" s="36"/>
      <c r="F90" s="908" t="s">
        <v>13</v>
      </c>
      <c r="G90" s="233"/>
      <c r="H90" s="13"/>
      <c r="I90" s="872"/>
      <c r="J90" s="233"/>
      <c r="K90" s="233"/>
      <c r="L90" s="233"/>
      <c r="M90" s="885">
        <f t="shared" si="65"/>
        <v>0</v>
      </c>
      <c r="N90" s="233"/>
      <c r="O90" s="872"/>
      <c r="P90" s="1289">
        <f>'Milling Down Time Hours'!M95</f>
        <v>0</v>
      </c>
      <c r="Q90" s="866"/>
      <c r="R90" s="1289">
        <f>'Milling Down Time Hours'!L95</f>
        <v>0</v>
      </c>
      <c r="S90" s="13"/>
      <c r="T90" s="1290" t="e">
        <f>SUM(#REF!)</f>
        <v>#REF!</v>
      </c>
      <c r="U90" s="1290" t="e">
        <f t="shared" ref="U90:V90" si="70">SUM(T90:T92)</f>
        <v>#REF!</v>
      </c>
      <c r="V90" s="1297" t="e">
        <f t="shared" si="70"/>
        <v>#REF!</v>
      </c>
      <c r="W90" s="159" t="e">
        <f t="shared" si="60"/>
        <v>#REF!</v>
      </c>
      <c r="X90" s="154" t="e">
        <f t="shared" si="61"/>
        <v>#REF!</v>
      </c>
      <c r="Y90" s="154" t="e">
        <f t="shared" si="62"/>
        <v>#REF!</v>
      </c>
      <c r="Z90" s="745"/>
    </row>
    <row r="91" spans="2:30" ht="15" hidden="1" customHeight="1" thickBot="1" x14ac:dyDescent="0.35">
      <c r="B91" s="1285"/>
      <c r="C91" s="1286"/>
      <c r="D91" s="13"/>
      <c r="E91" s="13"/>
      <c r="F91" s="917" t="s">
        <v>12</v>
      </c>
      <c r="G91" s="233"/>
      <c r="H91" s="13"/>
      <c r="I91" s="872"/>
      <c r="J91" s="233"/>
      <c r="K91" s="233"/>
      <c r="L91" s="233"/>
      <c r="M91" s="885">
        <f t="shared" si="65"/>
        <v>0</v>
      </c>
      <c r="N91" s="233"/>
      <c r="O91" s="872"/>
      <c r="P91" s="1288"/>
      <c r="Q91" s="867"/>
      <c r="R91" s="1288"/>
      <c r="S91" s="13"/>
      <c r="T91" s="1291"/>
      <c r="U91" s="1291"/>
      <c r="V91" s="1298"/>
      <c r="W91" s="159">
        <f t="shared" si="60"/>
        <v>0</v>
      </c>
      <c r="X91" s="154">
        <f t="shared" si="61"/>
        <v>0</v>
      </c>
      <c r="Y91" s="154">
        <f t="shared" si="62"/>
        <v>0</v>
      </c>
      <c r="Z91" s="745"/>
    </row>
    <row r="92" spans="2:30" ht="14.55" hidden="1" customHeight="1" thickBot="1" x14ac:dyDescent="0.35">
      <c r="B92" s="1285"/>
      <c r="C92" s="1286"/>
      <c r="D92" s="36"/>
      <c r="E92" s="36"/>
      <c r="F92" s="908" t="s">
        <v>13</v>
      </c>
      <c r="G92" s="233"/>
      <c r="H92" s="13"/>
      <c r="I92" s="872"/>
      <c r="J92" s="233"/>
      <c r="K92" s="233"/>
      <c r="L92" s="233"/>
      <c r="M92" s="885">
        <f t="shared" si="65"/>
        <v>0</v>
      </c>
      <c r="N92" s="233"/>
      <c r="O92" s="872"/>
      <c r="P92" s="1289">
        <f>'Milling Down Time Hours'!M97</f>
        <v>0</v>
      </c>
      <c r="Q92" s="866"/>
      <c r="R92" s="1289">
        <f>'Milling Down Time Hours'!L97</f>
        <v>0</v>
      </c>
      <c r="S92" s="13"/>
      <c r="T92" s="1290" t="e">
        <f>SUM(#REF!)</f>
        <v>#REF!</v>
      </c>
      <c r="U92" s="1290" t="e">
        <f t="shared" ref="U92:V92" si="71">SUM(T92:T94)</f>
        <v>#REF!</v>
      </c>
      <c r="V92" s="1297" t="e">
        <f t="shared" si="71"/>
        <v>#REF!</v>
      </c>
      <c r="W92" s="159" t="e">
        <f t="shared" si="60"/>
        <v>#REF!</v>
      </c>
      <c r="X92" s="154" t="e">
        <f t="shared" si="61"/>
        <v>#REF!</v>
      </c>
      <c r="Y92" s="154" t="e">
        <f t="shared" si="62"/>
        <v>#REF!</v>
      </c>
      <c r="Z92" s="745"/>
    </row>
    <row r="93" spans="2:30" ht="15" hidden="1" customHeight="1" thickBot="1" x14ac:dyDescent="0.35">
      <c r="B93" s="1285"/>
      <c r="C93" s="1286"/>
      <c r="D93" s="13"/>
      <c r="E93" s="13"/>
      <c r="F93" s="917" t="s">
        <v>12</v>
      </c>
      <c r="G93" s="233"/>
      <c r="H93" s="13"/>
      <c r="I93" s="872"/>
      <c r="J93" s="233"/>
      <c r="K93" s="233"/>
      <c r="L93" s="233"/>
      <c r="M93" s="885">
        <f t="shared" si="65"/>
        <v>0</v>
      </c>
      <c r="N93" s="233"/>
      <c r="O93" s="872"/>
      <c r="P93" s="1288"/>
      <c r="Q93" s="867"/>
      <c r="R93" s="1288"/>
      <c r="S93" s="13"/>
      <c r="T93" s="1291"/>
      <c r="U93" s="1291"/>
      <c r="V93" s="1298"/>
      <c r="W93" s="159">
        <f t="shared" si="60"/>
        <v>0</v>
      </c>
      <c r="X93" s="154">
        <f t="shared" si="61"/>
        <v>0</v>
      </c>
      <c r="Y93" s="154">
        <f t="shared" si="62"/>
        <v>0</v>
      </c>
      <c r="Z93" s="745"/>
    </row>
    <row r="94" spans="2:30" ht="14.55" hidden="1" customHeight="1" thickBot="1" x14ac:dyDescent="0.35">
      <c r="B94" s="1285"/>
      <c r="C94" s="1286"/>
      <c r="D94" s="36"/>
      <c r="E94" s="36"/>
      <c r="F94" s="908" t="s">
        <v>13</v>
      </c>
      <c r="G94" s="233"/>
      <c r="H94" s="13"/>
      <c r="I94" s="872"/>
      <c r="J94" s="233"/>
      <c r="K94" s="233"/>
      <c r="L94" s="233"/>
      <c r="M94" s="885">
        <f t="shared" si="65"/>
        <v>0</v>
      </c>
      <c r="N94" s="233"/>
      <c r="O94" s="872"/>
      <c r="P94" s="1289">
        <f>'Milling Down Time Hours'!M99</f>
        <v>0</v>
      </c>
      <c r="Q94" s="866"/>
      <c r="R94" s="1289">
        <f>'Milling Down Time Hours'!L99</f>
        <v>0</v>
      </c>
      <c r="S94" s="13"/>
      <c r="T94" s="1290" t="e">
        <f>SUM(#REF!)</f>
        <v>#REF!</v>
      </c>
      <c r="U94" s="1290" t="e">
        <f t="shared" ref="U94:V94" si="72">SUM(T94:T96)</f>
        <v>#REF!</v>
      </c>
      <c r="V94" s="1297" t="e">
        <f t="shared" si="72"/>
        <v>#REF!</v>
      </c>
      <c r="W94" s="159" t="e">
        <f t="shared" si="60"/>
        <v>#REF!</v>
      </c>
      <c r="X94" s="154" t="e">
        <f t="shared" si="61"/>
        <v>#REF!</v>
      </c>
      <c r="Y94" s="154" t="e">
        <f t="shared" si="62"/>
        <v>#REF!</v>
      </c>
      <c r="Z94" s="745"/>
    </row>
    <row r="95" spans="2:30" ht="15" hidden="1" customHeight="1" thickBot="1" x14ac:dyDescent="0.35">
      <c r="B95" s="1285"/>
      <c r="C95" s="1286"/>
      <c r="D95" s="13"/>
      <c r="E95" s="13"/>
      <c r="F95" s="917" t="s">
        <v>12</v>
      </c>
      <c r="G95" s="233"/>
      <c r="H95" s="13"/>
      <c r="I95" s="872"/>
      <c r="J95" s="233"/>
      <c r="K95" s="233"/>
      <c r="L95" s="233"/>
      <c r="M95" s="885">
        <f t="shared" si="65"/>
        <v>0</v>
      </c>
      <c r="N95" s="233"/>
      <c r="O95" s="872"/>
      <c r="P95" s="1288"/>
      <c r="Q95" s="867"/>
      <c r="R95" s="1288"/>
      <c r="S95" s="13"/>
      <c r="T95" s="1291"/>
      <c r="U95" s="1291"/>
      <c r="V95" s="1298"/>
      <c r="W95" s="159">
        <f t="shared" si="60"/>
        <v>0</v>
      </c>
      <c r="X95" s="154">
        <f t="shared" si="61"/>
        <v>0</v>
      </c>
      <c r="Y95" s="154">
        <f t="shared" si="62"/>
        <v>0</v>
      </c>
      <c r="Z95" s="745"/>
    </row>
    <row r="96" spans="2:30" ht="14.55" hidden="1" customHeight="1" thickBot="1" x14ac:dyDescent="0.35">
      <c r="B96" s="1285"/>
      <c r="C96" s="1286"/>
      <c r="D96" s="36"/>
      <c r="E96" s="36"/>
      <c r="F96" s="908" t="s">
        <v>13</v>
      </c>
      <c r="G96" s="233"/>
      <c r="H96" s="13"/>
      <c r="I96" s="872"/>
      <c r="J96" s="233"/>
      <c r="K96" s="233"/>
      <c r="L96" s="233"/>
      <c r="M96" s="885">
        <f t="shared" si="65"/>
        <v>0</v>
      </c>
      <c r="N96" s="233"/>
      <c r="O96" s="872"/>
      <c r="P96" s="1289">
        <f>'Milling Down Time Hours'!M101</f>
        <v>0</v>
      </c>
      <c r="Q96" s="866"/>
      <c r="R96" s="1289">
        <f>'Milling Down Time Hours'!L101</f>
        <v>0</v>
      </c>
      <c r="S96" s="13"/>
      <c r="T96" s="1290" t="e">
        <f>SUM(#REF!)</f>
        <v>#REF!</v>
      </c>
      <c r="U96" s="1290" t="e">
        <f>SUM(T96:T107)</f>
        <v>#REF!</v>
      </c>
      <c r="V96" s="1297" t="e">
        <f>SUM(U96:U107)</f>
        <v>#REF!</v>
      </c>
      <c r="W96" s="159" t="e">
        <f t="shared" si="60"/>
        <v>#REF!</v>
      </c>
      <c r="X96" s="154" t="e">
        <f t="shared" si="61"/>
        <v>#REF!</v>
      </c>
      <c r="Y96" s="154" t="e">
        <f t="shared" si="62"/>
        <v>#REF!</v>
      </c>
      <c r="Z96" s="745"/>
    </row>
    <row r="97" spans="2:27" ht="14.55" hidden="1" customHeight="1" thickBot="1" x14ac:dyDescent="0.35">
      <c r="B97" s="1285"/>
      <c r="C97" s="1286"/>
      <c r="D97" s="95"/>
      <c r="E97" s="95"/>
      <c r="F97" s="917" t="s">
        <v>12</v>
      </c>
      <c r="G97" s="864"/>
      <c r="H97" s="95"/>
      <c r="I97" s="873"/>
      <c r="J97" s="864"/>
      <c r="K97" s="864"/>
      <c r="L97" s="864"/>
      <c r="M97" s="885">
        <f t="shared" si="65"/>
        <v>0</v>
      </c>
      <c r="N97" s="864"/>
      <c r="O97" s="873"/>
      <c r="P97" s="1287"/>
      <c r="Q97" s="458"/>
      <c r="R97" s="1299"/>
      <c r="S97" s="95"/>
      <c r="T97" s="1300"/>
      <c r="U97" s="1300"/>
      <c r="V97" s="1301"/>
      <c r="W97" s="159">
        <f t="shared" si="60"/>
        <v>0</v>
      </c>
      <c r="X97" s="154">
        <f t="shared" si="61"/>
        <v>0</v>
      </c>
      <c r="Y97" s="154">
        <f t="shared" si="62"/>
        <v>0</v>
      </c>
      <c r="Z97" s="745"/>
    </row>
    <row r="98" spans="2:27" ht="15" thickBot="1" x14ac:dyDescent="0.35">
      <c r="B98" s="1208"/>
      <c r="C98" s="1209"/>
      <c r="D98" s="13"/>
      <c r="E98" s="13"/>
      <c r="F98" s="745" t="s">
        <v>13</v>
      </c>
      <c r="G98" s="882"/>
      <c r="H98" s="13"/>
      <c r="I98" s="872"/>
      <c r="J98" s="233"/>
      <c r="K98" s="233"/>
      <c r="L98" s="882"/>
      <c r="M98" s="885">
        <f t="shared" si="65"/>
        <v>0</v>
      </c>
      <c r="N98" s="882"/>
      <c r="O98" s="872"/>
      <c r="P98" s="154"/>
      <c r="Q98" s="154"/>
      <c r="R98" s="154"/>
      <c r="S98" s="13"/>
      <c r="T98" s="154"/>
      <c r="U98" s="154"/>
      <c r="V98" s="418"/>
      <c r="W98" s="159">
        <f t="shared" si="60"/>
        <v>0</v>
      </c>
      <c r="X98" s="154">
        <f t="shared" si="61"/>
        <v>0</v>
      </c>
      <c r="Y98" s="154">
        <f t="shared" si="62"/>
        <v>0</v>
      </c>
      <c r="Z98" s="745"/>
    </row>
    <row r="99" spans="2:27" ht="15" thickBot="1" x14ac:dyDescent="0.35">
      <c r="B99" s="1206">
        <v>46302</v>
      </c>
      <c r="C99" s="1207"/>
      <c r="D99" s="13"/>
      <c r="E99" s="13"/>
      <c r="F99" s="917" t="s">
        <v>12</v>
      </c>
      <c r="G99" s="882"/>
      <c r="H99" s="13"/>
      <c r="I99" s="872"/>
      <c r="J99" s="233"/>
      <c r="K99" s="233"/>
      <c r="L99" s="882"/>
      <c r="M99" s="885"/>
      <c r="N99" s="882"/>
      <c r="O99" s="872"/>
      <c r="P99" s="154"/>
      <c r="Q99" s="154"/>
      <c r="R99" s="154"/>
      <c r="S99" s="13"/>
      <c r="T99" s="154"/>
      <c r="U99" s="154"/>
      <c r="V99" s="418"/>
      <c r="W99" s="159"/>
      <c r="X99" s="154"/>
      <c r="Y99" s="154"/>
      <c r="Z99" s="745"/>
    </row>
    <row r="100" spans="2:27" ht="15" thickBot="1" x14ac:dyDescent="0.35">
      <c r="B100" s="1208"/>
      <c r="C100" s="1209"/>
      <c r="D100" s="13"/>
      <c r="E100" s="13"/>
      <c r="F100" s="908" t="s">
        <v>13</v>
      </c>
      <c r="G100" s="882"/>
      <c r="H100" s="13"/>
      <c r="I100" s="872"/>
      <c r="J100" s="233"/>
      <c r="K100" s="233"/>
      <c r="L100" s="882"/>
      <c r="M100" s="885"/>
      <c r="N100" s="882"/>
      <c r="O100" s="872"/>
      <c r="P100" s="154"/>
      <c r="Q100" s="154"/>
      <c r="R100" s="154"/>
      <c r="S100" s="13"/>
      <c r="T100" s="154"/>
      <c r="U100" s="154"/>
      <c r="V100" s="418"/>
      <c r="W100" s="159"/>
      <c r="X100" s="154"/>
      <c r="Y100" s="154"/>
      <c r="Z100" s="745"/>
    </row>
    <row r="101" spans="2:27" ht="15" thickBot="1" x14ac:dyDescent="0.35">
      <c r="B101" s="1206">
        <v>46303</v>
      </c>
      <c r="C101" s="1207"/>
      <c r="D101" s="13"/>
      <c r="E101" s="13"/>
      <c r="F101" s="917" t="s">
        <v>12</v>
      </c>
      <c r="G101" s="882"/>
      <c r="H101" s="13"/>
      <c r="I101" s="872"/>
      <c r="J101" s="233"/>
      <c r="K101" s="233"/>
      <c r="L101" s="882"/>
      <c r="M101" s="885"/>
      <c r="N101" s="882"/>
      <c r="O101" s="872"/>
      <c r="P101" s="154"/>
      <c r="Q101" s="154"/>
      <c r="R101" s="154"/>
      <c r="S101" s="13"/>
      <c r="T101" s="154"/>
      <c r="U101" s="154"/>
      <c r="V101" s="418"/>
      <c r="W101" s="159"/>
      <c r="X101" s="154"/>
      <c r="Y101" s="154"/>
      <c r="Z101" s="745"/>
    </row>
    <row r="102" spans="2:27" ht="15" thickBot="1" x14ac:dyDescent="0.35">
      <c r="B102" s="1208"/>
      <c r="C102" s="1209"/>
      <c r="D102" s="13"/>
      <c r="E102" s="13"/>
      <c r="F102" s="908" t="s">
        <v>13</v>
      </c>
      <c r="G102" s="233"/>
      <c r="H102" s="13"/>
      <c r="I102" s="872"/>
      <c r="J102" s="233"/>
      <c r="K102" s="233"/>
      <c r="L102" s="233"/>
      <c r="M102" s="885">
        <f t="shared" si="65"/>
        <v>0</v>
      </c>
      <c r="N102" s="233"/>
      <c r="O102" s="872"/>
      <c r="P102" s="154"/>
      <c r="Q102" s="154"/>
      <c r="R102" s="154"/>
      <c r="S102" s="13"/>
      <c r="T102" s="154"/>
      <c r="U102" s="154"/>
      <c r="V102" s="418"/>
      <c r="W102" s="159">
        <f t="shared" si="60"/>
        <v>0</v>
      </c>
      <c r="X102" s="154">
        <f t="shared" si="61"/>
        <v>0</v>
      </c>
      <c r="Y102" s="154">
        <f t="shared" si="62"/>
        <v>0</v>
      </c>
      <c r="Z102" s="745"/>
      <c r="AA102" s="446">
        <f>SUM(AB5:AB17)</f>
        <v>1186273883.9705083</v>
      </c>
    </row>
    <row r="103" spans="2:27" ht="15" thickBot="1" x14ac:dyDescent="0.35">
      <c r="B103" s="1206">
        <v>46304</v>
      </c>
      <c r="C103" s="1207"/>
      <c r="D103" s="13"/>
      <c r="E103" s="13"/>
      <c r="F103" s="917" t="s">
        <v>12</v>
      </c>
      <c r="G103" s="882"/>
      <c r="H103" s="13"/>
      <c r="I103" s="872"/>
      <c r="J103" s="233"/>
      <c r="K103" s="233"/>
      <c r="L103" s="882"/>
      <c r="M103" s="885"/>
      <c r="N103" s="882"/>
      <c r="O103" s="872"/>
      <c r="P103" s="154"/>
      <c r="Q103" s="154"/>
      <c r="R103" s="154"/>
      <c r="S103" s="13"/>
      <c r="T103" s="154"/>
      <c r="U103" s="154"/>
      <c r="V103" s="418"/>
      <c r="W103" s="159"/>
      <c r="X103" s="154"/>
      <c r="Y103" s="154"/>
      <c r="Z103" s="745"/>
      <c r="AA103" s="446"/>
    </row>
    <row r="104" spans="2:27" ht="15" thickBot="1" x14ac:dyDescent="0.35">
      <c r="B104" s="1208"/>
      <c r="C104" s="1209"/>
      <c r="D104" s="13"/>
      <c r="E104" s="13"/>
      <c r="F104" s="908" t="s">
        <v>13</v>
      </c>
      <c r="G104" s="233"/>
      <c r="H104" s="13"/>
      <c r="I104" s="872"/>
      <c r="J104" s="233"/>
      <c r="K104" s="233"/>
      <c r="L104" s="233"/>
      <c r="M104" s="885">
        <f t="shared" ref="M104" si="73">H104*K104*G104</f>
        <v>0</v>
      </c>
      <c r="N104" s="233"/>
      <c r="O104" s="872"/>
      <c r="P104" s="154"/>
      <c r="Q104" s="154"/>
      <c r="R104" s="154"/>
      <c r="S104" s="13"/>
      <c r="T104" s="154"/>
      <c r="U104" s="154"/>
      <c r="V104" s="418"/>
      <c r="W104" s="159">
        <f t="shared" ref="W104" si="74">T104*M104</f>
        <v>0</v>
      </c>
      <c r="X104" s="154">
        <f t="shared" ref="X104" si="75">M104*U104</f>
        <v>0</v>
      </c>
      <c r="Y104" s="154">
        <f t="shared" ref="Y104" si="76">M104*V104</f>
        <v>0</v>
      </c>
      <c r="Z104" s="745"/>
      <c r="AA104" s="446"/>
    </row>
    <row r="105" spans="2:27" ht="15" thickBot="1" x14ac:dyDescent="0.35">
      <c r="B105" s="1206">
        <v>46305</v>
      </c>
      <c r="C105" s="1207"/>
      <c r="D105" s="13"/>
      <c r="E105" s="13"/>
      <c r="F105" s="917" t="s">
        <v>12</v>
      </c>
      <c r="G105" s="882"/>
      <c r="H105" s="13"/>
      <c r="I105" s="872"/>
      <c r="J105" s="233"/>
      <c r="K105" s="233"/>
      <c r="L105" s="882"/>
      <c r="M105" s="885"/>
      <c r="N105" s="882"/>
      <c r="O105" s="872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208"/>
      <c r="C106" s="1209"/>
      <c r="D106" s="13"/>
      <c r="E106" s="13"/>
      <c r="F106" s="908" t="s">
        <v>13</v>
      </c>
      <c r="G106" s="233"/>
      <c r="H106" s="13"/>
      <c r="I106" s="872"/>
      <c r="J106" s="233"/>
      <c r="K106" s="233"/>
      <c r="L106" s="233"/>
      <c r="M106" s="885">
        <f t="shared" ref="M106" si="77">H106*K106*G106</f>
        <v>0</v>
      </c>
      <c r="N106" s="233"/>
      <c r="O106" s="872"/>
      <c r="P106" s="154"/>
      <c r="Q106" s="154"/>
      <c r="R106" s="154"/>
      <c r="S106" s="13"/>
      <c r="T106" s="154"/>
      <c r="U106" s="154"/>
      <c r="V106" s="418"/>
      <c r="W106" s="159">
        <f t="shared" ref="W106" si="78">T106*M106</f>
        <v>0</v>
      </c>
      <c r="X106" s="154">
        <f t="shared" ref="X106" si="79">M106*U106</f>
        <v>0</v>
      </c>
      <c r="Y106" s="154">
        <f t="shared" ref="Y106" si="80">M106*V106</f>
        <v>0</v>
      </c>
      <c r="Z106" s="745"/>
      <c r="AA106" s="446"/>
    </row>
    <row r="107" spans="2:27" ht="18" x14ac:dyDescent="0.35">
      <c r="B107" s="125" t="s">
        <v>121</v>
      </c>
      <c r="C107" s="126"/>
      <c r="D107" s="465"/>
      <c r="E107" s="465"/>
      <c r="F107" s="875"/>
      <c r="G107" s="875"/>
      <c r="H107" s="465"/>
      <c r="I107" s="874"/>
      <c r="J107" s="875"/>
      <c r="K107" s="875"/>
      <c r="L107" s="883">
        <f>AVERAGE(L5:L102)</f>
        <v>0.72326923076923089</v>
      </c>
      <c r="M107" s="886">
        <f>SUM(M5:M106)</f>
        <v>4340.4594887910007</v>
      </c>
      <c r="N107" s="883"/>
      <c r="O107" s="933" t="e">
        <f>AVERAGE(O5:O106)</f>
        <v>#DIV/0!</v>
      </c>
      <c r="P107" s="933">
        <f>SUM(P5:P106)</f>
        <v>502.23333333333329</v>
      </c>
      <c r="Q107" s="933">
        <f>SUM(Q5:Q106)</f>
        <v>30134</v>
      </c>
      <c r="R107" s="933">
        <f>SUM(R5:R106)</f>
        <v>13126</v>
      </c>
      <c r="S107" s="1096">
        <f>SUM(S5:S106)</f>
        <v>4340.4594887909998</v>
      </c>
      <c r="T107" s="118">
        <f>AVERAGE(T5:T43)</f>
        <v>0.65487096774193554</v>
      </c>
      <c r="U107" s="118">
        <f>AVERAGE(U5:U43)</f>
        <v>0.6632580645161289</v>
      </c>
      <c r="V107" s="118">
        <f>AVERAGE(V5:V43)</f>
        <v>8.9542903225806452</v>
      </c>
      <c r="W107" s="119" t="e">
        <f>SUM(W5:W102)</f>
        <v>#VALUE!</v>
      </c>
      <c r="X107" s="119">
        <f>SUM(X5:X16)</f>
        <v>421.51466277143334</v>
      </c>
      <c r="Y107" s="119">
        <f>SUM(Y5:Y16)</f>
        <v>5120.844159414587</v>
      </c>
      <c r="Z107" s="745"/>
    </row>
    <row r="109" spans="2:27" x14ac:dyDescent="0.3">
      <c r="Z109" s="584" t="s">
        <v>203</v>
      </c>
      <c r="AA109" s="1">
        <f>MIN(Z5:Z102)</f>
        <v>0</v>
      </c>
    </row>
    <row r="110" spans="2:27" x14ac:dyDescent="0.3">
      <c r="N110" s="887"/>
      <c r="Z110" s="584" t="s">
        <v>202</v>
      </c>
      <c r="AA110" s="136">
        <f>MAX(Z5:Z102)</f>
        <v>11.3</v>
      </c>
    </row>
    <row r="111" spans="2:27" x14ac:dyDescent="0.3">
      <c r="W111" s="136"/>
    </row>
  </sheetData>
  <mergeCells count="157"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N77:N78"/>
    <mergeCell ref="S75:S78"/>
    <mergeCell ref="B75:C76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B99:C100"/>
    <mergeCell ref="B101:C102"/>
    <mergeCell ref="N75:N76"/>
    <mergeCell ref="B103:C104"/>
    <mergeCell ref="B105:C106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81" t="s">
        <v>664</v>
      </c>
      <c r="C2" s="1482"/>
      <c r="D2" s="1482"/>
      <c r="E2" s="1482"/>
      <c r="F2" s="1482"/>
      <c r="G2" s="1482"/>
      <c r="H2" s="1482"/>
      <c r="I2" s="1482"/>
      <c r="J2" s="1482"/>
      <c r="K2" s="1482"/>
      <c r="L2" s="1482"/>
      <c r="M2" s="1483"/>
      <c r="AD2" s="13">
        <v>2</v>
      </c>
      <c r="AE2" s="13">
        <v>9.9000000000000005E-2</v>
      </c>
    </row>
    <row r="3" spans="2:31" ht="15" thickBot="1" x14ac:dyDescent="0.35">
      <c r="B3" s="1481" t="s">
        <v>197</v>
      </c>
      <c r="C3" s="1482"/>
      <c r="D3" s="1482"/>
      <c r="E3" s="1482"/>
      <c r="F3" s="1482"/>
      <c r="G3" s="1482"/>
      <c r="H3" s="1482"/>
      <c r="I3" s="1482"/>
      <c r="J3" s="1482"/>
      <c r="K3" s="1482"/>
      <c r="L3" s="1482"/>
      <c r="M3" s="1483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9" t="s">
        <v>70</v>
      </c>
      <c r="C7" s="1119" t="s">
        <v>0</v>
      </c>
      <c r="D7" s="1120" t="s">
        <v>178</v>
      </c>
      <c r="E7" s="1120" t="s">
        <v>179</v>
      </c>
      <c r="F7" s="1120" t="s">
        <v>180</v>
      </c>
      <c r="G7" s="1120" t="s">
        <v>181</v>
      </c>
      <c r="H7" s="1120" t="s">
        <v>182</v>
      </c>
      <c r="I7" s="1120" t="s">
        <v>183</v>
      </c>
      <c r="J7" s="1120" t="s">
        <v>662</v>
      </c>
      <c r="K7" s="1120" t="s">
        <v>371</v>
      </c>
      <c r="L7" s="1120" t="s">
        <v>185</v>
      </c>
      <c r="M7" s="1120" t="s">
        <v>195</v>
      </c>
      <c r="Q7" s="1302" t="s">
        <v>337</v>
      </c>
      <c r="R7" s="1302"/>
      <c r="S7" s="1302"/>
      <c r="T7" s="1302"/>
      <c r="U7" s="1302"/>
      <c r="V7" s="1302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2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5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84"/>
      <c r="AH34" s="1217"/>
      <c r="AI34" s="1217"/>
      <c r="AJ34" s="1217"/>
      <c r="AK34" s="1217"/>
      <c r="AL34" s="1485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10"/>
      <c r="O35" s="1115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J35-Crushing!N115</f>
        <v>342.08790000000135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61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86" t="s">
        <v>422</v>
      </c>
      <c r="C106" s="1486"/>
      <c r="D106" s="1486"/>
      <c r="E106" s="1486"/>
      <c r="F106" s="1486"/>
      <c r="G106" s="1486"/>
      <c r="H106" s="1486"/>
      <c r="I106" s="1486"/>
      <c r="J106" s="1486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86"/>
      <c r="C107" s="1486"/>
      <c r="D107" s="1486"/>
      <c r="E107" s="1486"/>
      <c r="F107" s="1486"/>
      <c r="G107" s="1486"/>
      <c r="H107" s="1486"/>
      <c r="I107" s="1486"/>
      <c r="J107" s="1486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6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3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6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1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30" t="s">
        <v>714</v>
      </c>
      <c r="C8" s="1130">
        <v>1</v>
      </c>
      <c r="D8" s="1130"/>
      <c r="E8" s="1130">
        <v>20</v>
      </c>
      <c r="F8" s="1130">
        <v>1.3</v>
      </c>
      <c r="G8" s="1131">
        <f t="shared" si="0"/>
        <v>26</v>
      </c>
      <c r="H8" s="1130">
        <v>0.92100000000000004</v>
      </c>
      <c r="I8" s="1131">
        <f t="shared" si="1"/>
        <v>23.946000000000002</v>
      </c>
    </row>
    <row r="9" spans="1:12" x14ac:dyDescent="0.3">
      <c r="A9" s="1">
        <v>2</v>
      </c>
      <c r="B9" s="1130" t="s">
        <v>714</v>
      </c>
      <c r="C9" s="1130">
        <v>1</v>
      </c>
      <c r="D9" s="1130"/>
      <c r="E9" s="1130">
        <v>132</v>
      </c>
      <c r="F9" s="1130">
        <v>1.3</v>
      </c>
      <c r="G9" s="1131">
        <f t="shared" si="0"/>
        <v>171.6</v>
      </c>
      <c r="H9" s="1130">
        <v>0.92100000000000004</v>
      </c>
      <c r="I9" s="1131">
        <f t="shared" si="1"/>
        <v>158.0436</v>
      </c>
      <c r="K9" s="10"/>
    </row>
    <row r="10" spans="1:12" x14ac:dyDescent="0.3">
      <c r="A10" s="1">
        <v>3</v>
      </c>
      <c r="B10" s="1127" t="s">
        <v>715</v>
      </c>
      <c r="C10" s="1127">
        <v>1</v>
      </c>
      <c r="D10" s="1127"/>
      <c r="E10" s="1127">
        <v>31</v>
      </c>
      <c r="F10" s="1127">
        <v>1.3</v>
      </c>
      <c r="G10" s="459">
        <f t="shared" si="0"/>
        <v>40.300000000000004</v>
      </c>
      <c r="H10" s="1127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30" t="s">
        <v>717</v>
      </c>
      <c r="C12" s="1130">
        <v>1</v>
      </c>
      <c r="D12" s="1130"/>
      <c r="E12" s="1130">
        <v>24</v>
      </c>
      <c r="F12" s="1130">
        <v>1.3</v>
      </c>
      <c r="G12" s="1131">
        <f t="shared" si="0"/>
        <v>31.200000000000003</v>
      </c>
      <c r="H12" s="1130">
        <v>0.88700000000000001</v>
      </c>
      <c r="I12" s="1131">
        <f t="shared" si="1"/>
        <v>27.674400000000002</v>
      </c>
    </row>
    <row r="13" spans="1:12" x14ac:dyDescent="0.3">
      <c r="A13" s="1">
        <v>6</v>
      </c>
      <c r="B13" s="1130" t="s">
        <v>717</v>
      </c>
      <c r="C13" s="1130">
        <v>1</v>
      </c>
      <c r="D13" s="1130"/>
      <c r="E13" s="1130">
        <v>54</v>
      </c>
      <c r="F13" s="1130">
        <v>1.3</v>
      </c>
      <c r="G13" s="1131">
        <f t="shared" si="0"/>
        <v>70.2</v>
      </c>
      <c r="H13" s="1130">
        <v>0.88700000000000001</v>
      </c>
      <c r="I13" s="1131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7" t="s">
        <v>724</v>
      </c>
      <c r="C17" s="1127">
        <v>1</v>
      </c>
      <c r="D17" s="1127"/>
      <c r="E17" s="1127">
        <v>476</v>
      </c>
      <c r="F17" s="1127">
        <v>1.3</v>
      </c>
      <c r="G17" s="459">
        <f t="shared" si="0"/>
        <v>618.80000000000007</v>
      </c>
      <c r="H17" s="1127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8"/>
    </row>
    <row r="28" spans="1:9" x14ac:dyDescent="0.3">
      <c r="B28" s="6"/>
      <c r="C28" s="6"/>
      <c r="D28" s="6" t="s">
        <v>731</v>
      </c>
      <c r="E28" s="6" t="s">
        <v>735</v>
      </c>
      <c r="F28" s="1129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9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76" t="s">
        <v>270</v>
      </c>
      <c r="B3" s="1377"/>
      <c r="C3" s="1377"/>
      <c r="D3" s="1377"/>
      <c r="E3" s="1377"/>
      <c r="F3" s="1377"/>
      <c r="G3" s="1378"/>
      <c r="I3" s="1">
        <f>I2/2</f>
        <v>720</v>
      </c>
    </row>
    <row r="4" spans="1:14" ht="15" thickBot="1" x14ac:dyDescent="0.35">
      <c r="A4" s="1379" t="s">
        <v>0</v>
      </c>
      <c r="B4" s="138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87">
        <v>46268</v>
      </c>
      <c r="B5" s="137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87">
        <v>46269</v>
      </c>
      <c r="B6" s="137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87">
        <v>46270</v>
      </c>
      <c r="B7" s="137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87">
        <v>46271</v>
      </c>
      <c r="B8" s="137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87">
        <v>46272</v>
      </c>
      <c r="B9" s="137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87">
        <v>46273</v>
      </c>
      <c r="B10" s="137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87">
        <v>46274</v>
      </c>
      <c r="B11" s="137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87">
        <v>46275</v>
      </c>
      <c r="B12" s="137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87">
        <v>46276</v>
      </c>
      <c r="B13" s="137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87">
        <v>46277</v>
      </c>
      <c r="B14" s="137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87">
        <v>46278</v>
      </c>
      <c r="B15" s="137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87">
        <v>46279</v>
      </c>
      <c r="B16" s="137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87">
        <v>46280</v>
      </c>
      <c r="B17" s="137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87">
        <v>46281</v>
      </c>
      <c r="B18" s="137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87">
        <v>46282</v>
      </c>
      <c r="B19" s="137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87">
        <v>46283</v>
      </c>
      <c r="B20" s="137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87">
        <v>46284</v>
      </c>
      <c r="B21" s="137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87">
        <v>46285</v>
      </c>
      <c r="B22" s="137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87">
        <v>46286</v>
      </c>
      <c r="B23" s="137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87">
        <v>46287</v>
      </c>
      <c r="B24" s="137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87">
        <v>46288</v>
      </c>
      <c r="B25" s="137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87">
        <v>46289</v>
      </c>
      <c r="B26" s="137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87">
        <v>46290</v>
      </c>
      <c r="B27" s="137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87">
        <v>46291</v>
      </c>
      <c r="B28" s="137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87">
        <v>46292</v>
      </c>
      <c r="B29" s="137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87">
        <v>46293</v>
      </c>
      <c r="B30" s="137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87">
        <v>46294</v>
      </c>
      <c r="B31" s="137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87">
        <v>46295</v>
      </c>
      <c r="B32" s="137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87">
        <v>46296</v>
      </c>
      <c r="B33" s="137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87">
        <v>46297</v>
      </c>
      <c r="B34" s="137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87">
        <v>46298</v>
      </c>
      <c r="B35" s="137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87">
        <v>46299</v>
      </c>
      <c r="B36" s="137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87">
        <v>46300</v>
      </c>
      <c r="B37" s="137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87">
        <v>46301</v>
      </c>
      <c r="B38" s="137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87">
        <v>46302</v>
      </c>
      <c r="B39" s="137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87">
        <v>46303</v>
      </c>
      <c r="B40" s="137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87">
        <v>46304</v>
      </c>
      <c r="B41" s="137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87">
        <v>46305</v>
      </c>
      <c r="B42" s="137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87">
        <v>46306</v>
      </c>
      <c r="B43" s="137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87">
        <v>46307</v>
      </c>
      <c r="B44" s="137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87">
        <v>46308</v>
      </c>
      <c r="B45" s="137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87">
        <v>46309</v>
      </c>
      <c r="B46" s="137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87">
        <v>46310</v>
      </c>
      <c r="B47" s="137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87">
        <v>46311</v>
      </c>
      <c r="B48" s="137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87">
        <v>46312</v>
      </c>
      <c r="B49" s="137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87">
        <v>46313</v>
      </c>
      <c r="B50" s="137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87">
        <v>46314</v>
      </c>
      <c r="B51" s="137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87">
        <v>46315</v>
      </c>
      <c r="B52" s="137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87">
        <v>46316</v>
      </c>
      <c r="B53" s="137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87">
        <v>46317</v>
      </c>
      <c r="B54" s="137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87">
        <v>46318</v>
      </c>
      <c r="B55" s="137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87">
        <v>46319</v>
      </c>
      <c r="B56" s="137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87">
        <v>46320</v>
      </c>
      <c r="B57" s="137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87">
        <v>46321</v>
      </c>
      <c r="B58" s="137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87">
        <v>46322</v>
      </c>
      <c r="B59" s="1375"/>
      <c r="C59" s="64"/>
      <c r="D59" s="67"/>
      <c r="E59" s="67"/>
      <c r="F59" s="61">
        <f t="shared" si="5"/>
        <v>0</v>
      </c>
      <c r="G59" s="65"/>
    </row>
    <row r="60" spans="1:18" x14ac:dyDescent="0.3">
      <c r="A60" s="1487">
        <v>46323</v>
      </c>
      <c r="B60" s="1375"/>
      <c r="C60" s="64"/>
      <c r="D60" s="67"/>
      <c r="E60" s="67"/>
      <c r="F60" s="61">
        <f t="shared" si="5"/>
        <v>0</v>
      </c>
      <c r="G60" s="65"/>
    </row>
    <row r="61" spans="1:18" x14ac:dyDescent="0.3">
      <c r="A61" s="1487">
        <v>46324</v>
      </c>
      <c r="B61" s="1375"/>
      <c r="C61" s="64"/>
      <c r="D61" s="67"/>
      <c r="E61" s="67"/>
      <c r="F61" s="61">
        <f t="shared" si="5"/>
        <v>0</v>
      </c>
      <c r="G61" s="65"/>
    </row>
    <row r="62" spans="1:18" x14ac:dyDescent="0.3">
      <c r="A62" s="1487">
        <v>46325</v>
      </c>
      <c r="B62" s="1375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0" activePane="bottomLeft" state="frozen"/>
      <selection pane="bottomLeft" activeCell="C22" sqref="C2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91" t="s">
        <v>243</v>
      </c>
      <c r="F2" s="1492"/>
      <c r="G2" s="1492"/>
      <c r="H2" s="1492"/>
      <c r="I2" s="1492"/>
      <c r="J2" s="1492"/>
      <c r="K2" s="1492"/>
      <c r="L2" s="1492"/>
      <c r="M2" s="1492"/>
      <c r="N2" s="1492"/>
      <c r="O2" s="1492"/>
      <c r="P2" s="1492"/>
      <c r="Q2" s="1492"/>
      <c r="R2" s="1492"/>
      <c r="S2" s="1492"/>
      <c r="T2" s="1492"/>
      <c r="U2" s="1492"/>
      <c r="V2" s="1492"/>
      <c r="W2" s="1492"/>
      <c r="X2" s="1492"/>
      <c r="Y2" s="1492"/>
      <c r="Z2" s="1492"/>
      <c r="AA2" s="1492"/>
      <c r="AB2" s="1492"/>
      <c r="AC2" s="1492"/>
      <c r="AD2" s="1492"/>
      <c r="AE2" s="1492"/>
      <c r="AF2" s="1493"/>
    </row>
    <row r="3" spans="1:68" ht="24" thickBot="1" x14ac:dyDescent="0.5">
      <c r="E3" s="1491" t="s">
        <v>197</v>
      </c>
      <c r="F3" s="1492"/>
      <c r="G3" s="1492"/>
      <c r="H3" s="1492"/>
      <c r="I3" s="1492"/>
      <c r="J3" s="1492"/>
      <c r="K3" s="1492"/>
      <c r="L3" s="1492"/>
      <c r="M3" s="1492"/>
      <c r="N3" s="1492"/>
      <c r="O3" s="1492"/>
      <c r="P3" s="1492"/>
      <c r="Q3" s="1492"/>
      <c r="R3" s="1492"/>
      <c r="S3" s="1492"/>
      <c r="T3" s="1492"/>
      <c r="U3" s="1492"/>
      <c r="V3" s="1492"/>
      <c r="W3" s="1492"/>
      <c r="X3" s="1492"/>
      <c r="Y3" s="1492"/>
      <c r="Z3" s="1492"/>
      <c r="AA3" s="1492"/>
      <c r="AB3" s="1492"/>
      <c r="AC3" s="1492"/>
      <c r="AD3" s="1492"/>
      <c r="AE3" s="1492"/>
      <c r="AF3" s="1493"/>
      <c r="AJ3" s="136"/>
    </row>
    <row r="4" spans="1:68" ht="24" thickBot="1" x14ac:dyDescent="0.5">
      <c r="E4" s="1495" t="s">
        <v>537</v>
      </c>
      <c r="F4" s="1496"/>
      <c r="G4" s="1496"/>
      <c r="H4" s="1496"/>
      <c r="I4" s="1496"/>
      <c r="J4" s="1496"/>
      <c r="K4" s="1496"/>
      <c r="L4" s="1496"/>
      <c r="M4" s="1496"/>
      <c r="N4" s="1496"/>
      <c r="O4" s="1496"/>
      <c r="P4" s="1496"/>
      <c r="Q4" s="1496"/>
      <c r="R4" s="1496"/>
      <c r="S4" s="1496"/>
      <c r="T4" s="1496"/>
      <c r="U4" s="1496"/>
      <c r="V4" s="1496"/>
      <c r="W4" s="1496"/>
      <c r="X4" s="1496"/>
      <c r="Y4" s="1496"/>
      <c r="Z4" s="1496"/>
      <c r="AA4" s="1496"/>
      <c r="AB4" s="1496"/>
      <c r="AC4" s="1496"/>
      <c r="AD4" s="1496"/>
      <c r="AE4" s="1496"/>
      <c r="AF4" s="1497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10"/>
      <c r="AE6" s="1148"/>
      <c r="AG6" s="2"/>
      <c r="AI6" s="10"/>
      <c r="AL6" s="43"/>
    </row>
    <row r="7" spans="1:68" x14ac:dyDescent="0.3">
      <c r="B7" s="1471" t="s">
        <v>259</v>
      </c>
      <c r="C7" s="205" t="s">
        <v>325</v>
      </c>
      <c r="D7" s="205" t="s">
        <v>706</v>
      </c>
      <c r="E7" s="1471" t="s">
        <v>244</v>
      </c>
      <c r="F7" s="1471" t="s">
        <v>245</v>
      </c>
      <c r="G7" s="1471" t="s">
        <v>246</v>
      </c>
      <c r="H7" s="1471" t="s">
        <v>247</v>
      </c>
      <c r="I7" s="1471" t="s">
        <v>248</v>
      </c>
      <c r="J7" s="1494" t="s">
        <v>144</v>
      </c>
      <c r="K7" s="1498" t="s">
        <v>680</v>
      </c>
      <c r="L7" s="1498" t="s">
        <v>767</v>
      </c>
      <c r="M7" s="1471" t="s">
        <v>250</v>
      </c>
      <c r="N7" s="1459" t="s">
        <v>249</v>
      </c>
      <c r="O7" s="224" t="s">
        <v>249</v>
      </c>
      <c r="P7" s="1459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71" t="s">
        <v>251</v>
      </c>
      <c r="W7" s="205" t="s">
        <v>303</v>
      </c>
      <c r="X7" s="1471" t="s">
        <v>260</v>
      </c>
      <c r="Y7" s="1471"/>
      <c r="Z7" s="1471"/>
      <c r="AA7" s="1490" t="s">
        <v>262</v>
      </c>
      <c r="AB7" s="1490"/>
      <c r="AC7" s="1490"/>
      <c r="AD7" s="1471" t="s">
        <v>269</v>
      </c>
      <c r="AE7" s="1471" t="s">
        <v>290</v>
      </c>
      <c r="AF7" s="1490" t="s">
        <v>256</v>
      </c>
      <c r="AG7" s="1490"/>
      <c r="AH7" s="1490"/>
      <c r="AI7" s="1490"/>
      <c r="AJ7" s="1490"/>
      <c r="AK7" s="1490"/>
      <c r="AL7" s="1490" t="s">
        <v>266</v>
      </c>
      <c r="AM7" s="1490"/>
      <c r="AN7" s="1490"/>
      <c r="AO7" s="1490" t="s">
        <v>267</v>
      </c>
      <c r="AP7" s="1490"/>
      <c r="AQ7" s="1490"/>
      <c r="AR7" s="131"/>
      <c r="AS7" s="247" t="s">
        <v>331</v>
      </c>
      <c r="AT7" s="1501" t="s">
        <v>273</v>
      </c>
      <c r="AU7" s="1502"/>
      <c r="AV7" s="1503"/>
      <c r="AW7" s="1507" t="s">
        <v>300</v>
      </c>
      <c r="AX7" s="1151"/>
      <c r="AY7" s="1459" t="s">
        <v>301</v>
      </c>
      <c r="AZ7" s="1490" t="s">
        <v>661</v>
      </c>
      <c r="BA7" s="1490"/>
      <c r="BB7" s="1490"/>
      <c r="BC7" s="131" t="s">
        <v>293</v>
      </c>
      <c r="BD7" s="1490" t="s">
        <v>277</v>
      </c>
      <c r="BE7" s="1490"/>
      <c r="BF7" s="1490"/>
      <c r="BG7" s="1490" t="s">
        <v>761</v>
      </c>
      <c r="BH7" s="1490"/>
      <c r="BI7" s="1490"/>
      <c r="BJ7" s="1490" t="s">
        <v>763</v>
      </c>
      <c r="BK7" s="1490"/>
      <c r="BL7" s="1490"/>
    </row>
    <row r="8" spans="1:68" x14ac:dyDescent="0.3">
      <c r="B8" s="1471"/>
      <c r="C8" s="205" t="s">
        <v>296</v>
      </c>
      <c r="D8" s="205" t="s">
        <v>36</v>
      </c>
      <c r="E8" s="1471"/>
      <c r="F8" s="1471"/>
      <c r="G8" s="1471"/>
      <c r="H8" s="1471"/>
      <c r="I8" s="1471"/>
      <c r="J8" s="1494"/>
      <c r="K8" s="1499"/>
      <c r="L8" s="1499"/>
      <c r="M8" s="1471"/>
      <c r="N8" s="1460"/>
      <c r="O8" s="225" t="s">
        <v>316</v>
      </c>
      <c r="P8" s="1460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71"/>
      <c r="W8" s="205" t="s">
        <v>184</v>
      </c>
      <c r="X8" s="1471" t="s">
        <v>261</v>
      </c>
      <c r="Y8" s="1471"/>
      <c r="Z8" s="1471"/>
      <c r="AA8" s="1490" t="s">
        <v>466</v>
      </c>
      <c r="AB8" s="1490"/>
      <c r="AC8" s="1490"/>
      <c r="AD8" s="1471"/>
      <c r="AE8" s="1471"/>
      <c r="AF8" s="1490" t="s">
        <v>263</v>
      </c>
      <c r="AG8" s="1490"/>
      <c r="AH8" s="1490"/>
      <c r="AI8" s="1490" t="s">
        <v>264</v>
      </c>
      <c r="AJ8" s="1490"/>
      <c r="AK8" s="1490"/>
      <c r="AL8" s="1490" t="s">
        <v>265</v>
      </c>
      <c r="AM8" s="1490"/>
      <c r="AN8" s="1490"/>
      <c r="AO8" s="1490" t="s">
        <v>257</v>
      </c>
      <c r="AP8" s="1490"/>
      <c r="AQ8" s="1490"/>
      <c r="AR8" s="131" t="s">
        <v>258</v>
      </c>
      <c r="AS8" s="248" t="s">
        <v>294</v>
      </c>
      <c r="AT8" s="1504"/>
      <c r="AU8" s="1505"/>
      <c r="AV8" s="1506"/>
      <c r="AW8" s="1508"/>
      <c r="AX8" s="1152"/>
      <c r="AY8" s="1461"/>
      <c r="AZ8" s="1490" t="s">
        <v>261</v>
      </c>
      <c r="BA8" s="1490"/>
      <c r="BB8" s="1490"/>
      <c r="BC8" s="131" t="s">
        <v>294</v>
      </c>
      <c r="BD8" s="1490" t="s">
        <v>40</v>
      </c>
      <c r="BE8" s="1490"/>
      <c r="BF8" s="1490"/>
      <c r="BG8" s="1490" t="s">
        <v>762</v>
      </c>
      <c r="BH8" s="1490"/>
      <c r="BI8" s="1490"/>
      <c r="BJ8" s="1490" t="s">
        <v>40</v>
      </c>
      <c r="BK8" s="1490"/>
      <c r="BL8" s="1490"/>
    </row>
    <row r="9" spans="1:68" x14ac:dyDescent="0.3">
      <c r="B9" s="1471"/>
      <c r="C9" s="205" t="s">
        <v>297</v>
      </c>
      <c r="D9" s="205" t="s">
        <v>743</v>
      </c>
      <c r="E9" s="1471"/>
      <c r="F9" s="1471"/>
      <c r="G9" s="1471"/>
      <c r="H9" s="1471"/>
      <c r="I9" s="1471"/>
      <c r="J9" s="1494"/>
      <c r="K9" s="1500"/>
      <c r="L9" s="1500"/>
      <c r="M9" s="1471"/>
      <c r="N9" s="1461"/>
      <c r="O9" s="204" t="s">
        <v>315</v>
      </c>
      <c r="P9" s="1461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71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71"/>
      <c r="AE9" s="1471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09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4">
        <f>(AY10*1000)/J10</f>
        <v>1.7953321364452424</v>
      </c>
      <c r="L10" s="1094"/>
      <c r="M10" s="486">
        <v>0.41</v>
      </c>
      <c r="N10" s="471">
        <f t="shared" ref="N10:N21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5">
        <v>133</v>
      </c>
      <c r="BJ10" s="1175">
        <f>BG10*$AY$10</f>
        <v>229</v>
      </c>
      <c r="BK10" s="1175">
        <f t="shared" ref="BK10:BL10" si="6">BH10*$AY$10</f>
        <v>231</v>
      </c>
      <c r="BL10" s="1175">
        <f t="shared" si="6"/>
        <v>133</v>
      </c>
      <c r="BM10" s="1176">
        <f>(BJ10+AR10+AO10)/N10</f>
        <v>0.86793570740465043</v>
      </c>
      <c r="BN10" s="824">
        <f>BM10*N10</f>
        <v>253.70941119999998</v>
      </c>
      <c r="BO10" s="1179">
        <f>BJ10/BN10</f>
        <v>0.9026074315370135</v>
      </c>
      <c r="BP10" s="1180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5">
        <f t="shared" ref="K11:K20" si="7">(AY11*1000)/J11</f>
        <v>1.8552875695732838</v>
      </c>
      <c r="L11" s="1095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4">
        <f t="shared" si="7"/>
        <v>1.545595054095827</v>
      </c>
      <c r="L12" s="1094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6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7">
        <f>(BJ12+AR12+AO12)/O12</f>
        <v>1.6265041031221315</v>
      </c>
      <c r="BN12" s="824">
        <f>BM12*O12</f>
        <v>531.81939700287501</v>
      </c>
      <c r="BO12" s="1179">
        <f t="shared" si="13"/>
        <v>0.91948507849809857</v>
      </c>
      <c r="BP12" s="1180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5">
        <f t="shared" si="7"/>
        <v>1.545595054095827</v>
      </c>
      <c r="L13" s="1095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4">
        <f t="shared" si="7"/>
        <v>2.3183925811437405</v>
      </c>
      <c r="L14" s="1094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7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7">
        <f>(BJ14+AR14+AO14)/O14</f>
        <v>3.161601080407022</v>
      </c>
      <c r="BN14" s="824">
        <f>BM14*O14</f>
        <v>844.10259373333326</v>
      </c>
      <c r="BO14" s="1179">
        <f t="shared" si="13"/>
        <v>0.9453827128649982</v>
      </c>
      <c r="BP14" s="1180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5">
        <f t="shared" si="7"/>
        <v>1.7964071856287425</v>
      </c>
      <c r="L15" s="1095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8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8">
        <f>BG15*$AY$15</f>
        <v>892.5</v>
      </c>
      <c r="BK15" s="1178">
        <f t="shared" ref="BK15:BL15" si="42">BH15*$AY$15</f>
        <v>891</v>
      </c>
      <c r="BL15" s="1178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4">
        <f t="shared" si="7"/>
        <v>1.9870181480990861</v>
      </c>
      <c r="L16" s="1094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81">
        <v>2</v>
      </c>
      <c r="AX16" s="981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5">
        <f t="shared" si="7"/>
        <v>1.5463917525773196</v>
      </c>
      <c r="L17" s="1095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2">
        <v>3</v>
      </c>
      <c r="AX17" s="982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8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7">
        <v>46286</v>
      </c>
      <c r="I18" s="817">
        <v>0.33333333333333331</v>
      </c>
      <c r="J18" s="487">
        <v>1016</v>
      </c>
      <c r="K18" s="1094">
        <f t="shared" si="7"/>
        <v>1.4763779527559056</v>
      </c>
      <c r="L18" s="1094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6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81">
        <v>2</v>
      </c>
      <c r="AX18" s="981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3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5">
        <f t="shared" si="7"/>
        <v>1.5306122448979591</v>
      </c>
      <c r="L19" s="1095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2">
        <v>3</v>
      </c>
      <c r="AX19" s="982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8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4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40">
        <v>46291</v>
      </c>
      <c r="G20" s="1141">
        <v>0.52083333333333337</v>
      </c>
      <c r="H20" s="955">
        <v>46292</v>
      </c>
      <c r="I20" s="1141">
        <v>0.625</v>
      </c>
      <c r="J20" s="451">
        <v>917</v>
      </c>
      <c r="K20" s="1142">
        <f t="shared" si="7"/>
        <v>1.6357688113413305</v>
      </c>
      <c r="L20" s="1142"/>
      <c r="M20" s="1143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7">
        <f>AVERAGE('Milling and Leach Feed'!T55:T59)</f>
        <v>0.7294666666666666</v>
      </c>
      <c r="Y20" s="1147">
        <f>AVERAGE('Milling and Leach Feed'!U55:U59)</f>
        <v>1.3033333333333335</v>
      </c>
      <c r="Z20" s="1147">
        <f>AVERAGE('Milling and Leach Feed'!V55:V59)</f>
        <v>18.880000000000003</v>
      </c>
      <c r="AA20" s="1147">
        <f>SUM('Milling and Leach Feed'!W55:W59)/'Au Cal Leaching Tank'!$O$20</f>
        <v>0.68413819284746402</v>
      </c>
      <c r="AB20" s="1147">
        <f>SUM('Milling and Leach Feed'!X55:X58)/'Au Cal Leaching Tank'!$O$20</f>
        <v>1.4868757002764379</v>
      </c>
      <c r="AC20" s="1147">
        <f>SUM('Milling and Leach Feed'!Y55:Y58)/'Au Cal Leaching Tank'!$O$20</f>
        <v>17.856298210974828</v>
      </c>
      <c r="AD20" s="1147">
        <f>X20-AA20</f>
        <v>4.5328473819202575E-2</v>
      </c>
      <c r="AE20" s="1026">
        <f t="shared" si="33"/>
        <v>1.6032936472354233E-2</v>
      </c>
      <c r="AF20" s="1147">
        <f>'LT Floculation'!G16</f>
        <v>0.13305555555555554</v>
      </c>
      <c r="AG20" s="1147">
        <f>'LT Floculation'!H16</f>
        <v>0.65888888888888886</v>
      </c>
      <c r="AH20" s="1147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6">
        <f t="shared" si="26"/>
        <v>0.71274456693932797</v>
      </c>
      <c r="AU20" s="1026">
        <f>IFERROR((AM20-AP20)/AM20,"")</f>
        <v>0.494458653026428</v>
      </c>
      <c r="AV20" s="1026">
        <f t="shared" ref="AV20" si="67">IFERROR((AN20-AQ20)/AN20,"")</f>
        <v>0.14577292823445687</v>
      </c>
      <c r="AW20" s="1027">
        <v>2</v>
      </c>
      <c r="AX20" s="1027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6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" si="70">$O21*X21</f>
        <v>227.26259358000001</v>
      </c>
      <c r="AM21" s="39">
        <f t="shared" ref="AM21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2">
        <v>3</v>
      </c>
      <c r="AX21" s="982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8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4" customFormat="1" x14ac:dyDescent="0.3">
      <c r="B22" s="451">
        <v>13</v>
      </c>
      <c r="C22" s="452"/>
      <c r="D22" s="452"/>
      <c r="E22" s="451">
        <v>2</v>
      </c>
      <c r="F22" s="451"/>
      <c r="G22" s="452"/>
      <c r="H22" s="452"/>
      <c r="I22" s="452"/>
      <c r="J22" s="451"/>
      <c r="K22" s="451"/>
      <c r="L22" s="451"/>
      <c r="M22" s="451"/>
      <c r="N22" s="452"/>
      <c r="O22" s="452"/>
      <c r="P22" s="451"/>
      <c r="Q22" s="451">
        <v>2</v>
      </c>
      <c r="R22" s="451"/>
      <c r="S22" s="451"/>
      <c r="T22" s="451">
        <v>108</v>
      </c>
      <c r="U22" s="452"/>
      <c r="V22" s="673" t="str">
        <f t="shared" si="45"/>
        <v/>
      </c>
      <c r="W22" s="452"/>
      <c r="X22" s="452"/>
      <c r="Y22" s="452"/>
      <c r="Z22" s="452"/>
      <c r="AA22" s="452"/>
      <c r="AB22" s="452"/>
      <c r="AC22" s="452"/>
      <c r="AD22" s="452"/>
      <c r="AE22" s="452"/>
      <c r="AF22" s="452"/>
      <c r="AG22" s="452"/>
      <c r="AH22" s="452"/>
      <c r="AI22" s="452"/>
      <c r="AJ22" s="452"/>
      <c r="AK22" s="452"/>
      <c r="AL22" s="452"/>
      <c r="AM22" s="452"/>
      <c r="AN22" s="452"/>
      <c r="AO22" s="452"/>
      <c r="AP22" s="452"/>
      <c r="AQ22" s="452"/>
      <c r="AR22" s="452"/>
      <c r="AS22" s="673">
        <v>13</v>
      </c>
      <c r="AT22" s="1026" t="str">
        <f t="shared" si="26"/>
        <v/>
      </c>
      <c r="AU22" s="1026" t="str">
        <f t="shared" si="27"/>
        <v/>
      </c>
      <c r="AV22" s="1026" t="str">
        <f t="shared" si="28"/>
        <v/>
      </c>
      <c r="AW22" s="1027">
        <v>2</v>
      </c>
      <c r="AX22" s="1027"/>
      <c r="AY22" s="451">
        <v>1.5</v>
      </c>
      <c r="AZ22" s="452"/>
      <c r="BA22" s="452"/>
      <c r="BB22" s="1028"/>
      <c r="BC22" s="1028"/>
      <c r="BD22" s="673">
        <f t="shared" ref="BD22:BD59" si="77">IFERROR((AL22-AO22-AR22),"")</f>
        <v>0</v>
      </c>
      <c r="BE22" s="673">
        <f t="shared" si="69"/>
        <v>0</v>
      </c>
      <c r="BF22" s="673">
        <f t="shared" ref="BF22:BF59" si="78">(AN22-AQ22)</f>
        <v>0</v>
      </c>
      <c r="BG22" s="452"/>
      <c r="BH22" s="452"/>
      <c r="BI22" s="1174"/>
      <c r="BJ22" s="452"/>
      <c r="BK22" s="452"/>
      <c r="BL22" s="452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2">
        <v>3</v>
      </c>
      <c r="AX23" s="982"/>
      <c r="AY23" s="13">
        <v>1.5</v>
      </c>
      <c r="AZ23" s="6"/>
      <c r="BA23" s="6"/>
      <c r="BB23" s="215"/>
      <c r="BC23" s="215"/>
      <c r="BD23" s="39">
        <f t="shared" si="77"/>
        <v>0</v>
      </c>
      <c r="BE23" s="39">
        <f t="shared" si="69"/>
        <v>0</v>
      </c>
      <c r="BF23" s="39">
        <f t="shared" si="78"/>
        <v>0</v>
      </c>
      <c r="BG23" s="6"/>
      <c r="BH23" s="6"/>
      <c r="BI23" s="6"/>
      <c r="BJ23" s="6"/>
      <c r="BK23" s="6"/>
      <c r="BL23" s="6"/>
    </row>
    <row r="24" spans="1:66" s="954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452"/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452"/>
      <c r="AS24" s="673">
        <v>15</v>
      </c>
      <c r="AT24" s="1026" t="str">
        <f t="shared" si="26"/>
        <v/>
      </c>
      <c r="AU24" s="1026" t="str">
        <f t="shared" si="27"/>
        <v/>
      </c>
      <c r="AV24" s="1026" t="str">
        <f t="shared" si="28"/>
        <v/>
      </c>
      <c r="AW24" s="1029"/>
      <c r="AX24" s="1029"/>
      <c r="AY24" s="451"/>
      <c r="AZ24" s="452"/>
      <c r="BA24" s="452"/>
      <c r="BB24" s="1028"/>
      <c r="BC24" s="1028"/>
      <c r="BD24" s="673">
        <f t="shared" si="77"/>
        <v>0</v>
      </c>
      <c r="BE24" s="673">
        <f t="shared" si="69"/>
        <v>0</v>
      </c>
      <c r="BF24" s="673">
        <f t="shared" si="78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>
        <f t="shared" si="77"/>
        <v>0</v>
      </c>
      <c r="BE25" s="39">
        <f t="shared" si="69"/>
        <v>0</v>
      </c>
      <c r="BF25" s="39">
        <f t="shared" si="78"/>
        <v>0</v>
      </c>
      <c r="BG25" s="6"/>
      <c r="BH25" s="6"/>
      <c r="BI25" s="6"/>
      <c r="BJ25" s="6"/>
      <c r="BK25" s="6"/>
      <c r="BL25" s="6"/>
    </row>
    <row r="26" spans="1:66" s="954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452"/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452"/>
      <c r="AS26" s="673">
        <v>17</v>
      </c>
      <c r="AT26" s="1026" t="str">
        <f t="shared" si="26"/>
        <v/>
      </c>
      <c r="AU26" s="1026" t="str">
        <f t="shared" si="27"/>
        <v/>
      </c>
      <c r="AV26" s="1026" t="str">
        <f t="shared" si="28"/>
        <v/>
      </c>
      <c r="AW26" s="1029"/>
      <c r="AX26" s="1029"/>
      <c r="AY26" s="451"/>
      <c r="AZ26" s="452"/>
      <c r="BA26" s="452"/>
      <c r="BB26" s="1028"/>
      <c r="BC26" s="1028"/>
      <c r="BD26" s="673">
        <f t="shared" si="77"/>
        <v>0</v>
      </c>
      <c r="BE26" s="673">
        <f t="shared" si="69"/>
        <v>0</v>
      </c>
      <c r="BF26" s="673">
        <f t="shared" si="78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>
        <f t="shared" si="77"/>
        <v>0</v>
      </c>
      <c r="BE27" s="39">
        <f t="shared" si="69"/>
        <v>0</v>
      </c>
      <c r="BF27" s="39">
        <f t="shared" si="78"/>
        <v>0</v>
      </c>
      <c r="BG27" s="6"/>
      <c r="BH27" s="6"/>
      <c r="BI27" s="6"/>
      <c r="BJ27" s="6"/>
      <c r="BK27" s="6"/>
      <c r="BL27" s="6"/>
    </row>
    <row r="28" spans="1:66" s="954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452"/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452"/>
      <c r="AS28" s="673">
        <v>19</v>
      </c>
      <c r="AT28" s="1026" t="str">
        <f t="shared" si="26"/>
        <v/>
      </c>
      <c r="AU28" s="1026" t="str">
        <f t="shared" si="27"/>
        <v/>
      </c>
      <c r="AV28" s="1026" t="str">
        <f t="shared" si="28"/>
        <v/>
      </c>
      <c r="AW28" s="1029"/>
      <c r="AX28" s="1029"/>
      <c r="AY28" s="451"/>
      <c r="AZ28" s="452"/>
      <c r="BA28" s="452"/>
      <c r="BB28" s="1028"/>
      <c r="BC28" s="1028"/>
      <c r="BD28" s="673">
        <f t="shared" si="77"/>
        <v>0</v>
      </c>
      <c r="BE28" s="673">
        <f t="shared" si="69"/>
        <v>0</v>
      </c>
      <c r="BF28" s="673">
        <f t="shared" si="78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>
        <f t="shared" si="77"/>
        <v>0</v>
      </c>
      <c r="BE29" s="39">
        <f t="shared" si="69"/>
        <v>0</v>
      </c>
      <c r="BF29" s="39">
        <f t="shared" si="78"/>
        <v>0</v>
      </c>
      <c r="BG29" s="6"/>
      <c r="BH29" s="6"/>
      <c r="BI29" s="6"/>
      <c r="BJ29" s="6"/>
      <c r="BK29" s="6"/>
      <c r="BL29" s="6"/>
    </row>
    <row r="30" spans="1:66" s="954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452"/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452"/>
      <c r="AS30" s="673">
        <v>21</v>
      </c>
      <c r="AT30" s="1026" t="str">
        <f t="shared" si="26"/>
        <v/>
      </c>
      <c r="AU30" s="1026" t="str">
        <f t="shared" si="27"/>
        <v/>
      </c>
      <c r="AV30" s="1026" t="str">
        <f t="shared" si="28"/>
        <v/>
      </c>
      <c r="AW30" s="1029"/>
      <c r="AX30" s="1029"/>
      <c r="AY30" s="451"/>
      <c r="AZ30" s="452"/>
      <c r="BA30" s="452"/>
      <c r="BB30" s="1028"/>
      <c r="BC30" s="1028"/>
      <c r="BD30" s="673">
        <f t="shared" si="77"/>
        <v>0</v>
      </c>
      <c r="BE30" s="673">
        <f t="shared" si="69"/>
        <v>0</v>
      </c>
      <c r="BF30" s="673">
        <f t="shared" si="78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>
        <f t="shared" si="77"/>
        <v>0</v>
      </c>
      <c r="BE31" s="39">
        <f t="shared" si="69"/>
        <v>0</v>
      </c>
      <c r="BF31" s="39">
        <f t="shared" si="78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>
        <f t="shared" si="77"/>
        <v>0</v>
      </c>
      <c r="BE32" s="673">
        <f t="shared" si="69"/>
        <v>0</v>
      </c>
      <c r="BF32" s="673">
        <f t="shared" si="78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>
        <f t="shared" si="77"/>
        <v>0</v>
      </c>
      <c r="BE33" s="39">
        <f t="shared" si="69"/>
        <v>0</v>
      </c>
      <c r="BF33" s="39">
        <f t="shared" si="78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>
        <f t="shared" si="77"/>
        <v>0</v>
      </c>
      <c r="BE34" s="673">
        <f t="shared" si="69"/>
        <v>0</v>
      </c>
      <c r="BF34" s="673">
        <f t="shared" si="78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>
        <f t="shared" si="77"/>
        <v>0</v>
      </c>
      <c r="BE35" s="39">
        <f t="shared" si="69"/>
        <v>0</v>
      </c>
      <c r="BF35" s="39">
        <f t="shared" si="78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>
        <f t="shared" si="77"/>
        <v>0</v>
      </c>
      <c r="BE36" s="673">
        <f t="shared" si="69"/>
        <v>0</v>
      </c>
      <c r="BF36" s="673">
        <f t="shared" si="78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>
        <f t="shared" si="77"/>
        <v>0</v>
      </c>
      <c r="BE37" s="39">
        <f t="shared" si="69"/>
        <v>0</v>
      </c>
      <c r="BF37" s="39">
        <f t="shared" si="78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>
        <f t="shared" si="77"/>
        <v>0</v>
      </c>
      <c r="BE38" s="673">
        <f t="shared" si="69"/>
        <v>0</v>
      </c>
      <c r="BF38" s="673">
        <f t="shared" si="78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>
        <f t="shared" si="77"/>
        <v>0</v>
      </c>
      <c r="BE39" s="39">
        <f t="shared" si="69"/>
        <v>0</v>
      </c>
      <c r="BF39" s="39">
        <f t="shared" si="78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>
        <f t="shared" si="77"/>
        <v>0</v>
      </c>
      <c r="BE40" s="673">
        <f t="shared" si="69"/>
        <v>0</v>
      </c>
      <c r="BF40" s="673">
        <f t="shared" si="78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>
        <f t="shared" si="77"/>
        <v>0</v>
      </c>
      <c r="BE41" s="39">
        <f t="shared" si="69"/>
        <v>0</v>
      </c>
      <c r="BF41" s="39">
        <f t="shared" si="78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>
        <f t="shared" si="77"/>
        <v>0</v>
      </c>
      <c r="BE42" s="673">
        <f t="shared" si="69"/>
        <v>0</v>
      </c>
      <c r="BF42" s="673">
        <f t="shared" si="78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>
        <f t="shared" si="77"/>
        <v>0</v>
      </c>
      <c r="BE43" s="39">
        <f t="shared" si="69"/>
        <v>0</v>
      </c>
      <c r="BF43" s="39">
        <f t="shared" si="78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>
        <f t="shared" si="77"/>
        <v>0</v>
      </c>
      <c r="BE44" s="673">
        <f t="shared" si="69"/>
        <v>0</v>
      </c>
      <c r="BF44" s="673">
        <f t="shared" si="78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>
        <f t="shared" si="77"/>
        <v>0</v>
      </c>
      <c r="BE45" s="39">
        <f t="shared" si="69"/>
        <v>0</v>
      </c>
      <c r="BF45" s="39">
        <f t="shared" si="78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>
        <f t="shared" si="77"/>
        <v>0</v>
      </c>
      <c r="BE46" s="673">
        <f t="shared" si="69"/>
        <v>0</v>
      </c>
      <c r="BF46" s="673">
        <f t="shared" si="78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>
        <f t="shared" si="77"/>
        <v>0</v>
      </c>
      <c r="BE47" s="39">
        <f t="shared" si="69"/>
        <v>0</v>
      </c>
      <c r="BF47" s="39">
        <f t="shared" si="78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>
        <f t="shared" si="77"/>
        <v>0</v>
      </c>
      <c r="BE48" s="673">
        <f t="shared" si="69"/>
        <v>0</v>
      </c>
      <c r="BF48" s="673">
        <f t="shared" si="78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>
        <f t="shared" si="77"/>
        <v>0</v>
      </c>
      <c r="BE49" s="39">
        <f t="shared" si="69"/>
        <v>0</v>
      </c>
      <c r="BF49" s="39">
        <f t="shared" si="78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>
        <f t="shared" si="77"/>
        <v>0</v>
      </c>
      <c r="BE50" s="673">
        <f t="shared" si="69"/>
        <v>0</v>
      </c>
      <c r="BF50" s="673">
        <f t="shared" si="78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>
        <f t="shared" si="77"/>
        <v>0</v>
      </c>
      <c r="BE51" s="39">
        <f t="shared" si="69"/>
        <v>0</v>
      </c>
      <c r="BF51" s="39">
        <f t="shared" si="78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>
        <f t="shared" si="77"/>
        <v>0</v>
      </c>
      <c r="BE52" s="673">
        <f t="shared" si="69"/>
        <v>0</v>
      </c>
      <c r="BF52" s="673">
        <f t="shared" si="78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>
        <f t="shared" si="77"/>
        <v>0</v>
      </c>
      <c r="BE53" s="39">
        <f t="shared" si="69"/>
        <v>0</v>
      </c>
      <c r="BF53" s="39">
        <f t="shared" si="78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>
        <f t="shared" si="77"/>
        <v>0</v>
      </c>
      <c r="BE54" s="673">
        <f t="shared" si="69"/>
        <v>0</v>
      </c>
      <c r="BF54" s="673">
        <f t="shared" si="78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>
        <f t="shared" si="77"/>
        <v>0</v>
      </c>
      <c r="BE55" s="39">
        <f t="shared" si="69"/>
        <v>0</v>
      </c>
      <c r="BF55" s="39">
        <f t="shared" si="78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>
        <f t="shared" si="77"/>
        <v>0</v>
      </c>
      <c r="BE56" s="673">
        <f t="shared" si="69"/>
        <v>0</v>
      </c>
      <c r="BF56" s="673">
        <f t="shared" si="78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>
        <f t="shared" si="77"/>
        <v>0</v>
      </c>
      <c r="BE57" s="39">
        <f t="shared" si="69"/>
        <v>0</v>
      </c>
      <c r="BF57" s="39">
        <f t="shared" si="78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>
        <f t="shared" si="77"/>
        <v>0</v>
      </c>
      <c r="BE58" s="673">
        <f t="shared" si="69"/>
        <v>0</v>
      </c>
      <c r="BF58" s="673">
        <f t="shared" si="78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>
        <f t="shared" si="77"/>
        <v>0</v>
      </c>
      <c r="BE59" s="39">
        <f t="shared" si="69"/>
        <v>0</v>
      </c>
      <c r="BF59" s="39">
        <f t="shared" si="78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37.908333333333331</v>
      </c>
      <c r="D60" s="135">
        <f>AVERAGE(D10:D59)</f>
        <v>8.6503110555921428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374.2337837500001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0.69086382275132274</v>
      </c>
      <c r="Y60" s="207">
        <f>AVERAGE(Y10:Y59)</f>
        <v>0.80796461640211648</v>
      </c>
      <c r="Z60" s="207">
        <f>AVERAGE(Z10:Z59)</f>
        <v>11.568761574074074</v>
      </c>
      <c r="AA60" s="207">
        <f>AVERAGE(AA10:AA59)</f>
        <v>0.67293435388177425</v>
      </c>
      <c r="AB60" s="207">
        <f t="shared" ref="AB60:AC60" si="79">AVERAGE(AB10:AB59)</f>
        <v>0.80640480099848277</v>
      </c>
      <c r="AC60" s="207">
        <f t="shared" si="79"/>
        <v>11.329079886168605</v>
      </c>
      <c r="AD60" s="134"/>
      <c r="AE60" s="134"/>
      <c r="AF60" s="207">
        <f>AVERAGE(AF10:AF59)</f>
        <v>9.5149999999999998E-2</v>
      </c>
      <c r="AG60" s="207">
        <f t="shared" ref="AG60:AI60" si="80">AVERAGE(AG10:AG59)</f>
        <v>0.37657407407407412</v>
      </c>
      <c r="AH60" s="207">
        <f t="shared" si="80"/>
        <v>10.881162037037036</v>
      </c>
      <c r="AI60" s="207">
        <f t="shared" si="80"/>
        <v>2.608333333333333E-2</v>
      </c>
      <c r="AJ60" s="134"/>
      <c r="AK60" s="134"/>
      <c r="AL60" s="135">
        <f>SUM(AL10:AL59)</f>
        <v>2768.3433251270421</v>
      </c>
      <c r="AM60" s="135">
        <f t="shared" ref="AM60:AN60" si="81">SUM(AM10:AM59)</f>
        <v>3362.06950184366</v>
      </c>
      <c r="AN60" s="135">
        <f t="shared" si="81"/>
        <v>48304.761469779078</v>
      </c>
      <c r="AO60" s="135">
        <f>SUM(AO10:AO59)</f>
        <v>387.72331697290275</v>
      </c>
      <c r="AP60" s="135">
        <f t="shared" ref="AP60:AR60" si="82">SUM(AP10:AP59)</f>
        <v>1592.7629814705558</v>
      </c>
      <c r="AQ60" s="135">
        <f t="shared" si="82"/>
        <v>45982.050583922508</v>
      </c>
      <c r="AR60" s="135">
        <f t="shared" si="82"/>
        <v>193.14004204</v>
      </c>
      <c r="AS60" s="134"/>
      <c r="AT60" s="232">
        <f>AVERAGE(AT10:AT59)</f>
        <v>0.78601784234802674</v>
      </c>
      <c r="AU60" s="232">
        <f t="shared" ref="AU60:AV60" si="83">AVERAGE(AU10:AU59)</f>
        <v>0.54565577449051206</v>
      </c>
      <c r="AV60" s="232">
        <f t="shared" si="83"/>
        <v>7.9923219394369319E-2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454.9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3994.3035052499999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4">
        <f>SUM(BD10:BD59)</f>
        <v>2187.4799661141392</v>
      </c>
      <c r="BE61" s="984">
        <f>SUM(BE10:BE59)</f>
        <v>1769.3065203731048</v>
      </c>
      <c r="BF61" s="984">
        <f>SUM(BF10:BF59)</f>
        <v>2322.7108858565807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0.64487500000000009</v>
      </c>
      <c r="Y62" s="244">
        <f t="shared" ref="Y62:Z62" si="84">MEDIAN(Y10:Y59)</f>
        <v>0.70041666666666669</v>
      </c>
      <c r="Z62" s="244">
        <f t="shared" si="84"/>
        <v>9.4826388888888893</v>
      </c>
      <c r="AA62" s="244">
        <f>MEDIAN(AA10:AA59)</f>
        <v>0.63680830617586415</v>
      </c>
      <c r="AB62" s="244">
        <f t="shared" ref="AB62:AC62" si="85">MEDIAN(AB10:AB59)</f>
        <v>0.70562215346358503</v>
      </c>
      <c r="AC62" s="244">
        <f t="shared" si="85"/>
        <v>9.5941564277004581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2187.4799661141396</v>
      </c>
      <c r="BD63" s="10">
        <f>BD61*0.8</f>
        <v>1749.9839728913114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03" t="s">
        <v>310</v>
      </c>
      <c r="AP65" s="1303"/>
      <c r="AQ65" s="1303"/>
      <c r="AR65" s="1303"/>
      <c r="AS65" s="249"/>
      <c r="AT65" s="131" t="s">
        <v>331</v>
      </c>
      <c r="AU65" s="1490" t="s">
        <v>260</v>
      </c>
      <c r="AV65" s="1490"/>
      <c r="AW65" s="1490"/>
      <c r="AX65" s="429"/>
      <c r="AY65" s="1330" t="s">
        <v>256</v>
      </c>
      <c r="AZ65" s="1331"/>
      <c r="BA65" s="1331"/>
      <c r="BB65" s="1331"/>
      <c r="BC65" s="1331"/>
      <c r="BD65" s="1332"/>
      <c r="BE65" s="1513" t="s">
        <v>277</v>
      </c>
      <c r="BF65" s="1514"/>
      <c r="BG65" s="1515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490" t="s">
        <v>261</v>
      </c>
      <c r="AV66" s="1490"/>
      <c r="AW66" s="1490"/>
      <c r="AX66" s="429"/>
      <c r="AY66" s="1330" t="s">
        <v>263</v>
      </c>
      <c r="AZ66" s="1331"/>
      <c r="BA66" s="1332"/>
      <c r="BB66" s="1330" t="s">
        <v>264</v>
      </c>
      <c r="BC66" s="1331"/>
      <c r="BD66" s="1332"/>
      <c r="BE66" s="1330" t="s">
        <v>40</v>
      </c>
      <c r="BF66" s="1331"/>
      <c r="BG66" s="1332"/>
    </row>
    <row r="67" spans="5:59" x14ac:dyDescent="0.3">
      <c r="F67" s="43"/>
      <c r="J67" s="39">
        <f>SUM(C10:C59)</f>
        <v>454.9</v>
      </c>
      <c r="K67" s="39"/>
      <c r="L67" s="39"/>
      <c r="M67" s="39">
        <f>'Milling Down Time Hours'!P60</f>
        <v>317.63333333333333</v>
      </c>
      <c r="N67" s="39">
        <f>N61/J67</f>
        <v>8.7806188288634868</v>
      </c>
      <c r="O67" s="39"/>
      <c r="P67" s="39">
        <f>(N61/J68)</f>
        <v>210.7348518927237</v>
      </c>
      <c r="Q67" s="39"/>
      <c r="R67" s="39"/>
      <c r="S67" s="39"/>
      <c r="T67" s="39"/>
      <c r="U67" s="39">
        <f>(J67+M67)/24</f>
        <v>32.18888888888889</v>
      </c>
      <c r="AO67" s="13" t="s">
        <v>330</v>
      </c>
      <c r="AP67" s="133">
        <f>AVERAGE(X10:X15)</f>
        <v>0.7364814814814814</v>
      </c>
      <c r="AQ67" s="133">
        <f t="shared" ref="AQ67:AR67" si="86">AVERAGE(Y10:Y15)</f>
        <v>0.64749537037037042</v>
      </c>
      <c r="AR67" s="133">
        <f t="shared" si="86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18.954166666666666</v>
      </c>
      <c r="K68" s="43"/>
      <c r="L68" s="43"/>
      <c r="M68" s="43">
        <f>M67/24</f>
        <v>13.234722222222222</v>
      </c>
      <c r="AD68" s="1490" t="s">
        <v>260</v>
      </c>
      <c r="AE68" s="1490"/>
      <c r="AF68" s="1490"/>
      <c r="AG68" s="1490"/>
      <c r="AH68" s="1490"/>
      <c r="AO68" s="13" t="s">
        <v>201</v>
      </c>
      <c r="AP68" s="133">
        <f>MEDIAN(X10:X15)</f>
        <v>0.69599999999999995</v>
      </c>
      <c r="AQ68" s="133">
        <f t="shared" ref="AQ68:AR68" si="87">MEDIAN(Y10:Y15)</f>
        <v>0.66361111111111115</v>
      </c>
      <c r="AR68" s="133">
        <f t="shared" si="8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50">
        <v>7.2224166666666676</v>
      </c>
      <c r="AX68" s="1153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71" t="s">
        <v>259</v>
      </c>
      <c r="AE69" s="1471" t="s">
        <v>487</v>
      </c>
      <c r="AF69" s="1490" t="s">
        <v>261</v>
      </c>
      <c r="AG69" s="1490"/>
      <c r="AH69" s="1490"/>
      <c r="AO69" s="13" t="s">
        <v>203</v>
      </c>
      <c r="AP69" s="133">
        <f>MIN(X10:X15)</f>
        <v>0.57608333333333328</v>
      </c>
      <c r="AQ69" s="133">
        <f t="shared" ref="AQ69:AR69" si="88">MIN(Y10:Y15)</f>
        <v>0.49666666666666665</v>
      </c>
      <c r="AR69" s="133">
        <f t="shared" si="8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50">
        <v>9.051111111111112</v>
      </c>
      <c r="AX69" s="1153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454.9</v>
      </c>
      <c r="O70" s="10"/>
      <c r="AD70" s="1471"/>
      <c r="AE70" s="1471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89">MAX(Y10:Y15)</f>
        <v>0.79333333333333333</v>
      </c>
      <c r="AR70" s="133">
        <f t="shared" si="8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50">
        <v>9.0688888888888908</v>
      </c>
      <c r="AX70" s="1153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50">
        <v>9.1508333333333347</v>
      </c>
      <c r="AX71" s="1153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772.5333333333333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50">
        <v>9.0411111111111087</v>
      </c>
      <c r="AX72" s="1153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0.5888419054193994</v>
      </c>
      <c r="AD73" s="12"/>
      <c r="AT73" s="13">
        <v>6</v>
      </c>
      <c r="AU73" s="133">
        <v>0.57608333333333328</v>
      </c>
      <c r="AV73" s="133">
        <v>0.66833333333333333</v>
      </c>
      <c r="AW73" s="1150">
        <v>7.58</v>
      </c>
      <c r="AX73" s="1153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8.7806188288634868</v>
      </c>
      <c r="AD74" s="12"/>
      <c r="AT74" s="13">
        <v>7</v>
      </c>
      <c r="AU74" s="133">
        <v>0.53555555555555556</v>
      </c>
      <c r="AV74" s="133">
        <v>0.53555555555555556</v>
      </c>
      <c r="AW74" s="1150">
        <v>9.8144444444444439</v>
      </c>
      <c r="AX74" s="1153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210.7348518927237</v>
      </c>
      <c r="AD75" s="12"/>
      <c r="AT75" s="13">
        <v>8</v>
      </c>
      <c r="AU75" s="133">
        <v>0.58483333333333321</v>
      </c>
      <c r="AV75" s="133">
        <v>0.58833333333333337</v>
      </c>
      <c r="AW75" s="1150">
        <v>10.3775</v>
      </c>
      <c r="AX75" s="1153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32.18888888888889</v>
      </c>
      <c r="AD76" s="12"/>
      <c r="AT76" s="13">
        <v>9</v>
      </c>
      <c r="AU76" s="133">
        <v>0.60575000000000001</v>
      </c>
      <c r="AV76" s="133">
        <v>0.86333333333333329</v>
      </c>
      <c r="AW76" s="1150">
        <v>14.675833333333332</v>
      </c>
      <c r="AX76" s="1153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0.41115809458060065</v>
      </c>
      <c r="AT77" s="13">
        <v>10</v>
      </c>
      <c r="AU77" s="133">
        <v>0.82590476190476192</v>
      </c>
      <c r="AV77" s="133">
        <v>1.1390476190476191</v>
      </c>
      <c r="AW77" s="1150">
        <v>17.893333333333334</v>
      </c>
      <c r="AX77" s="1153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50">
        <v>18.880000000000003</v>
      </c>
      <c r="AX78" s="1153"/>
      <c r="AY78" s="1149">
        <v>0.16700000000000001</v>
      </c>
      <c r="AZ78" s="1149">
        <v>1.26</v>
      </c>
      <c r="BA78" s="1149">
        <v>17.43</v>
      </c>
      <c r="BB78" s="1149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0">AVERAGE(AV68:AV78)</f>
        <v>0.75587049062049061</v>
      </c>
      <c r="AW79" s="133">
        <f t="shared" si="90"/>
        <v>11.159588383838383</v>
      </c>
      <c r="AX79" s="207"/>
      <c r="AY79" s="133">
        <f>AVERAGE(AY68:AY78)</f>
        <v>9.6350505050505048E-2</v>
      </c>
      <c r="AZ79" s="133">
        <f t="shared" ref="AZ79:BB79" si="91">AVERAGE(AZ68:AZ78)</f>
        <v>0.38267676767676767</v>
      </c>
      <c r="BA79" s="133">
        <f t="shared" si="91"/>
        <v>10.193287878787878</v>
      </c>
      <c r="BB79" s="133">
        <f t="shared" si="91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4" t="s">
        <v>17</v>
      </c>
      <c r="AU80" s="1510"/>
      <c r="AV80" s="1511"/>
      <c r="AW80" s="1511"/>
      <c r="AX80" s="1511"/>
      <c r="AY80" s="1511"/>
      <c r="AZ80" s="1511"/>
      <c r="BA80" s="1511"/>
      <c r="BB80" s="1511"/>
      <c r="BC80" s="1511"/>
      <c r="BD80" s="1512"/>
      <c r="BE80" s="1155">
        <f>SUM(BE68:BE79)</f>
        <v>2023.4684999216388</v>
      </c>
      <c r="BF80" s="1155">
        <f t="shared" ref="BF80:BG80" si="92">SUM(BF68:BF79)</f>
        <v>1374.7770814606047</v>
      </c>
      <c r="BG80" s="1155">
        <f t="shared" si="9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488" t="s">
        <v>318</v>
      </c>
      <c r="O92" s="1490" t="s">
        <v>633</v>
      </c>
      <c r="P92" s="1490"/>
      <c r="Q92" s="1490"/>
      <c r="R92" s="429"/>
      <c r="S92" s="429"/>
      <c r="T92" s="429"/>
      <c r="U92" s="1330" t="s">
        <v>324</v>
      </c>
      <c r="V92" s="1331"/>
      <c r="W92" s="1332"/>
    </row>
    <row r="93" spans="10:45" x14ac:dyDescent="0.3">
      <c r="J93" s="131" t="s">
        <v>321</v>
      </c>
      <c r="K93" s="131"/>
      <c r="L93" s="131"/>
      <c r="M93" s="131" t="s">
        <v>634</v>
      </c>
      <c r="N93" s="1489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3">Y10</f>
        <v>0.53525</v>
      </c>
      <c r="Q94" s="133">
        <f t="shared" si="9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4">AG10</f>
        <v>0.17</v>
      </c>
      <c r="W94" s="133">
        <f t="shared" si="9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5">X11</f>
        <v>0.68400000000000005</v>
      </c>
      <c r="P95" s="133">
        <f t="shared" si="93"/>
        <v>0.79333333333333333</v>
      </c>
      <c r="Q95" s="133">
        <f t="shared" si="93"/>
        <v>9.051111111111112</v>
      </c>
      <c r="R95" s="133"/>
      <c r="S95" s="133"/>
      <c r="T95" s="133"/>
      <c r="U95" s="133">
        <f t="shared" ref="U95:U98" si="96">AF11</f>
        <v>5.5749999999999994E-2</v>
      </c>
      <c r="V95" s="133">
        <f t="shared" si="94"/>
        <v>0.25</v>
      </c>
      <c r="W95" s="133">
        <f t="shared" si="9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5"/>
        <v>0.93455555555555547</v>
      </c>
      <c r="P96" s="133">
        <f t="shared" si="93"/>
        <v>0.65888888888888886</v>
      </c>
      <c r="Q96" s="133">
        <f t="shared" si="93"/>
        <v>9.0688888888888908</v>
      </c>
      <c r="R96" s="133"/>
      <c r="S96" s="133"/>
      <c r="T96" s="133"/>
      <c r="U96" s="133">
        <f t="shared" si="96"/>
        <v>9.816666666666668E-2</v>
      </c>
      <c r="V96" s="133">
        <f t="shared" si="94"/>
        <v>0.23333333333333331</v>
      </c>
      <c r="W96" s="133">
        <f t="shared" si="9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7">O13</f>
        <v>316.93530000000004</v>
      </c>
      <c r="O97" s="133">
        <f t="shared" si="95"/>
        <v>0.92891666666666661</v>
      </c>
      <c r="P97" s="133">
        <f t="shared" si="93"/>
        <v>0.73249999999999993</v>
      </c>
      <c r="Q97" s="133">
        <f t="shared" si="93"/>
        <v>9.1508333333333347</v>
      </c>
      <c r="R97" s="133"/>
      <c r="S97" s="133"/>
      <c r="T97" s="133"/>
      <c r="U97" s="133">
        <f t="shared" si="96"/>
        <v>0.10916666666666668</v>
      </c>
      <c r="V97" s="133">
        <f t="shared" si="94"/>
        <v>0.24</v>
      </c>
      <c r="W97" s="133">
        <f t="shared" si="9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7"/>
        <v>266.98580000000004</v>
      </c>
      <c r="O98" s="133">
        <f t="shared" si="95"/>
        <v>0.58733333333333337</v>
      </c>
      <c r="P98" s="133">
        <f t="shared" si="93"/>
        <v>0.49666666666666665</v>
      </c>
      <c r="Q98" s="133">
        <f t="shared" si="93"/>
        <v>9.0411111111111087</v>
      </c>
      <c r="R98" s="133"/>
      <c r="S98" s="133"/>
      <c r="T98" s="133"/>
      <c r="U98" s="133">
        <f t="shared" si="96"/>
        <v>0.12466666666666666</v>
      </c>
      <c r="V98" s="133">
        <f t="shared" si="94"/>
        <v>0.37833333333333335</v>
      </c>
      <c r="W98" s="133">
        <f t="shared" si="9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3"/>
        <v>0.66833333333333333</v>
      </c>
      <c r="Q99" s="133">
        <f t="shared" si="9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3"/>
        <v>0.53555555555555556</v>
      </c>
      <c r="Q100" s="133">
        <f t="shared" si="9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8">AVERAGE(P94:P100)</f>
        <v>0.63150396825396826</v>
      </c>
      <c r="Q101" s="242">
        <f t="shared" si="9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99">AVERAGE(V94:V98)</f>
        <v>0.25433333333333336</v>
      </c>
      <c r="W101" s="242">
        <f t="shared" si="99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16" t="s">
        <v>473</v>
      </c>
      <c r="R4" s="1517"/>
      <c r="S4" s="1517"/>
      <c r="T4" s="1518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19"/>
      <c r="R5" s="1520"/>
      <c r="S5" s="1520"/>
      <c r="T5" s="1521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46" t="s">
        <v>0</v>
      </c>
      <c r="B4" s="1549" t="s">
        <v>50</v>
      </c>
      <c r="C4" s="1549"/>
      <c r="D4" s="1549"/>
      <c r="E4" s="1549"/>
      <c r="F4" s="99"/>
      <c r="G4" s="54"/>
      <c r="H4" s="54"/>
      <c r="I4" s="104"/>
      <c r="J4" s="104"/>
      <c r="K4" s="104"/>
      <c r="L4" s="1560" t="s">
        <v>239</v>
      </c>
      <c r="M4" s="1561"/>
      <c r="N4" s="1562"/>
      <c r="O4" s="1560" t="s">
        <v>235</v>
      </c>
      <c r="P4" s="1561"/>
      <c r="Q4" s="1562"/>
      <c r="R4" s="1560" t="s">
        <v>236</v>
      </c>
      <c r="S4" s="1561"/>
      <c r="T4" s="1562"/>
      <c r="U4" s="1560" t="s">
        <v>237</v>
      </c>
      <c r="V4" s="1561"/>
      <c r="W4" s="1562"/>
      <c r="X4" s="1560" t="s">
        <v>238</v>
      </c>
      <c r="Y4" s="1561"/>
      <c r="Z4" s="1562"/>
      <c r="AA4" s="1560" t="s">
        <v>51</v>
      </c>
      <c r="AB4" s="1561"/>
      <c r="AC4" s="1562"/>
      <c r="AD4" s="1560" t="s">
        <v>52</v>
      </c>
      <c r="AE4" s="1561"/>
      <c r="AF4" s="1562"/>
      <c r="AG4" s="1563">
        <v>0.83333333333333337</v>
      </c>
      <c r="AH4" s="1561"/>
      <c r="AI4" s="1562"/>
      <c r="AJ4" s="1563">
        <v>0.91666666666666663</v>
      </c>
      <c r="AK4" s="1564"/>
      <c r="AL4" s="1565"/>
      <c r="AM4" s="1566">
        <v>0</v>
      </c>
      <c r="AN4" s="1567"/>
      <c r="AO4" s="1568"/>
      <c r="AP4" s="1563">
        <v>8.3333333333333329E-2</v>
      </c>
      <c r="AQ4" s="1564"/>
      <c r="AR4" s="1565"/>
      <c r="AS4" s="1563">
        <v>0.16666666666666666</v>
      </c>
      <c r="AT4" s="1564"/>
      <c r="AU4" s="1565"/>
      <c r="AV4" s="59" t="s">
        <v>53</v>
      </c>
      <c r="AW4" s="44"/>
    </row>
    <row r="5" spans="1:49" x14ac:dyDescent="0.3">
      <c r="A5" s="1546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44">
        <v>46147</v>
      </c>
      <c r="B6" s="1547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22" t="s">
        <v>231</v>
      </c>
      <c r="AW6" s="1523"/>
    </row>
    <row r="7" spans="1:49" x14ac:dyDescent="0.3">
      <c r="A7" s="1544"/>
      <c r="B7" s="154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22"/>
      <c r="AW7" s="1524"/>
    </row>
    <row r="8" spans="1:49" x14ac:dyDescent="0.3">
      <c r="A8" s="1544"/>
      <c r="B8" s="154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22"/>
      <c r="AW8" s="1524"/>
    </row>
    <row r="9" spans="1:49" ht="15" thickBot="1" x14ac:dyDescent="0.35">
      <c r="A9" s="1547"/>
      <c r="B9" s="154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23"/>
      <c r="AW9" s="1525"/>
    </row>
    <row r="10" spans="1:49" x14ac:dyDescent="0.3">
      <c r="A10" s="1550">
        <v>46148</v>
      </c>
      <c r="B10" s="1569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32" t="s">
        <v>240</v>
      </c>
      <c r="AW10" s="1535" t="s">
        <v>230</v>
      </c>
    </row>
    <row r="11" spans="1:49" x14ac:dyDescent="0.3">
      <c r="A11" s="1551"/>
      <c r="B11" s="154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33"/>
      <c r="AW11" s="1536"/>
    </row>
    <row r="12" spans="1:49" x14ac:dyDescent="0.3">
      <c r="A12" s="1551"/>
      <c r="B12" s="154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33"/>
      <c r="AW12" s="1536"/>
    </row>
    <row r="13" spans="1:49" ht="15" thickBot="1" x14ac:dyDescent="0.35">
      <c r="A13" s="1552"/>
      <c r="B13" s="154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34"/>
      <c r="AW13" s="1537"/>
    </row>
    <row r="14" spans="1:49" ht="15" thickBot="1" x14ac:dyDescent="0.35">
      <c r="A14" s="1550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32" t="s">
        <v>241</v>
      </c>
      <c r="AW14" s="1538"/>
    </row>
    <row r="15" spans="1:49" x14ac:dyDescent="0.3">
      <c r="A15" s="1551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33"/>
      <c r="AW15" s="1539"/>
    </row>
    <row r="16" spans="1:49" x14ac:dyDescent="0.3">
      <c r="A16" s="1551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33"/>
      <c r="AW16" s="1539"/>
    </row>
    <row r="17" spans="1:49" ht="15" thickBot="1" x14ac:dyDescent="0.35">
      <c r="A17" s="1552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33"/>
      <c r="AW17" s="1540"/>
    </row>
    <row r="18" spans="1:49" x14ac:dyDescent="0.3">
      <c r="A18" s="1553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41"/>
    </row>
    <row r="19" spans="1:49" x14ac:dyDescent="0.3">
      <c r="A19" s="1544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42"/>
    </row>
    <row r="20" spans="1:49" x14ac:dyDescent="0.3">
      <c r="A20" s="154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42"/>
    </row>
    <row r="21" spans="1:49" x14ac:dyDescent="0.3">
      <c r="A21" s="154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42"/>
    </row>
    <row r="22" spans="1:49" x14ac:dyDescent="0.3">
      <c r="A22" s="1544">
        <v>46151</v>
      </c>
      <c r="B22" s="51"/>
      <c r="C22" s="49"/>
      <c r="D22" s="1529"/>
      <c r="E22" s="1526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42"/>
    </row>
    <row r="23" spans="1:49" x14ac:dyDescent="0.3">
      <c r="A23" s="1544"/>
      <c r="B23" s="52"/>
      <c r="C23" s="49"/>
      <c r="D23" s="1530"/>
      <c r="E23" s="1527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42"/>
    </row>
    <row r="24" spans="1:49" x14ac:dyDescent="0.3">
      <c r="A24" s="1544"/>
      <c r="B24" s="52"/>
      <c r="C24" s="49"/>
      <c r="D24" s="1530"/>
      <c r="E24" s="1527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42"/>
    </row>
    <row r="25" spans="1:49" ht="15" thickBot="1" x14ac:dyDescent="0.35">
      <c r="A25" s="1544"/>
      <c r="B25" s="53"/>
      <c r="C25" s="49"/>
      <c r="D25" s="1531"/>
      <c r="E25" s="1528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43"/>
    </row>
    <row r="26" spans="1:49" x14ac:dyDescent="0.3">
      <c r="A26" s="1544">
        <v>46152</v>
      </c>
      <c r="B26" s="51"/>
      <c r="C26" s="49"/>
      <c r="D26" s="1529"/>
      <c r="E26" s="1526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41"/>
      <c r="AW26" s="1541"/>
    </row>
    <row r="27" spans="1:49" x14ac:dyDescent="0.3">
      <c r="A27" s="1544"/>
      <c r="B27" s="52"/>
      <c r="C27" s="49"/>
      <c r="D27" s="1530"/>
      <c r="E27" s="1527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42"/>
      <c r="AW27" s="1542"/>
    </row>
    <row r="28" spans="1:49" x14ac:dyDescent="0.3">
      <c r="A28" s="1544"/>
      <c r="B28" s="52"/>
      <c r="C28" s="49"/>
      <c r="D28" s="1530"/>
      <c r="E28" s="1527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42"/>
      <c r="AW28" s="1542"/>
    </row>
    <row r="29" spans="1:49" x14ac:dyDescent="0.3">
      <c r="A29" s="1544"/>
      <c r="B29" s="53"/>
      <c r="C29" s="49"/>
      <c r="D29" s="1531"/>
      <c r="E29" s="1528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42"/>
      <c r="AW29" s="1542"/>
    </row>
    <row r="30" spans="1:49" x14ac:dyDescent="0.3">
      <c r="A30" s="1544">
        <v>46153</v>
      </c>
      <c r="B30" s="51"/>
      <c r="C30" s="49"/>
      <c r="D30" s="1529"/>
      <c r="E30" s="1526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42"/>
      <c r="AW30" s="1542"/>
    </row>
    <row r="31" spans="1:49" x14ac:dyDescent="0.3">
      <c r="A31" s="1544"/>
      <c r="B31" s="52"/>
      <c r="C31" s="49"/>
      <c r="D31" s="1530"/>
      <c r="E31" s="1527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42"/>
      <c r="AW31" s="1542"/>
    </row>
    <row r="32" spans="1:49" x14ac:dyDescent="0.3">
      <c r="A32" s="1544"/>
      <c r="B32" s="52"/>
      <c r="C32" s="49"/>
      <c r="D32" s="1530"/>
      <c r="E32" s="1527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42"/>
      <c r="AW32" s="1542"/>
    </row>
    <row r="33" spans="1:49" x14ac:dyDescent="0.3">
      <c r="A33" s="1544"/>
      <c r="B33" s="53"/>
      <c r="C33" s="49"/>
      <c r="D33" s="1531"/>
      <c r="E33" s="1528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43"/>
      <c r="AW33" s="1543"/>
    </row>
    <row r="34" spans="1:49" x14ac:dyDescent="0.3">
      <c r="A34" s="1544">
        <v>46154</v>
      </c>
      <c r="B34" s="51"/>
      <c r="C34" s="49"/>
      <c r="D34" s="1529"/>
      <c r="E34" s="1526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41"/>
      <c r="AW34" s="1541"/>
    </row>
    <row r="35" spans="1:49" x14ac:dyDescent="0.3">
      <c r="A35" s="1544"/>
      <c r="B35" s="52"/>
      <c r="C35" s="49"/>
      <c r="D35" s="1530"/>
      <c r="E35" s="1527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42"/>
      <c r="AW35" s="1542"/>
    </row>
    <row r="36" spans="1:49" x14ac:dyDescent="0.3">
      <c r="A36" s="1544"/>
      <c r="B36" s="52"/>
      <c r="C36" s="49"/>
      <c r="D36" s="1530"/>
      <c r="E36" s="1527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42"/>
      <c r="AW36" s="1542"/>
    </row>
    <row r="37" spans="1:49" x14ac:dyDescent="0.3">
      <c r="A37" s="1544"/>
      <c r="B37" s="53"/>
      <c r="C37" s="49"/>
      <c r="D37" s="1531"/>
      <c r="E37" s="1528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42"/>
      <c r="AW37" s="1542"/>
    </row>
    <row r="38" spans="1:49" x14ac:dyDescent="0.3">
      <c r="A38" s="1544">
        <v>46155</v>
      </c>
      <c r="B38" s="51"/>
      <c r="C38" s="49"/>
      <c r="D38" s="1529"/>
      <c r="E38" s="1526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42"/>
      <c r="AW38" s="1542"/>
    </row>
    <row r="39" spans="1:49" x14ac:dyDescent="0.3">
      <c r="A39" s="1544"/>
      <c r="B39" s="52"/>
      <c r="C39" s="49"/>
      <c r="D39" s="1530"/>
      <c r="E39" s="1527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42"/>
      <c r="AW39" s="1542"/>
    </row>
    <row r="40" spans="1:49" x14ac:dyDescent="0.3">
      <c r="A40" s="1544"/>
      <c r="B40" s="52"/>
      <c r="C40" s="49"/>
      <c r="D40" s="1530"/>
      <c r="E40" s="1527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42"/>
      <c r="AW40" s="1542"/>
    </row>
    <row r="41" spans="1:49" x14ac:dyDescent="0.3">
      <c r="A41" s="1544"/>
      <c r="B41" s="53"/>
      <c r="C41" s="49"/>
      <c r="D41" s="1531"/>
      <c r="E41" s="1528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43"/>
      <c r="AW41" s="1543"/>
    </row>
    <row r="42" spans="1:49" x14ac:dyDescent="0.3">
      <c r="A42" s="1544">
        <v>46156</v>
      </c>
      <c r="B42" s="51"/>
      <c r="C42" s="49"/>
      <c r="D42" s="1529"/>
      <c r="E42" s="1526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41"/>
      <c r="AW42" s="1541"/>
    </row>
    <row r="43" spans="1:49" x14ac:dyDescent="0.3">
      <c r="A43" s="1544"/>
      <c r="B43" s="52"/>
      <c r="C43" s="49"/>
      <c r="D43" s="1530"/>
      <c r="E43" s="1527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42"/>
      <c r="AW43" s="1542"/>
    </row>
    <row r="44" spans="1:49" x14ac:dyDescent="0.3">
      <c r="A44" s="1544"/>
      <c r="B44" s="52"/>
      <c r="C44" s="49"/>
      <c r="D44" s="1530"/>
      <c r="E44" s="1527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42"/>
      <c r="AW44" s="1542"/>
    </row>
    <row r="45" spans="1:49" x14ac:dyDescent="0.3">
      <c r="A45" s="1544"/>
      <c r="B45" s="53"/>
      <c r="C45" s="49"/>
      <c r="D45" s="1531"/>
      <c r="E45" s="1528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42"/>
      <c r="AW45" s="1542"/>
    </row>
    <row r="46" spans="1:49" x14ac:dyDescent="0.3">
      <c r="A46" s="1544">
        <v>46157</v>
      </c>
      <c r="B46" s="51"/>
      <c r="C46" s="49"/>
      <c r="D46" s="1557" t="s">
        <v>157</v>
      </c>
      <c r="E46" s="1526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42"/>
      <c r="AW46" s="1542"/>
    </row>
    <row r="47" spans="1:49" x14ac:dyDescent="0.3">
      <c r="A47" s="1544"/>
      <c r="B47" s="52"/>
      <c r="C47" s="49"/>
      <c r="D47" s="1558"/>
      <c r="E47" s="1527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42"/>
      <c r="AW47" s="1542"/>
    </row>
    <row r="48" spans="1:49" x14ac:dyDescent="0.3">
      <c r="A48" s="1544"/>
      <c r="B48" s="52"/>
      <c r="C48" s="49"/>
      <c r="D48" s="1558"/>
      <c r="E48" s="1527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42"/>
      <c r="AW48" s="1542"/>
    </row>
    <row r="49" spans="1:49" x14ac:dyDescent="0.3">
      <c r="A49" s="1544"/>
      <c r="B49" s="53"/>
      <c r="C49" s="49"/>
      <c r="D49" s="1559"/>
      <c r="E49" s="1528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43"/>
      <c r="AW49" s="1543"/>
    </row>
    <row r="50" spans="1:49" x14ac:dyDescent="0.3">
      <c r="A50" s="1544">
        <v>46158</v>
      </c>
      <c r="B50" s="51"/>
      <c r="C50" s="49"/>
      <c r="D50" s="1529"/>
      <c r="E50" s="1526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41"/>
      <c r="AW50" s="1541"/>
    </row>
    <row r="51" spans="1:49" x14ac:dyDescent="0.3">
      <c r="A51" s="1544"/>
      <c r="B51" s="52"/>
      <c r="C51" s="49"/>
      <c r="D51" s="1530"/>
      <c r="E51" s="1527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42"/>
      <c r="AW51" s="1542"/>
    </row>
    <row r="52" spans="1:49" x14ac:dyDescent="0.3">
      <c r="A52" s="1544"/>
      <c r="B52" s="52"/>
      <c r="C52" s="49"/>
      <c r="D52" s="1530"/>
      <c r="E52" s="1527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42"/>
      <c r="AW52" s="1542"/>
    </row>
    <row r="53" spans="1:49" x14ac:dyDescent="0.3">
      <c r="A53" s="1544"/>
      <c r="B53" s="53"/>
      <c r="C53" s="49"/>
      <c r="D53" s="1531"/>
      <c r="E53" s="1528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42"/>
      <c r="AW53" s="1542"/>
    </row>
    <row r="54" spans="1:49" x14ac:dyDescent="0.3">
      <c r="A54" s="1544">
        <v>46159</v>
      </c>
      <c r="B54" s="51"/>
      <c r="C54" s="49"/>
      <c r="D54" s="97"/>
      <c r="E54" s="1554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42"/>
      <c r="AW54" s="1542"/>
    </row>
    <row r="55" spans="1:49" x14ac:dyDescent="0.3">
      <c r="A55" s="1544"/>
      <c r="B55" s="52"/>
      <c r="C55" s="49"/>
      <c r="D55" s="97"/>
      <c r="E55" s="1555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42"/>
      <c r="AW55" s="1542"/>
    </row>
    <row r="56" spans="1:49" x14ac:dyDescent="0.3">
      <c r="A56" s="1544"/>
      <c r="B56" s="52"/>
      <c r="C56" s="49"/>
      <c r="D56" s="97"/>
      <c r="E56" s="1555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42"/>
      <c r="AW56" s="1542"/>
    </row>
    <row r="57" spans="1:49" x14ac:dyDescent="0.3">
      <c r="A57" s="1544"/>
      <c r="B57" s="53"/>
      <c r="C57" s="49"/>
      <c r="D57" s="97"/>
      <c r="E57" s="1556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43"/>
      <c r="AW57" s="1543"/>
    </row>
    <row r="58" spans="1:49" x14ac:dyDescent="0.3">
      <c r="A58" s="154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41"/>
      <c r="AW58" s="1541"/>
    </row>
    <row r="59" spans="1:49" x14ac:dyDescent="0.3">
      <c r="A59" s="154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42"/>
      <c r="AW59" s="1542"/>
    </row>
    <row r="60" spans="1:49" x14ac:dyDescent="0.3">
      <c r="A60" s="154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42"/>
      <c r="AW60" s="1542"/>
    </row>
    <row r="61" spans="1:49" x14ac:dyDescent="0.3">
      <c r="A61" s="154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42"/>
      <c r="AW61" s="1542"/>
    </row>
    <row r="62" spans="1:49" x14ac:dyDescent="0.3">
      <c r="A62" s="154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42"/>
      <c r="AW62" s="1542"/>
    </row>
    <row r="63" spans="1:49" x14ac:dyDescent="0.3">
      <c r="A63" s="154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42"/>
      <c r="AW63" s="1542"/>
    </row>
    <row r="64" spans="1:49" x14ac:dyDescent="0.3">
      <c r="A64" s="154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42"/>
      <c r="AW64" s="1542"/>
    </row>
    <row r="65" spans="1:49" x14ac:dyDescent="0.3">
      <c r="A65" s="154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43"/>
      <c r="AW65" s="1543"/>
    </row>
    <row r="66" spans="1:49" x14ac:dyDescent="0.3">
      <c r="A66" s="154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41"/>
      <c r="AW66" s="1541"/>
    </row>
    <row r="67" spans="1:49" x14ac:dyDescent="0.3">
      <c r="A67" s="154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42"/>
      <c r="AW67" s="1542"/>
    </row>
    <row r="68" spans="1:49" x14ac:dyDescent="0.3">
      <c r="A68" s="154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42"/>
      <c r="AW68" s="1542"/>
    </row>
    <row r="69" spans="1:49" x14ac:dyDescent="0.3">
      <c r="A69" s="154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42"/>
      <c r="AW69" s="1542"/>
    </row>
    <row r="70" spans="1:49" x14ac:dyDescent="0.3">
      <c r="A70" s="154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42"/>
      <c r="AW70" s="1542"/>
    </row>
    <row r="71" spans="1:49" x14ac:dyDescent="0.3">
      <c r="A71" s="154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42"/>
      <c r="AW71" s="1542"/>
    </row>
    <row r="72" spans="1:49" x14ac:dyDescent="0.3">
      <c r="A72" s="154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42"/>
      <c r="AW72" s="1542"/>
    </row>
    <row r="73" spans="1:49" x14ac:dyDescent="0.3">
      <c r="A73" s="154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43"/>
      <c r="AW73" s="1543"/>
    </row>
    <row r="74" spans="1:49" x14ac:dyDescent="0.3">
      <c r="A74" s="154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41"/>
      <c r="AW74" s="1541"/>
    </row>
    <row r="75" spans="1:49" x14ac:dyDescent="0.3">
      <c r="A75" s="154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42"/>
      <c r="AW75" s="1542"/>
    </row>
    <row r="76" spans="1:49" x14ac:dyDescent="0.3">
      <c r="A76" s="154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42"/>
      <c r="AW76" s="1542"/>
    </row>
    <row r="77" spans="1:49" x14ac:dyDescent="0.3">
      <c r="A77" s="154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42"/>
      <c r="AW77" s="1542"/>
    </row>
    <row r="78" spans="1:49" x14ac:dyDescent="0.3">
      <c r="A78" s="154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42"/>
      <c r="AW78" s="1542"/>
    </row>
    <row r="79" spans="1:49" x14ac:dyDescent="0.3">
      <c r="A79" s="154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42"/>
      <c r="AW79" s="1542"/>
    </row>
    <row r="80" spans="1:49" x14ac:dyDescent="0.3">
      <c r="A80" s="154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42"/>
      <c r="AW80" s="1542"/>
    </row>
    <row r="81" spans="1:49" x14ac:dyDescent="0.3">
      <c r="A81" s="154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43"/>
      <c r="AW81" s="1543"/>
    </row>
    <row r="82" spans="1:49" x14ac:dyDescent="0.3">
      <c r="A82" s="154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41"/>
      <c r="AW82" s="1541"/>
    </row>
    <row r="83" spans="1:49" x14ac:dyDescent="0.3">
      <c r="A83" s="154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42"/>
      <c r="AW83" s="1542"/>
    </row>
    <row r="84" spans="1:49" x14ac:dyDescent="0.3">
      <c r="A84" s="154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42"/>
      <c r="AW84" s="1542"/>
    </row>
    <row r="85" spans="1:49" x14ac:dyDescent="0.3">
      <c r="A85" s="154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42"/>
      <c r="AW85" s="1542"/>
    </row>
    <row r="86" spans="1:49" x14ac:dyDescent="0.3">
      <c r="A86" s="154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42"/>
      <c r="AW86" s="1542"/>
    </row>
    <row r="87" spans="1:49" x14ac:dyDescent="0.3">
      <c r="A87" s="154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42"/>
      <c r="AW87" s="1542"/>
    </row>
    <row r="88" spans="1:49" x14ac:dyDescent="0.3">
      <c r="A88" s="154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42"/>
      <c r="AW88" s="1542"/>
    </row>
    <row r="89" spans="1:49" x14ac:dyDescent="0.3">
      <c r="A89" s="154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43"/>
      <c r="AW89" s="1543"/>
    </row>
    <row r="90" spans="1:49" x14ac:dyDescent="0.3">
      <c r="A90" s="154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41"/>
      <c r="AW90" s="1541"/>
    </row>
    <row r="91" spans="1:49" x14ac:dyDescent="0.3">
      <c r="A91" s="154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42"/>
      <c r="AW91" s="1542"/>
    </row>
    <row r="92" spans="1:49" x14ac:dyDescent="0.3">
      <c r="A92" s="154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42"/>
      <c r="AW92" s="1542"/>
    </row>
    <row r="93" spans="1:49" x14ac:dyDescent="0.3">
      <c r="A93" s="154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42"/>
      <c r="AW93" s="1542"/>
    </row>
    <row r="94" spans="1:49" x14ac:dyDescent="0.3">
      <c r="A94" s="154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42"/>
      <c r="AW94" s="1542"/>
    </row>
    <row r="95" spans="1:49" x14ac:dyDescent="0.3">
      <c r="A95" s="154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42"/>
      <c r="AW95" s="1542"/>
    </row>
    <row r="96" spans="1:49" x14ac:dyDescent="0.3">
      <c r="A96" s="154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42"/>
      <c r="AW96" s="1542"/>
    </row>
    <row r="97" spans="1:49" x14ac:dyDescent="0.3">
      <c r="A97" s="154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43"/>
      <c r="AW97" s="1543"/>
    </row>
    <row r="98" spans="1:49" x14ac:dyDescent="0.3">
      <c r="A98" s="154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41"/>
      <c r="AW98" s="1541"/>
    </row>
    <row r="99" spans="1:49" x14ac:dyDescent="0.3">
      <c r="A99" s="154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42"/>
      <c r="AW99" s="1542"/>
    </row>
    <row r="100" spans="1:49" x14ac:dyDescent="0.3">
      <c r="A100" s="154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42"/>
      <c r="AW100" s="1542"/>
    </row>
    <row r="101" spans="1:49" x14ac:dyDescent="0.3">
      <c r="A101" s="154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42"/>
      <c r="AW101" s="1542"/>
    </row>
    <row r="102" spans="1:49" x14ac:dyDescent="0.3">
      <c r="A102" s="154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42"/>
      <c r="AW102" s="1542"/>
    </row>
    <row r="103" spans="1:49" x14ac:dyDescent="0.3">
      <c r="A103" s="154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42"/>
      <c r="AW103" s="1542"/>
    </row>
    <row r="104" spans="1:49" x14ac:dyDescent="0.3">
      <c r="A104" s="154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42"/>
      <c r="AW104" s="1542"/>
    </row>
    <row r="105" spans="1:49" x14ac:dyDescent="0.3">
      <c r="A105" s="154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43"/>
      <c r="AW105" s="1543"/>
    </row>
    <row r="106" spans="1:49" x14ac:dyDescent="0.3">
      <c r="A106" s="154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41"/>
      <c r="AW106" s="1541"/>
    </row>
    <row r="107" spans="1:49" x14ac:dyDescent="0.3">
      <c r="A107" s="154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42"/>
      <c r="AW107" s="1542"/>
    </row>
    <row r="108" spans="1:49" x14ac:dyDescent="0.3">
      <c r="A108" s="154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42"/>
      <c r="AW108" s="1542"/>
    </row>
    <row r="109" spans="1:49" x14ac:dyDescent="0.3">
      <c r="A109" s="154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42"/>
      <c r="AW109" s="1542"/>
    </row>
    <row r="110" spans="1:49" x14ac:dyDescent="0.3">
      <c r="A110" s="154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42"/>
      <c r="AW110" s="1542"/>
    </row>
    <row r="111" spans="1:49" x14ac:dyDescent="0.3">
      <c r="A111" s="154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42"/>
      <c r="AW111" s="1542"/>
    </row>
    <row r="112" spans="1:49" x14ac:dyDescent="0.3">
      <c r="A112" s="154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42"/>
      <c r="AW112" s="1542"/>
    </row>
    <row r="113" spans="1:49" x14ac:dyDescent="0.3">
      <c r="A113" s="154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43"/>
      <c r="AW113" s="1543"/>
    </row>
    <row r="114" spans="1:49" x14ac:dyDescent="0.3">
      <c r="A114" s="154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41"/>
      <c r="AW114" s="1541"/>
    </row>
    <row r="115" spans="1:49" x14ac:dyDescent="0.3">
      <c r="A115" s="154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42"/>
      <c r="AW115" s="1542"/>
    </row>
    <row r="116" spans="1:49" x14ac:dyDescent="0.3">
      <c r="A116" s="154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42"/>
      <c r="AW116" s="1542"/>
    </row>
    <row r="117" spans="1:49" x14ac:dyDescent="0.3">
      <c r="A117" s="154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42"/>
      <c r="AW117" s="1542"/>
    </row>
    <row r="118" spans="1:49" x14ac:dyDescent="0.3">
      <c r="A118" s="1544">
        <v>46175</v>
      </c>
      <c r="B118" s="51"/>
      <c r="C118" s="49"/>
      <c r="D118" s="1529"/>
      <c r="E118" s="1526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42"/>
      <c r="AW118" s="1542"/>
    </row>
    <row r="119" spans="1:49" x14ac:dyDescent="0.3">
      <c r="A119" s="1544"/>
      <c r="B119" s="52"/>
      <c r="C119" s="49"/>
      <c r="D119" s="1530"/>
      <c r="E119" s="1527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42"/>
      <c r="AW119" s="1542"/>
    </row>
    <row r="120" spans="1:49" x14ac:dyDescent="0.3">
      <c r="A120" s="1544"/>
      <c r="B120" s="52"/>
      <c r="C120" s="49"/>
      <c r="D120" s="1530"/>
      <c r="E120" s="1527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42"/>
      <c r="AW120" s="1542"/>
    </row>
    <row r="121" spans="1:49" x14ac:dyDescent="0.3">
      <c r="A121" s="1544"/>
      <c r="B121" s="53"/>
      <c r="C121" s="49"/>
      <c r="D121" s="1531"/>
      <c r="E121" s="1528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43"/>
      <c r="AW121" s="1543"/>
    </row>
    <row r="122" spans="1:49" x14ac:dyDescent="0.3">
      <c r="A122" s="1544">
        <v>46176</v>
      </c>
      <c r="B122" s="51"/>
      <c r="C122" s="49"/>
      <c r="D122" s="1529"/>
      <c r="E122" s="1526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41"/>
      <c r="AW122" s="1541"/>
    </row>
    <row r="123" spans="1:49" x14ac:dyDescent="0.3">
      <c r="A123" s="1544"/>
      <c r="B123" s="52"/>
      <c r="C123" s="49"/>
      <c r="D123" s="1530"/>
      <c r="E123" s="1527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42"/>
      <c r="AW123" s="1542"/>
    </row>
    <row r="124" spans="1:49" x14ac:dyDescent="0.3">
      <c r="A124" s="1544"/>
      <c r="B124" s="52"/>
      <c r="C124" s="49"/>
      <c r="D124" s="1530"/>
      <c r="E124" s="1527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42"/>
      <c r="AW124" s="1542"/>
    </row>
    <row r="125" spans="1:49" x14ac:dyDescent="0.3">
      <c r="A125" s="1544"/>
      <c r="B125" s="53"/>
      <c r="C125" s="49"/>
      <c r="D125" s="1531"/>
      <c r="E125" s="1528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42"/>
      <c r="AW125" s="1542"/>
    </row>
    <row r="126" spans="1:49" x14ac:dyDescent="0.3">
      <c r="A126" s="1544">
        <v>46177</v>
      </c>
      <c r="B126" s="51"/>
      <c r="C126" s="49"/>
      <c r="D126" s="1529"/>
      <c r="E126" s="1526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42"/>
      <c r="AW126" s="1542"/>
    </row>
    <row r="127" spans="1:49" x14ac:dyDescent="0.3">
      <c r="A127" s="1544"/>
      <c r="B127" s="52"/>
      <c r="C127" s="49"/>
      <c r="D127" s="1530"/>
      <c r="E127" s="1527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42"/>
      <c r="AW127" s="1542"/>
    </row>
    <row r="128" spans="1:49" x14ac:dyDescent="0.3">
      <c r="A128" s="1544"/>
      <c r="B128" s="52"/>
      <c r="C128" s="49"/>
      <c r="D128" s="1530"/>
      <c r="E128" s="1527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42"/>
      <c r="AW128" s="1542"/>
    </row>
    <row r="129" spans="1:49" x14ac:dyDescent="0.3">
      <c r="A129" s="1544"/>
      <c r="B129" s="53"/>
      <c r="C129" s="49"/>
      <c r="D129" s="1531"/>
      <c r="E129" s="1528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43"/>
      <c r="AW129" s="1543"/>
    </row>
    <row r="130" spans="1:49" x14ac:dyDescent="0.3">
      <c r="A130" s="18"/>
      <c r="B130" s="18"/>
      <c r="C130" s="18"/>
      <c r="D130" s="1544"/>
      <c r="E130" s="1545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41"/>
      <c r="AW130" s="1541"/>
    </row>
    <row r="131" spans="1:49" x14ac:dyDescent="0.3">
      <c r="A131" s="18"/>
      <c r="B131" s="18"/>
      <c r="C131" s="18"/>
      <c r="D131" s="1543"/>
      <c r="E131" s="1542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42"/>
      <c r="AW131" s="1542"/>
    </row>
    <row r="132" spans="1:49" x14ac:dyDescent="0.3">
      <c r="A132" s="18"/>
      <c r="B132" s="18"/>
      <c r="C132" s="18"/>
      <c r="D132" s="1543"/>
      <c r="E132" s="1542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42"/>
      <c r="AW132" s="1542"/>
    </row>
    <row r="133" spans="1:49" x14ac:dyDescent="0.3">
      <c r="A133" s="18"/>
      <c r="B133" s="18"/>
      <c r="C133" s="18"/>
      <c r="D133" s="1543"/>
      <c r="E133" s="1542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42"/>
      <c r="AW133" s="1542"/>
    </row>
    <row r="134" spans="1:49" x14ac:dyDescent="0.3">
      <c r="A134" s="18"/>
      <c r="B134" s="18"/>
      <c r="C134" s="18"/>
      <c r="D134" s="1543"/>
      <c r="E134" s="1542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42"/>
      <c r="AW134" s="1542"/>
    </row>
    <row r="135" spans="1:49" x14ac:dyDescent="0.3">
      <c r="A135" s="18"/>
      <c r="B135" s="18"/>
      <c r="C135" s="18"/>
      <c r="D135" s="1543"/>
      <c r="E135" s="1542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42"/>
      <c r="AW135" s="1542"/>
    </row>
    <row r="136" spans="1:49" x14ac:dyDescent="0.3">
      <c r="A136" s="18"/>
      <c r="B136" s="18"/>
      <c r="C136" s="18"/>
      <c r="D136" s="1543"/>
      <c r="E136" s="1542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42"/>
      <c r="AW136" s="1542"/>
    </row>
    <row r="137" spans="1:49" x14ac:dyDescent="0.3">
      <c r="A137" s="18"/>
      <c r="B137" s="18"/>
      <c r="C137" s="18"/>
      <c r="D137" s="1543"/>
      <c r="E137" s="1543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43"/>
      <c r="AW137" s="1543"/>
    </row>
    <row r="138" spans="1:49" x14ac:dyDescent="0.3">
      <c r="A138" s="18"/>
      <c r="B138" s="18"/>
      <c r="C138" s="18"/>
      <c r="D138" s="1544"/>
      <c r="E138" s="1545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41"/>
      <c r="AW138" s="1541"/>
    </row>
    <row r="139" spans="1:49" x14ac:dyDescent="0.3">
      <c r="A139" s="18"/>
      <c r="B139" s="18"/>
      <c r="C139" s="18"/>
      <c r="D139" s="1543"/>
      <c r="E139" s="1542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42"/>
      <c r="AW139" s="1542"/>
    </row>
    <row r="140" spans="1:49" x14ac:dyDescent="0.3">
      <c r="A140" s="18"/>
      <c r="B140" s="18"/>
      <c r="C140" s="18"/>
      <c r="D140" s="1543"/>
      <c r="E140" s="1542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42"/>
      <c r="AW140" s="1542"/>
    </row>
    <row r="141" spans="1:49" x14ac:dyDescent="0.3">
      <c r="A141" s="18"/>
      <c r="B141" s="18"/>
      <c r="C141" s="18"/>
      <c r="D141" s="1543"/>
      <c r="E141" s="1542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42"/>
      <c r="AW141" s="1542"/>
    </row>
    <row r="142" spans="1:49" x14ac:dyDescent="0.3">
      <c r="A142" s="18"/>
      <c r="B142" s="18"/>
      <c r="C142" s="18"/>
      <c r="D142" s="1543"/>
      <c r="E142" s="1542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42"/>
      <c r="AW142" s="1542"/>
    </row>
    <row r="143" spans="1:49" x14ac:dyDescent="0.3">
      <c r="A143" s="18"/>
      <c r="B143" s="18"/>
      <c r="C143" s="18"/>
      <c r="D143" s="1543"/>
      <c r="E143" s="1542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42"/>
      <c r="AW143" s="1542"/>
    </row>
    <row r="144" spans="1:49" x14ac:dyDescent="0.3">
      <c r="A144" s="18"/>
      <c r="B144" s="18"/>
      <c r="C144" s="18"/>
      <c r="D144" s="1543"/>
      <c r="E144" s="1542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42"/>
      <c r="AW144" s="1542"/>
    </row>
    <row r="145" spans="1:49" x14ac:dyDescent="0.3">
      <c r="A145" s="18"/>
      <c r="B145" s="18"/>
      <c r="C145" s="18"/>
      <c r="D145" s="1543"/>
      <c r="E145" s="1543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43"/>
      <c r="AW145" s="1543"/>
    </row>
    <row r="146" spans="1:49" x14ac:dyDescent="0.3">
      <c r="A146" s="18"/>
      <c r="B146" s="18"/>
      <c r="C146" s="18"/>
      <c r="D146" s="1544"/>
      <c r="E146" s="1545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41"/>
      <c r="AW146" s="1541"/>
    </row>
    <row r="147" spans="1:49" x14ac:dyDescent="0.3">
      <c r="A147" s="18"/>
      <c r="B147" s="18"/>
      <c r="C147" s="18"/>
      <c r="D147" s="1543"/>
      <c r="E147" s="1542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42"/>
      <c r="AW147" s="1542"/>
    </row>
    <row r="148" spans="1:49" x14ac:dyDescent="0.3">
      <c r="A148" s="18"/>
      <c r="B148" s="18"/>
      <c r="C148" s="18"/>
      <c r="D148" s="1543"/>
      <c r="E148" s="1542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42"/>
      <c r="AW148" s="1542"/>
    </row>
    <row r="149" spans="1:49" x14ac:dyDescent="0.3">
      <c r="A149" s="18"/>
      <c r="B149" s="18"/>
      <c r="C149" s="18"/>
      <c r="D149" s="1543"/>
      <c r="E149" s="1542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42"/>
      <c r="AW149" s="1542"/>
    </row>
    <row r="150" spans="1:49" x14ac:dyDescent="0.3">
      <c r="A150" s="18"/>
      <c r="B150" s="18"/>
      <c r="C150" s="18"/>
      <c r="D150" s="1543"/>
      <c r="E150" s="1542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42"/>
      <c r="AW150" s="1542"/>
    </row>
    <row r="151" spans="1:49" x14ac:dyDescent="0.3">
      <c r="A151" s="18"/>
      <c r="B151" s="18"/>
      <c r="C151" s="18"/>
      <c r="D151" s="1543"/>
      <c r="E151" s="1542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42"/>
      <c r="AW151" s="1542"/>
    </row>
    <row r="152" spans="1:49" x14ac:dyDescent="0.3">
      <c r="A152" s="18"/>
      <c r="B152" s="18"/>
      <c r="C152" s="18"/>
      <c r="D152" s="1543"/>
      <c r="E152" s="1542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42"/>
      <c r="AW152" s="1542"/>
    </row>
    <row r="153" spans="1:49" x14ac:dyDescent="0.3">
      <c r="A153" s="18"/>
      <c r="B153" s="18"/>
      <c r="C153" s="18"/>
      <c r="D153" s="1543"/>
      <c r="E153" s="1543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43"/>
      <c r="AW153" s="1543"/>
    </row>
    <row r="154" spans="1:49" x14ac:dyDescent="0.3">
      <c r="A154" s="18"/>
      <c r="B154" s="18"/>
      <c r="C154" s="18"/>
      <c r="D154" s="1544"/>
      <c r="E154" s="1545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41"/>
      <c r="AW154" s="1541"/>
    </row>
    <row r="155" spans="1:49" x14ac:dyDescent="0.3">
      <c r="A155" s="18"/>
      <c r="B155" s="18"/>
      <c r="C155" s="18"/>
      <c r="D155" s="1543"/>
      <c r="E155" s="1542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42"/>
      <c r="AW155" s="1542"/>
    </row>
    <row r="156" spans="1:49" x14ac:dyDescent="0.3">
      <c r="A156" s="18"/>
      <c r="B156" s="18"/>
      <c r="C156" s="18"/>
      <c r="D156" s="1543"/>
      <c r="E156" s="1542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42"/>
      <c r="AW156" s="1542"/>
    </row>
    <row r="157" spans="1:49" x14ac:dyDescent="0.3">
      <c r="A157" s="18"/>
      <c r="B157" s="18"/>
      <c r="C157" s="18"/>
      <c r="D157" s="1543"/>
      <c r="E157" s="1542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42"/>
      <c r="AW157" s="1542"/>
    </row>
    <row r="158" spans="1:49" x14ac:dyDescent="0.3">
      <c r="A158" s="18"/>
      <c r="B158" s="18"/>
      <c r="C158" s="18"/>
      <c r="D158" s="1543"/>
      <c r="E158" s="1542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42"/>
      <c r="AW158" s="1542"/>
    </row>
    <row r="159" spans="1:49" x14ac:dyDescent="0.3">
      <c r="A159" s="18"/>
      <c r="B159" s="18"/>
      <c r="C159" s="18"/>
      <c r="D159" s="1543"/>
      <c r="E159" s="1542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42"/>
      <c r="AW159" s="1542"/>
    </row>
    <row r="160" spans="1:49" x14ac:dyDescent="0.3">
      <c r="A160" s="18"/>
      <c r="B160" s="18"/>
      <c r="C160" s="18"/>
      <c r="D160" s="1543"/>
      <c r="E160" s="1542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42"/>
      <c r="AW160" s="1542"/>
    </row>
    <row r="161" spans="1:49" x14ac:dyDescent="0.3">
      <c r="A161" s="18"/>
      <c r="B161" s="18"/>
      <c r="C161" s="18"/>
      <c r="D161" s="1543"/>
      <c r="E161" s="1543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43"/>
      <c r="AW161" s="1543"/>
    </row>
    <row r="162" spans="1:49" x14ac:dyDescent="0.3">
      <c r="A162" s="18"/>
      <c r="B162" s="18"/>
      <c r="C162" s="18"/>
      <c r="D162" s="1544"/>
      <c r="E162" s="1545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41"/>
      <c r="AW162" s="1541"/>
    </row>
    <row r="163" spans="1:49" x14ac:dyDescent="0.3">
      <c r="A163" s="18"/>
      <c r="B163" s="18"/>
      <c r="C163" s="18"/>
      <c r="D163" s="1543"/>
      <c r="E163" s="1542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42"/>
      <c r="AW163" s="1542"/>
    </row>
    <row r="164" spans="1:49" x14ac:dyDescent="0.3">
      <c r="A164" s="18"/>
      <c r="B164" s="18"/>
      <c r="C164" s="18"/>
      <c r="D164" s="1543"/>
      <c r="E164" s="1542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42"/>
      <c r="AW164" s="1542"/>
    </row>
    <row r="165" spans="1:49" x14ac:dyDescent="0.3">
      <c r="A165" s="18"/>
      <c r="B165" s="18"/>
      <c r="C165" s="18"/>
      <c r="D165" s="1543"/>
      <c r="E165" s="1542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42"/>
      <c r="AW165" s="1542"/>
    </row>
    <row r="166" spans="1:49" x14ac:dyDescent="0.3">
      <c r="A166" s="18"/>
      <c r="B166" s="18"/>
      <c r="C166" s="18"/>
      <c r="D166" s="1543"/>
      <c r="E166" s="1542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42"/>
      <c r="AW166" s="1542"/>
    </row>
    <row r="167" spans="1:49" x14ac:dyDescent="0.3">
      <c r="A167" s="18"/>
      <c r="B167" s="18"/>
      <c r="C167" s="18"/>
      <c r="D167" s="1543"/>
      <c r="E167" s="1542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42"/>
      <c r="AW167" s="1542"/>
    </row>
    <row r="168" spans="1:49" x14ac:dyDescent="0.3">
      <c r="A168" s="18"/>
      <c r="B168" s="18"/>
      <c r="C168" s="18"/>
      <c r="D168" s="1543"/>
      <c r="E168" s="1542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42"/>
      <c r="AW168" s="1542"/>
    </row>
    <row r="169" spans="1:49" x14ac:dyDescent="0.3">
      <c r="A169" s="18"/>
      <c r="B169" s="18"/>
      <c r="C169" s="18"/>
      <c r="D169" s="1543"/>
      <c r="E169" s="1543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43"/>
      <c r="AW169" s="1543"/>
    </row>
    <row r="170" spans="1:49" x14ac:dyDescent="0.3">
      <c r="A170" s="18"/>
      <c r="B170" s="18"/>
      <c r="C170" s="18"/>
      <c r="D170" s="1544"/>
      <c r="E170" s="1545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41"/>
      <c r="AW170" s="1541"/>
    </row>
    <row r="171" spans="1:49" x14ac:dyDescent="0.3">
      <c r="A171" s="18"/>
      <c r="B171" s="18"/>
      <c r="C171" s="18"/>
      <c r="D171" s="1543"/>
      <c r="E171" s="1542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42"/>
      <c r="AW171" s="1542"/>
    </row>
    <row r="172" spans="1:49" x14ac:dyDescent="0.3">
      <c r="A172" s="18"/>
      <c r="B172" s="18"/>
      <c r="C172" s="18"/>
      <c r="D172" s="1543"/>
      <c r="E172" s="1542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42"/>
      <c r="AW172" s="1542"/>
    </row>
    <row r="173" spans="1:49" x14ac:dyDescent="0.3">
      <c r="A173" s="18"/>
      <c r="B173" s="18"/>
      <c r="C173" s="18"/>
      <c r="D173" s="1543"/>
      <c r="E173" s="1542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42"/>
      <c r="AW173" s="1542"/>
    </row>
    <row r="174" spans="1:49" x14ac:dyDescent="0.3">
      <c r="A174" s="18"/>
      <c r="B174" s="18"/>
      <c r="C174" s="18"/>
      <c r="D174" s="1543"/>
      <c r="E174" s="1542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42"/>
      <c r="AW174" s="1542"/>
    </row>
    <row r="175" spans="1:49" x14ac:dyDescent="0.3">
      <c r="A175" s="18"/>
      <c r="B175" s="18"/>
      <c r="C175" s="18"/>
      <c r="D175" s="1543"/>
      <c r="E175" s="1542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42"/>
      <c r="AW175" s="1542"/>
    </row>
    <row r="176" spans="1:49" x14ac:dyDescent="0.3">
      <c r="A176" s="18"/>
      <c r="B176" s="18"/>
      <c r="C176" s="18"/>
      <c r="D176" s="1543"/>
      <c r="E176" s="1542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42"/>
      <c r="AW176" s="1542"/>
    </row>
    <row r="177" spans="1:49" x14ac:dyDescent="0.3">
      <c r="A177" s="18"/>
      <c r="B177" s="18"/>
      <c r="C177" s="18"/>
      <c r="D177" s="1543"/>
      <c r="E177" s="1543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43"/>
      <c r="AW177" s="1543"/>
    </row>
    <row r="178" spans="1:49" x14ac:dyDescent="0.3">
      <c r="A178" s="18"/>
      <c r="B178" s="18"/>
      <c r="C178" s="18"/>
      <c r="D178" s="1544"/>
      <c r="E178" s="1545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41"/>
      <c r="AW178" s="1541"/>
    </row>
    <row r="179" spans="1:49" x14ac:dyDescent="0.3">
      <c r="A179" s="18"/>
      <c r="B179" s="18"/>
      <c r="C179" s="18"/>
      <c r="D179" s="1543"/>
      <c r="E179" s="1542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42"/>
      <c r="AW179" s="1542"/>
    </row>
    <row r="180" spans="1:49" x14ac:dyDescent="0.3">
      <c r="A180" s="18"/>
      <c r="B180" s="18"/>
      <c r="C180" s="18"/>
      <c r="D180" s="1543"/>
      <c r="E180" s="1542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42"/>
      <c r="AW180" s="1542"/>
    </row>
    <row r="181" spans="1:49" x14ac:dyDescent="0.3">
      <c r="A181" s="18"/>
      <c r="B181" s="18"/>
      <c r="C181" s="18"/>
      <c r="D181" s="1543"/>
      <c r="E181" s="1542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42"/>
      <c r="AW181" s="1542"/>
    </row>
    <row r="182" spans="1:49" x14ac:dyDescent="0.3">
      <c r="A182" s="18"/>
      <c r="B182" s="18"/>
      <c r="C182" s="18"/>
      <c r="D182" s="1543"/>
      <c r="E182" s="1542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42"/>
      <c r="AW182" s="1542"/>
    </row>
    <row r="183" spans="1:49" x14ac:dyDescent="0.3">
      <c r="A183" s="18"/>
      <c r="B183" s="18"/>
      <c r="C183" s="18"/>
      <c r="D183" s="1543"/>
      <c r="E183" s="1542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42"/>
      <c r="AW183" s="1542"/>
    </row>
    <row r="184" spans="1:49" x14ac:dyDescent="0.3">
      <c r="A184" s="18"/>
      <c r="B184" s="18"/>
      <c r="C184" s="18"/>
      <c r="D184" s="1543"/>
      <c r="E184" s="1542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42"/>
      <c r="AW184" s="1542"/>
    </row>
    <row r="185" spans="1:49" x14ac:dyDescent="0.3">
      <c r="A185" s="18"/>
      <c r="B185" s="18"/>
      <c r="C185" s="18"/>
      <c r="D185" s="1543"/>
      <c r="E185" s="1543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43"/>
      <c r="AW185" s="1543"/>
    </row>
    <row r="186" spans="1:49" x14ac:dyDescent="0.3">
      <c r="A186" s="18"/>
      <c r="B186" s="18"/>
      <c r="C186" s="18"/>
      <c r="D186" s="1544"/>
      <c r="E186" s="1545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41"/>
      <c r="AW186" s="1541"/>
    </row>
    <row r="187" spans="1:49" x14ac:dyDescent="0.3">
      <c r="A187" s="18"/>
      <c r="B187" s="18"/>
      <c r="C187" s="18"/>
      <c r="D187" s="1543"/>
      <c r="E187" s="1542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42"/>
      <c r="AW187" s="1542"/>
    </row>
    <row r="188" spans="1:49" x14ac:dyDescent="0.3">
      <c r="A188" s="18"/>
      <c r="B188" s="18"/>
      <c r="C188" s="18"/>
      <c r="D188" s="1543"/>
      <c r="E188" s="1542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42"/>
      <c r="AW188" s="1542"/>
    </row>
    <row r="189" spans="1:49" x14ac:dyDescent="0.3">
      <c r="A189" s="18"/>
      <c r="B189" s="18"/>
      <c r="C189" s="18"/>
      <c r="D189" s="1543"/>
      <c r="E189" s="1542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42"/>
      <c r="AW189" s="1542"/>
    </row>
    <row r="190" spans="1:49" x14ac:dyDescent="0.3">
      <c r="A190" s="18"/>
      <c r="B190" s="18"/>
      <c r="C190" s="18"/>
      <c r="D190" s="1543"/>
      <c r="E190" s="1542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42"/>
      <c r="AW190" s="1542"/>
    </row>
    <row r="191" spans="1:49" x14ac:dyDescent="0.3">
      <c r="A191" s="18"/>
      <c r="B191" s="18"/>
      <c r="C191" s="18"/>
      <c r="D191" s="1543"/>
      <c r="E191" s="1542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42"/>
      <c r="AW191" s="1542"/>
    </row>
    <row r="192" spans="1:49" x14ac:dyDescent="0.3">
      <c r="A192" s="18"/>
      <c r="B192" s="18"/>
      <c r="C192" s="18"/>
      <c r="D192" s="1543"/>
      <c r="E192" s="1542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42"/>
      <c r="AW192" s="1542"/>
    </row>
    <row r="193" spans="1:49" x14ac:dyDescent="0.3">
      <c r="A193" s="18"/>
      <c r="B193" s="18"/>
      <c r="C193" s="18"/>
      <c r="D193" s="1543"/>
      <c r="E193" s="1543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43"/>
      <c r="AW193" s="1543"/>
    </row>
    <row r="194" spans="1:49" x14ac:dyDescent="0.3">
      <c r="A194" s="18"/>
      <c r="B194" s="18"/>
      <c r="C194" s="18"/>
      <c r="D194" s="1544"/>
      <c r="E194" s="1545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41"/>
      <c r="AW194" s="1541"/>
    </row>
    <row r="195" spans="1:49" x14ac:dyDescent="0.3">
      <c r="A195" s="18"/>
      <c r="B195" s="18"/>
      <c r="C195" s="18"/>
      <c r="D195" s="1543"/>
      <c r="E195" s="1542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42"/>
      <c r="AW195" s="1542"/>
    </row>
    <row r="196" spans="1:49" x14ac:dyDescent="0.3">
      <c r="A196" s="18"/>
      <c r="B196" s="18"/>
      <c r="C196" s="18"/>
      <c r="D196" s="1543"/>
      <c r="E196" s="1542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42"/>
      <c r="AW196" s="1542"/>
    </row>
    <row r="197" spans="1:49" x14ac:dyDescent="0.3">
      <c r="A197" s="18"/>
      <c r="B197" s="18"/>
      <c r="C197" s="18"/>
      <c r="D197" s="1543"/>
      <c r="E197" s="1542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42"/>
      <c r="AW197" s="1542"/>
    </row>
    <row r="198" spans="1:49" x14ac:dyDescent="0.3">
      <c r="A198" s="18"/>
      <c r="B198" s="18"/>
      <c r="C198" s="18"/>
      <c r="D198" s="1543"/>
      <c r="E198" s="1542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42"/>
      <c r="AW198" s="1542"/>
    </row>
    <row r="199" spans="1:49" x14ac:dyDescent="0.3">
      <c r="A199" s="18"/>
      <c r="B199" s="18"/>
      <c r="C199" s="18"/>
      <c r="D199" s="1543"/>
      <c r="E199" s="1542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42"/>
      <c r="AW199" s="1542"/>
    </row>
    <row r="200" spans="1:49" x14ac:dyDescent="0.3">
      <c r="A200" s="18"/>
      <c r="B200" s="18"/>
      <c r="C200" s="18"/>
      <c r="D200" s="1543"/>
      <c r="E200" s="1542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42"/>
      <c r="AW200" s="1542"/>
    </row>
    <row r="201" spans="1:49" x14ac:dyDescent="0.3">
      <c r="A201" s="18"/>
      <c r="B201" s="18"/>
      <c r="C201" s="18"/>
      <c r="D201" s="1543"/>
      <c r="E201" s="1543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43"/>
      <c r="AW201" s="1543"/>
    </row>
    <row r="202" spans="1:49" x14ac:dyDescent="0.3">
      <c r="A202" s="18"/>
      <c r="B202" s="18"/>
      <c r="C202" s="18"/>
      <c r="D202" s="1544"/>
      <c r="E202" s="1545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41"/>
      <c r="AW202" s="1541"/>
    </row>
    <row r="203" spans="1:49" x14ac:dyDescent="0.3">
      <c r="A203" s="18"/>
      <c r="B203" s="18"/>
      <c r="C203" s="18"/>
      <c r="D203" s="1543"/>
      <c r="E203" s="1542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42"/>
      <c r="AW203" s="1542"/>
    </row>
    <row r="204" spans="1:49" x14ac:dyDescent="0.3">
      <c r="A204" s="18"/>
      <c r="B204" s="18"/>
      <c r="C204" s="18"/>
      <c r="D204" s="1543"/>
      <c r="E204" s="1542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42"/>
      <c r="AW204" s="1542"/>
    </row>
    <row r="205" spans="1:49" x14ac:dyDescent="0.3">
      <c r="A205" s="18"/>
      <c r="B205" s="18"/>
      <c r="C205" s="18"/>
      <c r="D205" s="1543"/>
      <c r="E205" s="1542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42"/>
      <c r="AW205" s="1542"/>
    </row>
    <row r="206" spans="1:49" x14ac:dyDescent="0.3">
      <c r="A206" s="18"/>
      <c r="B206" s="18"/>
      <c r="C206" s="18"/>
      <c r="D206" s="1543"/>
      <c r="E206" s="1542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42"/>
      <c r="AW206" s="1542"/>
    </row>
    <row r="207" spans="1:49" x14ac:dyDescent="0.3">
      <c r="A207" s="18"/>
      <c r="B207" s="18"/>
      <c r="C207" s="18"/>
      <c r="D207" s="1543"/>
      <c r="E207" s="1542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42"/>
      <c r="AW207" s="1542"/>
    </row>
    <row r="208" spans="1:49" x14ac:dyDescent="0.3">
      <c r="A208" s="18"/>
      <c r="B208" s="18"/>
      <c r="C208" s="18"/>
      <c r="D208" s="1543"/>
      <c r="E208" s="1542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42"/>
      <c r="AW208" s="1542"/>
    </row>
    <row r="209" spans="1:49" x14ac:dyDescent="0.3">
      <c r="A209" s="18"/>
      <c r="B209" s="18"/>
      <c r="C209" s="18"/>
      <c r="D209" s="1543"/>
      <c r="E209" s="1543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43"/>
      <c r="AW209" s="1543"/>
    </row>
    <row r="210" spans="1:49" x14ac:dyDescent="0.3">
      <c r="A210" s="18"/>
      <c r="B210" s="18"/>
      <c r="C210" s="18"/>
      <c r="D210" s="1544"/>
      <c r="E210" s="1545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41"/>
      <c r="AW210" s="1541"/>
    </row>
    <row r="211" spans="1:49" x14ac:dyDescent="0.3">
      <c r="A211" s="18"/>
      <c r="B211" s="18"/>
      <c r="C211" s="18"/>
      <c r="D211" s="1543"/>
      <c r="E211" s="1542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42"/>
      <c r="AW211" s="1542"/>
    </row>
    <row r="212" spans="1:49" x14ac:dyDescent="0.3">
      <c r="A212" s="18"/>
      <c r="B212" s="18"/>
      <c r="C212" s="18"/>
      <c r="D212" s="1543"/>
      <c r="E212" s="1542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42"/>
      <c r="AW212" s="1542"/>
    </row>
    <row r="213" spans="1:49" x14ac:dyDescent="0.3">
      <c r="A213" s="18"/>
      <c r="B213" s="18"/>
      <c r="C213" s="18"/>
      <c r="D213" s="1543"/>
      <c r="E213" s="1542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42"/>
      <c r="AW213" s="1542"/>
    </row>
    <row r="214" spans="1:49" x14ac:dyDescent="0.3">
      <c r="A214" s="18"/>
      <c r="B214" s="18"/>
      <c r="C214" s="18"/>
      <c r="D214" s="1543"/>
      <c r="E214" s="1542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42"/>
      <c r="AW214" s="1542"/>
    </row>
    <row r="215" spans="1:49" x14ac:dyDescent="0.3">
      <c r="A215" s="18"/>
      <c r="B215" s="18"/>
      <c r="C215" s="18"/>
      <c r="D215" s="1543"/>
      <c r="E215" s="1542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42"/>
      <c r="AW215" s="1542"/>
    </row>
    <row r="216" spans="1:49" x14ac:dyDescent="0.3">
      <c r="A216" s="18"/>
      <c r="B216" s="18"/>
      <c r="C216" s="18"/>
      <c r="D216" s="1543"/>
      <c r="E216" s="1542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42"/>
      <c r="AW216" s="1542"/>
    </row>
    <row r="217" spans="1:49" x14ac:dyDescent="0.3">
      <c r="A217" s="18"/>
      <c r="B217" s="18"/>
      <c r="C217" s="18"/>
      <c r="D217" s="1543"/>
      <c r="E217" s="1543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43"/>
      <c r="AW217" s="1543"/>
    </row>
    <row r="218" spans="1:49" x14ac:dyDescent="0.3">
      <c r="A218" s="18"/>
      <c r="B218" s="18"/>
      <c r="C218" s="18"/>
      <c r="D218" s="1544"/>
      <c r="E218" s="1545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41"/>
      <c r="AW218" s="1541"/>
    </row>
    <row r="219" spans="1:49" x14ac:dyDescent="0.3">
      <c r="A219" s="18"/>
      <c r="B219" s="18"/>
      <c r="C219" s="18"/>
      <c r="D219" s="1543"/>
      <c r="E219" s="1542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42"/>
      <c r="AW219" s="1542"/>
    </row>
    <row r="220" spans="1:49" x14ac:dyDescent="0.3">
      <c r="A220" s="18"/>
      <c r="B220" s="18"/>
      <c r="C220" s="18"/>
      <c r="D220" s="1543"/>
      <c r="E220" s="1542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42"/>
      <c r="AW220" s="1542"/>
    </row>
    <row r="221" spans="1:49" x14ac:dyDescent="0.3">
      <c r="A221" s="18"/>
      <c r="B221" s="18"/>
      <c r="C221" s="18"/>
      <c r="D221" s="1543"/>
      <c r="E221" s="1542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42"/>
      <c r="AW221" s="1542"/>
    </row>
    <row r="222" spans="1:49" x14ac:dyDescent="0.3">
      <c r="A222" s="18"/>
      <c r="B222" s="18"/>
      <c r="C222" s="18"/>
      <c r="D222" s="1543"/>
      <c r="E222" s="1542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42"/>
      <c r="AW222" s="1542"/>
    </row>
    <row r="223" spans="1:49" x14ac:dyDescent="0.3">
      <c r="A223" s="18"/>
      <c r="B223" s="18"/>
      <c r="C223" s="18"/>
      <c r="D223" s="1543"/>
      <c r="E223" s="1542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42"/>
      <c r="AW223" s="1542"/>
    </row>
    <row r="224" spans="1:49" x14ac:dyDescent="0.3">
      <c r="A224" s="18"/>
      <c r="B224" s="18"/>
      <c r="C224" s="18"/>
      <c r="D224" s="1543"/>
      <c r="E224" s="1542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42"/>
      <c r="AW224" s="1542"/>
    </row>
    <row r="225" spans="1:49" x14ac:dyDescent="0.3">
      <c r="A225" s="18"/>
      <c r="B225" s="18"/>
      <c r="C225" s="18"/>
      <c r="D225" s="1543"/>
      <c r="E225" s="1543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43"/>
      <c r="AW225" s="1543"/>
    </row>
    <row r="226" spans="1:49" x14ac:dyDescent="0.3">
      <c r="A226" s="18"/>
      <c r="B226" s="18"/>
      <c r="C226" s="18"/>
      <c r="D226" s="1544"/>
      <c r="E226" s="1545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41"/>
      <c r="AW226" s="1541"/>
    </row>
    <row r="227" spans="1:49" x14ac:dyDescent="0.3">
      <c r="A227" s="18"/>
      <c r="B227" s="18"/>
      <c r="C227" s="18"/>
      <c r="D227" s="1543"/>
      <c r="E227" s="1542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42"/>
      <c r="AW227" s="1542"/>
    </row>
    <row r="228" spans="1:49" x14ac:dyDescent="0.3">
      <c r="A228" s="18"/>
      <c r="B228" s="18"/>
      <c r="C228" s="18"/>
      <c r="D228" s="1543"/>
      <c r="E228" s="1542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42"/>
      <c r="AW228" s="1542"/>
    </row>
    <row r="229" spans="1:49" x14ac:dyDescent="0.3">
      <c r="A229" s="18"/>
      <c r="B229" s="18"/>
      <c r="C229" s="18"/>
      <c r="D229" s="1543"/>
      <c r="E229" s="1542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42"/>
      <c r="AW229" s="1542"/>
    </row>
    <row r="230" spans="1:49" x14ac:dyDescent="0.3">
      <c r="A230" s="18"/>
      <c r="B230" s="18"/>
      <c r="C230" s="18"/>
      <c r="D230" s="1543"/>
      <c r="E230" s="1542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42"/>
      <c r="AW230" s="1542"/>
    </row>
    <row r="231" spans="1:49" x14ac:dyDescent="0.3">
      <c r="A231" s="18"/>
      <c r="B231" s="18"/>
      <c r="C231" s="18"/>
      <c r="D231" s="1543"/>
      <c r="E231" s="1542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42"/>
      <c r="AW231" s="1542"/>
    </row>
    <row r="232" spans="1:49" x14ac:dyDescent="0.3">
      <c r="A232" s="18"/>
      <c r="B232" s="18"/>
      <c r="C232" s="18"/>
      <c r="D232" s="1543"/>
      <c r="E232" s="1542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42"/>
      <c r="AW232" s="1542"/>
    </row>
    <row r="233" spans="1:49" x14ac:dyDescent="0.3">
      <c r="A233" s="18"/>
      <c r="B233" s="18"/>
      <c r="C233" s="18"/>
      <c r="D233" s="1543"/>
      <c r="E233" s="1543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43"/>
      <c r="AW233" s="1543"/>
    </row>
    <row r="234" spans="1:49" x14ac:dyDescent="0.3">
      <c r="A234" s="18"/>
      <c r="B234" s="18"/>
      <c r="C234" s="18"/>
      <c r="D234" s="1544"/>
      <c r="E234" s="1545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41"/>
      <c r="AW234" s="1541"/>
    </row>
    <row r="235" spans="1:49" x14ac:dyDescent="0.3">
      <c r="A235" s="18"/>
      <c r="B235" s="18"/>
      <c r="C235" s="18"/>
      <c r="D235" s="1543"/>
      <c r="E235" s="1542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42"/>
      <c r="AW235" s="1542"/>
    </row>
    <row r="236" spans="1:49" x14ac:dyDescent="0.3">
      <c r="A236" s="18"/>
      <c r="B236" s="18"/>
      <c r="C236" s="18"/>
      <c r="D236" s="1543"/>
      <c r="E236" s="1542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42"/>
      <c r="AW236" s="1542"/>
    </row>
    <row r="237" spans="1:49" x14ac:dyDescent="0.3">
      <c r="A237" s="18"/>
      <c r="B237" s="18"/>
      <c r="C237" s="18"/>
      <c r="D237" s="1543"/>
      <c r="E237" s="1542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42"/>
      <c r="AW237" s="1542"/>
    </row>
    <row r="238" spans="1:49" x14ac:dyDescent="0.3">
      <c r="A238" s="18"/>
      <c r="B238" s="18"/>
      <c r="C238" s="18"/>
      <c r="D238" s="1543"/>
      <c r="E238" s="1542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42"/>
      <c r="AW238" s="1542"/>
    </row>
    <row r="239" spans="1:49" x14ac:dyDescent="0.3">
      <c r="A239" s="18"/>
      <c r="B239" s="18"/>
      <c r="C239" s="18"/>
      <c r="D239" s="1543"/>
      <c r="E239" s="1542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42"/>
      <c r="AW239" s="1542"/>
    </row>
    <row r="240" spans="1:49" x14ac:dyDescent="0.3">
      <c r="A240" s="18"/>
      <c r="B240" s="18"/>
      <c r="C240" s="18"/>
      <c r="D240" s="1543"/>
      <c r="E240" s="1542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42"/>
      <c r="AW240" s="1542"/>
    </row>
    <row r="241" spans="1:49" x14ac:dyDescent="0.3">
      <c r="A241" s="18"/>
      <c r="B241" s="18"/>
      <c r="C241" s="18"/>
      <c r="D241" s="1543"/>
      <c r="E241" s="1543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43"/>
      <c r="AW241" s="1543"/>
    </row>
    <row r="242" spans="1:49" x14ac:dyDescent="0.3">
      <c r="A242" s="18"/>
      <c r="B242" s="18"/>
      <c r="C242" s="18"/>
      <c r="D242" s="1544"/>
      <c r="E242" s="1545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41"/>
      <c r="AW242" s="1541"/>
    </row>
    <row r="243" spans="1:49" x14ac:dyDescent="0.3">
      <c r="A243" s="18"/>
      <c r="B243" s="18"/>
      <c r="C243" s="18"/>
      <c r="D243" s="1543"/>
      <c r="E243" s="1542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42"/>
      <c r="AW243" s="1542"/>
    </row>
    <row r="244" spans="1:49" x14ac:dyDescent="0.3">
      <c r="A244" s="18"/>
      <c r="B244" s="18"/>
      <c r="C244" s="18"/>
      <c r="D244" s="1543"/>
      <c r="E244" s="1542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42"/>
      <c r="AW244" s="1542"/>
    </row>
    <row r="245" spans="1:49" x14ac:dyDescent="0.3">
      <c r="A245" s="18"/>
      <c r="B245" s="18"/>
      <c r="C245" s="18"/>
      <c r="D245" s="1543"/>
      <c r="E245" s="1542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42"/>
      <c r="AW245" s="1542"/>
    </row>
    <row r="246" spans="1:49" x14ac:dyDescent="0.3">
      <c r="A246" s="18"/>
      <c r="B246" s="18"/>
      <c r="C246" s="18"/>
      <c r="D246" s="1543"/>
      <c r="E246" s="1542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42"/>
      <c r="AW246" s="1542"/>
    </row>
    <row r="247" spans="1:49" x14ac:dyDescent="0.3">
      <c r="A247" s="18"/>
      <c r="B247" s="18"/>
      <c r="C247" s="18"/>
      <c r="D247" s="1543"/>
      <c r="E247" s="1542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42"/>
      <c r="AW247" s="1542"/>
    </row>
    <row r="248" spans="1:49" x14ac:dyDescent="0.3">
      <c r="A248" s="18"/>
      <c r="B248" s="18"/>
      <c r="C248" s="18"/>
      <c r="D248" s="1543"/>
      <c r="E248" s="1542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42"/>
      <c r="AW248" s="1542"/>
    </row>
    <row r="249" spans="1:49" x14ac:dyDescent="0.3">
      <c r="A249" s="18"/>
      <c r="B249" s="18"/>
      <c r="C249" s="18"/>
      <c r="D249" s="1543"/>
      <c r="E249" s="1543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43"/>
      <c r="AW249" s="1543"/>
    </row>
    <row r="250" spans="1:49" x14ac:dyDescent="0.3">
      <c r="A250" s="18"/>
      <c r="B250" s="18"/>
      <c r="C250" s="18"/>
      <c r="D250" s="1544"/>
      <c r="E250" s="1545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41"/>
      <c r="AW250" s="1541"/>
    </row>
    <row r="251" spans="1:49" x14ac:dyDescent="0.3">
      <c r="A251" s="18"/>
      <c r="B251" s="18"/>
      <c r="C251" s="18"/>
      <c r="D251" s="1543"/>
      <c r="E251" s="1542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42"/>
      <c r="AW251" s="1542"/>
    </row>
    <row r="252" spans="1:49" x14ac:dyDescent="0.3">
      <c r="A252" s="18"/>
      <c r="B252" s="18"/>
      <c r="C252" s="18"/>
      <c r="D252" s="1543"/>
      <c r="E252" s="1542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42"/>
      <c r="AW252" s="1542"/>
    </row>
    <row r="253" spans="1:49" x14ac:dyDescent="0.3">
      <c r="A253" s="18"/>
      <c r="B253" s="18"/>
      <c r="C253" s="18"/>
      <c r="D253" s="1543"/>
      <c r="E253" s="1542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42"/>
      <c r="AW253" s="1542"/>
    </row>
    <row r="254" spans="1:49" x14ac:dyDescent="0.3">
      <c r="A254" s="18"/>
      <c r="B254" s="18"/>
      <c r="C254" s="18"/>
      <c r="D254" s="1543"/>
      <c r="E254" s="1542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42"/>
      <c r="AW254" s="1542"/>
    </row>
    <row r="255" spans="1:49" x14ac:dyDescent="0.3">
      <c r="A255" s="18"/>
      <c r="B255" s="18"/>
      <c r="C255" s="18"/>
      <c r="D255" s="1543"/>
      <c r="E255" s="1542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42"/>
      <c r="AW255" s="1542"/>
    </row>
    <row r="256" spans="1:49" x14ac:dyDescent="0.3">
      <c r="A256" s="18"/>
      <c r="B256" s="18"/>
      <c r="C256" s="18"/>
      <c r="D256" s="1543"/>
      <c r="E256" s="1542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42"/>
      <c r="AW256" s="1542"/>
    </row>
    <row r="257" spans="1:49" x14ac:dyDescent="0.3">
      <c r="A257" s="18"/>
      <c r="B257" s="18"/>
      <c r="C257" s="18"/>
      <c r="D257" s="1543"/>
      <c r="E257" s="1543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43"/>
      <c r="AW257" s="1543"/>
    </row>
    <row r="258" spans="1:49" x14ac:dyDescent="0.3">
      <c r="A258" s="18"/>
      <c r="B258" s="18"/>
      <c r="C258" s="18"/>
      <c r="D258" s="1544"/>
      <c r="E258" s="1545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41"/>
      <c r="AW258" s="1541"/>
    </row>
    <row r="259" spans="1:49" x14ac:dyDescent="0.3">
      <c r="A259" s="18"/>
      <c r="B259" s="18"/>
      <c r="C259" s="18"/>
      <c r="D259" s="1543"/>
      <c r="E259" s="1542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42"/>
      <c r="AW259" s="1542"/>
    </row>
    <row r="260" spans="1:49" x14ac:dyDescent="0.3">
      <c r="A260" s="18"/>
      <c r="B260" s="18"/>
      <c r="C260" s="18"/>
      <c r="D260" s="1543"/>
      <c r="E260" s="1542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42"/>
      <c r="AW260" s="1542"/>
    </row>
    <row r="261" spans="1:49" x14ac:dyDescent="0.3">
      <c r="A261" s="18"/>
      <c r="B261" s="18"/>
      <c r="C261" s="18"/>
      <c r="D261" s="1543"/>
      <c r="E261" s="1542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42"/>
      <c r="AW261" s="1542"/>
    </row>
    <row r="262" spans="1:49" x14ac:dyDescent="0.3">
      <c r="A262" s="18"/>
      <c r="B262" s="18"/>
      <c r="C262" s="18"/>
      <c r="D262" s="1543"/>
      <c r="E262" s="1542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42"/>
      <c r="AW262" s="1542"/>
    </row>
    <row r="263" spans="1:49" x14ac:dyDescent="0.3">
      <c r="A263" s="18"/>
      <c r="B263" s="18"/>
      <c r="C263" s="18"/>
      <c r="D263" s="1543"/>
      <c r="E263" s="1542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42"/>
      <c r="AW263" s="1542"/>
    </row>
    <row r="264" spans="1:49" x14ac:dyDescent="0.3">
      <c r="A264" s="18"/>
      <c r="B264" s="18"/>
      <c r="C264" s="18"/>
      <c r="D264" s="1543"/>
      <c r="E264" s="1542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42"/>
      <c r="AW264" s="1542"/>
    </row>
    <row r="265" spans="1:49" x14ac:dyDescent="0.3">
      <c r="A265" s="18"/>
      <c r="B265" s="18"/>
      <c r="C265" s="18"/>
      <c r="D265" s="1543"/>
      <c r="E265" s="1543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43"/>
      <c r="AW265" s="1543"/>
    </row>
    <row r="266" spans="1:49" x14ac:dyDescent="0.3">
      <c r="A266" s="18"/>
      <c r="B266" s="18"/>
      <c r="C266" s="18"/>
      <c r="D266" s="1544"/>
      <c r="E266" s="1545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41"/>
      <c r="AW266" s="1541"/>
    </row>
    <row r="267" spans="1:49" x14ac:dyDescent="0.3">
      <c r="A267" s="18"/>
      <c r="B267" s="18"/>
      <c r="C267" s="18"/>
      <c r="D267" s="1543"/>
      <c r="E267" s="1542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42"/>
      <c r="AW267" s="1542"/>
    </row>
    <row r="268" spans="1:49" x14ac:dyDescent="0.3">
      <c r="A268" s="18"/>
      <c r="B268" s="18"/>
      <c r="C268" s="18"/>
      <c r="D268" s="1543"/>
      <c r="E268" s="1542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42"/>
      <c r="AW268" s="1542"/>
    </row>
    <row r="269" spans="1:49" x14ac:dyDescent="0.3">
      <c r="A269" s="18"/>
      <c r="B269" s="18"/>
      <c r="C269" s="18"/>
      <c r="D269" s="1543"/>
      <c r="E269" s="1542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42"/>
      <c r="AW269" s="1542"/>
    </row>
    <row r="270" spans="1:49" x14ac:dyDescent="0.3">
      <c r="A270" s="18"/>
      <c r="B270" s="18"/>
      <c r="C270" s="18"/>
      <c r="D270" s="1543"/>
      <c r="E270" s="1542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42"/>
      <c r="AW270" s="1542"/>
    </row>
    <row r="271" spans="1:49" x14ac:dyDescent="0.3">
      <c r="A271" s="18"/>
      <c r="B271" s="18"/>
      <c r="C271" s="18"/>
      <c r="D271" s="1543"/>
      <c r="E271" s="1542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42"/>
      <c r="AW271" s="1542"/>
    </row>
    <row r="272" spans="1:49" x14ac:dyDescent="0.3">
      <c r="A272" s="18"/>
      <c r="B272" s="18"/>
      <c r="C272" s="18"/>
      <c r="D272" s="1543"/>
      <c r="E272" s="1542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42"/>
      <c r="AW272" s="1542"/>
    </row>
    <row r="273" spans="1:49" x14ac:dyDescent="0.3">
      <c r="A273" s="18"/>
      <c r="B273" s="18"/>
      <c r="C273" s="18"/>
      <c r="D273" s="1543"/>
      <c r="E273" s="1543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43"/>
      <c r="AW273" s="1543"/>
    </row>
    <row r="274" spans="1:49" x14ac:dyDescent="0.3">
      <c r="A274" s="18"/>
      <c r="B274" s="18"/>
      <c r="C274" s="18"/>
      <c r="D274" s="1544"/>
      <c r="E274" s="1545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41"/>
      <c r="AW274" s="1541"/>
    </row>
    <row r="275" spans="1:49" x14ac:dyDescent="0.3">
      <c r="A275" s="18"/>
      <c r="B275" s="18"/>
      <c r="C275" s="18"/>
      <c r="D275" s="1543"/>
      <c r="E275" s="1542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42"/>
      <c r="AW275" s="1542"/>
    </row>
    <row r="276" spans="1:49" x14ac:dyDescent="0.3">
      <c r="A276" s="18"/>
      <c r="B276" s="18"/>
      <c r="C276" s="18"/>
      <c r="D276" s="1543"/>
      <c r="E276" s="1542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42"/>
      <c r="AW276" s="1542"/>
    </row>
    <row r="277" spans="1:49" x14ac:dyDescent="0.3">
      <c r="A277" s="18"/>
      <c r="B277" s="18"/>
      <c r="C277" s="18"/>
      <c r="D277" s="1543"/>
      <c r="E277" s="1542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42"/>
      <c r="AW277" s="1542"/>
    </row>
    <row r="278" spans="1:49" x14ac:dyDescent="0.3">
      <c r="A278" s="18"/>
      <c r="B278" s="18"/>
      <c r="C278" s="18"/>
      <c r="D278" s="1543"/>
      <c r="E278" s="1542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42"/>
      <c r="AW278" s="1542"/>
    </row>
    <row r="279" spans="1:49" x14ac:dyDescent="0.3">
      <c r="A279" s="18"/>
      <c r="B279" s="18"/>
      <c r="C279" s="18"/>
      <c r="D279" s="1543"/>
      <c r="E279" s="1542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42"/>
      <c r="AW279" s="1542"/>
    </row>
    <row r="280" spans="1:49" x14ac:dyDescent="0.3">
      <c r="A280" s="18"/>
      <c r="B280" s="18"/>
      <c r="C280" s="18"/>
      <c r="D280" s="1543"/>
      <c r="E280" s="1542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42"/>
      <c r="AW280" s="1542"/>
    </row>
    <row r="281" spans="1:49" x14ac:dyDescent="0.3">
      <c r="A281" s="18"/>
      <c r="B281" s="18"/>
      <c r="C281" s="18"/>
      <c r="D281" s="1543"/>
      <c r="E281" s="1543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43"/>
      <c r="AW281" s="1543"/>
    </row>
    <row r="282" spans="1:49" x14ac:dyDescent="0.3">
      <c r="A282" s="18"/>
      <c r="B282" s="18"/>
      <c r="C282" s="18"/>
      <c r="D282" s="1544"/>
      <c r="E282" s="1545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41"/>
      <c r="AW282" s="1541"/>
    </row>
    <row r="283" spans="1:49" x14ac:dyDescent="0.3">
      <c r="A283" s="18"/>
      <c r="B283" s="18"/>
      <c r="C283" s="18"/>
      <c r="D283" s="1543"/>
      <c r="E283" s="1542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42"/>
      <c r="AW283" s="1542"/>
    </row>
    <row r="284" spans="1:49" x14ac:dyDescent="0.3">
      <c r="A284" s="18"/>
      <c r="B284" s="18"/>
      <c r="C284" s="18"/>
      <c r="D284" s="1543"/>
      <c r="E284" s="1542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42"/>
      <c r="AW284" s="1542"/>
    </row>
    <row r="285" spans="1:49" x14ac:dyDescent="0.3">
      <c r="A285" s="18"/>
      <c r="B285" s="18"/>
      <c r="C285" s="18"/>
      <c r="D285" s="1543"/>
      <c r="E285" s="1542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42"/>
      <c r="AW285" s="1542"/>
    </row>
    <row r="286" spans="1:49" x14ac:dyDescent="0.3">
      <c r="A286" s="18"/>
      <c r="B286" s="18"/>
      <c r="C286" s="18"/>
      <c r="D286" s="1543"/>
      <c r="E286" s="1542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42"/>
      <c r="AW286" s="1542"/>
    </row>
    <row r="287" spans="1:49" x14ac:dyDescent="0.3">
      <c r="A287" s="18"/>
      <c r="B287" s="18"/>
      <c r="C287" s="18"/>
      <c r="D287" s="1543"/>
      <c r="E287" s="1542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42"/>
      <c r="AW287" s="1542"/>
    </row>
    <row r="288" spans="1:49" x14ac:dyDescent="0.3">
      <c r="A288" s="18"/>
      <c r="B288" s="18"/>
      <c r="C288" s="18"/>
      <c r="D288" s="1543"/>
      <c r="E288" s="1542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42"/>
      <c r="AW288" s="1542"/>
    </row>
    <row r="289" spans="1:49" x14ac:dyDescent="0.3">
      <c r="A289" s="18"/>
      <c r="B289" s="18"/>
      <c r="C289" s="18"/>
      <c r="D289" s="1543"/>
      <c r="E289" s="1543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43"/>
      <c r="AW289" s="1543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70" t="s">
        <v>71</v>
      </c>
      <c r="E1" s="1570"/>
      <c r="F1" s="1570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3"/>
      <c r="O4" s="974"/>
    </row>
    <row r="5" spans="2:15" x14ac:dyDescent="0.3">
      <c r="B5" s="13">
        <v>2</v>
      </c>
      <c r="C5" s="73">
        <v>46253</v>
      </c>
      <c r="D5" s="13">
        <v>320</v>
      </c>
      <c r="N5" s="973"/>
      <c r="O5" s="974"/>
    </row>
    <row r="6" spans="2:15" x14ac:dyDescent="0.3">
      <c r="B6" s="13">
        <v>3</v>
      </c>
      <c r="C6" s="73">
        <v>46254</v>
      </c>
      <c r="D6" s="13">
        <v>388</v>
      </c>
      <c r="N6" s="973"/>
      <c r="O6" s="974"/>
    </row>
    <row r="7" spans="2:15" x14ac:dyDescent="0.3">
      <c r="B7" s="13">
        <v>4</v>
      </c>
      <c r="C7" s="73">
        <v>46255</v>
      </c>
      <c r="D7" s="13">
        <v>425</v>
      </c>
      <c r="N7" s="973"/>
      <c r="O7" s="974"/>
    </row>
    <row r="8" spans="2:15" x14ac:dyDescent="0.3">
      <c r="B8" s="13">
        <v>5</v>
      </c>
      <c r="C8" s="73">
        <v>46256</v>
      </c>
      <c r="D8" s="13">
        <v>452</v>
      </c>
      <c r="N8" s="973"/>
      <c r="O8" s="974"/>
    </row>
    <row r="9" spans="2:15" x14ac:dyDescent="0.3">
      <c r="B9" s="13">
        <v>6</v>
      </c>
      <c r="C9" s="73">
        <v>46257</v>
      </c>
      <c r="D9" s="13">
        <v>397</v>
      </c>
      <c r="N9" s="973"/>
      <c r="O9" s="974"/>
    </row>
    <row r="10" spans="2:15" x14ac:dyDescent="0.3">
      <c r="B10" s="13">
        <v>7</v>
      </c>
      <c r="C10" s="73">
        <v>46258</v>
      </c>
      <c r="D10" s="13">
        <v>283</v>
      </c>
      <c r="N10" s="973"/>
      <c r="O10" s="974"/>
    </row>
    <row r="11" spans="2:15" x14ac:dyDescent="0.3">
      <c r="B11" s="13">
        <v>8</v>
      </c>
      <c r="C11" s="73">
        <v>46259</v>
      </c>
      <c r="D11" s="13">
        <v>347</v>
      </c>
      <c r="N11" s="973"/>
      <c r="O11" s="974"/>
    </row>
    <row r="12" spans="2:15" x14ac:dyDescent="0.3">
      <c r="B12" s="13">
        <v>9</v>
      </c>
      <c r="C12" s="73">
        <v>46260</v>
      </c>
      <c r="D12" s="13">
        <v>346</v>
      </c>
      <c r="N12" s="973"/>
      <c r="O12" s="974"/>
    </row>
    <row r="13" spans="2:15" x14ac:dyDescent="0.3">
      <c r="B13" s="13">
        <v>10</v>
      </c>
      <c r="C13" s="73">
        <v>46261</v>
      </c>
      <c r="D13" s="13">
        <v>297</v>
      </c>
      <c r="N13" s="973"/>
      <c r="O13" s="974"/>
    </row>
    <row r="14" spans="2:15" x14ac:dyDescent="0.3">
      <c r="B14" s="13">
        <v>11</v>
      </c>
      <c r="C14" s="73">
        <v>46262</v>
      </c>
      <c r="D14" s="13">
        <v>304</v>
      </c>
      <c r="N14" s="973"/>
      <c r="O14" s="974"/>
    </row>
    <row r="15" spans="2:15" x14ac:dyDescent="0.3">
      <c r="B15" s="13">
        <v>12</v>
      </c>
      <c r="C15" s="73">
        <v>46263</v>
      </c>
      <c r="D15" s="13">
        <v>510</v>
      </c>
      <c r="N15" s="973"/>
      <c r="O15" s="974"/>
    </row>
    <row r="16" spans="2:15" x14ac:dyDescent="0.3">
      <c r="B16" s="13">
        <v>13</v>
      </c>
      <c r="C16" s="73">
        <v>46264</v>
      </c>
      <c r="D16" s="13">
        <v>524</v>
      </c>
      <c r="N16" s="973"/>
      <c r="O16" s="974"/>
    </row>
    <row r="17" spans="2:15" x14ac:dyDescent="0.3">
      <c r="B17" s="13">
        <v>14</v>
      </c>
      <c r="C17" s="73">
        <v>46265</v>
      </c>
      <c r="D17" s="13">
        <v>300</v>
      </c>
      <c r="N17" s="973"/>
      <c r="O17" s="974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5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17" t="s">
        <v>587</v>
      </c>
      <c r="I2" s="1217"/>
      <c r="J2" s="1217"/>
      <c r="K2" s="1217"/>
      <c r="O2" s="1">
        <f>720+180</f>
        <v>900</v>
      </c>
    </row>
    <row r="4" spans="1:33" ht="29.4" thickBot="1" x14ac:dyDescent="0.35">
      <c r="A4" s="585" t="s">
        <v>544</v>
      </c>
      <c r="B4" s="1376" t="s">
        <v>0</v>
      </c>
      <c r="C4" s="137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235">
        <v>1</v>
      </c>
      <c r="B5" s="1273">
        <v>46265</v>
      </c>
      <c r="C5" s="1274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582">
        <f>SUM(M5:M6)</f>
        <v>74.069659139999999</v>
      </c>
      <c r="O5" s="461">
        <f t="shared" ref="O5:O11" si="1">M5/((720-R5)/60)</f>
        <v>2.8865657961661344</v>
      </c>
      <c r="P5" s="1262">
        <f>'Milling Down Time Hours'!Q5</f>
        <v>22.433333333333334</v>
      </c>
      <c r="Q5" s="483"/>
      <c r="R5" s="466">
        <f>'Milling Down Time Hours'!P5</f>
        <v>94</v>
      </c>
      <c r="S5" s="1582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235"/>
      <c r="B6" s="1275"/>
      <c r="C6" s="1276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583"/>
      <c r="O6" s="461">
        <f t="shared" si="1"/>
        <v>3.6627629999999995</v>
      </c>
      <c r="P6" s="1586"/>
      <c r="Q6" s="524"/>
      <c r="R6" s="466">
        <v>0</v>
      </c>
      <c r="S6" s="1579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235"/>
      <c r="B7" s="1273">
        <v>46266</v>
      </c>
      <c r="C7" s="1274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582">
        <f>SUM(M7:M8)</f>
        <v>218.24394086000001</v>
      </c>
      <c r="O7" s="461">
        <f t="shared" si="1"/>
        <v>8.6932442900719415</v>
      </c>
      <c r="P7" s="1584">
        <f>'Milling Down Time Hours'!Q6</f>
        <v>22.9</v>
      </c>
      <c r="Q7" s="504"/>
      <c r="R7" s="466">
        <v>25</v>
      </c>
      <c r="S7" s="1579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235"/>
      <c r="B8" s="1275"/>
      <c r="C8" s="1276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583"/>
      <c r="O8" s="461">
        <f t="shared" si="1"/>
        <v>10.387086406480119</v>
      </c>
      <c r="P8" s="1585"/>
      <c r="Q8" s="504"/>
      <c r="R8" s="466">
        <v>41</v>
      </c>
      <c r="S8" s="1583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234">
        <v>2</v>
      </c>
      <c r="B9" s="1269">
        <v>46267</v>
      </c>
      <c r="C9" s="1270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580">
        <f>SUM(M9:M10)</f>
        <v>209.804</v>
      </c>
      <c r="O9" s="477">
        <f t="shared" si="1"/>
        <v>10.565099999999999</v>
      </c>
      <c r="P9" s="1594">
        <f>'Milling Down Time Hours'!Q7</f>
        <v>22</v>
      </c>
      <c r="Q9" s="492"/>
      <c r="R9" s="471">
        <f>'Milling Down Time Hours'!P7</f>
        <v>120.00000000000001</v>
      </c>
      <c r="S9" s="1580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234"/>
      <c r="B10" s="1271"/>
      <c r="C10" s="1272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581"/>
      <c r="O10" s="477">
        <f t="shared" si="1"/>
        <v>8.6794166666666666</v>
      </c>
      <c r="P10" s="1595"/>
      <c r="Q10" s="492"/>
      <c r="R10" s="471">
        <v>0</v>
      </c>
      <c r="S10" s="1592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234"/>
      <c r="B11" s="1269">
        <v>46268</v>
      </c>
      <c r="C11" s="1270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580">
        <f>SUM(M11:M12)</f>
        <v>90.338150000000013</v>
      </c>
      <c r="O11" s="477">
        <f t="shared" si="1"/>
        <v>8.2125590909090924</v>
      </c>
      <c r="P11" s="1600">
        <f>'Milling Down Time Hours'!Q8</f>
        <v>23</v>
      </c>
      <c r="Q11" s="529"/>
      <c r="R11" s="492">
        <v>60</v>
      </c>
      <c r="S11" s="1592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234"/>
      <c r="B12" s="1271"/>
      <c r="C12" s="1272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581"/>
      <c r="O12" s="477"/>
      <c r="P12" s="1601"/>
      <c r="Q12" s="531"/>
      <c r="R12" s="490">
        <v>720</v>
      </c>
      <c r="S12" s="1281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234"/>
      <c r="B13" s="1269">
        <v>46269</v>
      </c>
      <c r="C13" s="1270"/>
      <c r="D13" s="1587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594">
        <f>'Milling Down Time Hours'!Q9</f>
        <v>0</v>
      </c>
      <c r="Q13" s="514"/>
      <c r="R13" s="1594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234"/>
      <c r="B14" s="1590"/>
      <c r="C14" s="1591"/>
      <c r="D14" s="158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02"/>
      <c r="Q14" s="492"/>
      <c r="R14" s="1603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98">
        <v>46270</v>
      </c>
      <c r="C15" s="1599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72">
        <v>3</v>
      </c>
      <c r="B16" s="1221">
        <v>46270</v>
      </c>
      <c r="C16" s="1221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26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72"/>
      <c r="B17" s="1221">
        <v>46271</v>
      </c>
      <c r="C17" s="1221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58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263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72"/>
      <c r="B18" s="1221"/>
      <c r="C18" s="1221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58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263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72"/>
      <c r="B19" s="1275">
        <v>46272</v>
      </c>
      <c r="C19" s="1276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287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264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234">
        <v>4</v>
      </c>
      <c r="B20" s="1596">
        <v>46272</v>
      </c>
      <c r="C20" s="1597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26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24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234"/>
      <c r="B21" s="1269">
        <v>46273</v>
      </c>
      <c r="C21" s="1270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58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24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234"/>
      <c r="B22" s="1271"/>
      <c r="C22" s="1272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593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24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234"/>
      <c r="B23" s="1269">
        <v>46274</v>
      </c>
      <c r="C23" s="1270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24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08">
        <v>46274</v>
      </c>
      <c r="C24" s="1209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235">
        <v>5</v>
      </c>
      <c r="B25" s="1273">
        <v>46275</v>
      </c>
      <c r="C25" s="1274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22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22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235"/>
      <c r="B26" s="1275"/>
      <c r="C26" s="1276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247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2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235"/>
      <c r="B27" s="1273">
        <v>46276</v>
      </c>
      <c r="C27" s="1274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26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2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19">
        <v>46276</v>
      </c>
      <c r="C28" s="1419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7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253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234">
        <v>6</v>
      </c>
      <c r="B29" s="1590">
        <v>46276</v>
      </c>
      <c r="C29" s="1591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592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234"/>
      <c r="B30" s="1269">
        <v>46277</v>
      </c>
      <c r="C30" s="1270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58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592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234"/>
      <c r="B31" s="1271"/>
      <c r="C31" s="1272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581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281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06">
        <v>46278</v>
      </c>
      <c r="C32" s="1207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289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08"/>
      <c r="C33" s="1209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288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73">
        <v>46279</v>
      </c>
      <c r="C34" s="127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582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275"/>
      <c r="C35" s="127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583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73">
        <v>46280</v>
      </c>
      <c r="C36" s="127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275"/>
      <c r="C37" s="127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73">
        <v>46281</v>
      </c>
      <c r="C38" s="127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275"/>
      <c r="C39" s="127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73"/>
      <c r="U39" s="1573"/>
      <c r="V39" s="1575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06">
        <v>46282</v>
      </c>
      <c r="C40" s="1207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74"/>
      <c r="U40" s="1574"/>
      <c r="V40" s="1576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208"/>
      <c r="C41" s="120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06">
        <v>46283</v>
      </c>
      <c r="C42" s="1207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08"/>
      <c r="C43" s="120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06">
        <v>46284</v>
      </c>
      <c r="C44" s="1207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08"/>
      <c r="C45" s="120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06">
        <v>46285</v>
      </c>
      <c r="C46" s="1207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08"/>
      <c r="C47" s="120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290"/>
      <c r="U47" s="1290"/>
      <c r="V47" s="1297"/>
      <c r="W47" s="159"/>
      <c r="X47" s="154"/>
      <c r="Y47" s="154"/>
    </row>
    <row r="48" spans="1:32" ht="15" thickBot="1" x14ac:dyDescent="0.35">
      <c r="B48" s="1206">
        <v>46286</v>
      </c>
      <c r="C48" s="1207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291"/>
      <c r="U48" s="1291"/>
      <c r="V48" s="1298"/>
      <c r="W48" s="159"/>
      <c r="X48" s="154"/>
      <c r="Y48" s="154"/>
    </row>
    <row r="49" spans="2:28" ht="15" thickBot="1" x14ac:dyDescent="0.35">
      <c r="B49" s="1208"/>
      <c r="C49" s="120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290"/>
      <c r="U49" s="1290"/>
      <c r="V49" s="1297"/>
      <c r="W49" s="159"/>
      <c r="X49" s="154"/>
      <c r="Y49" s="154"/>
    </row>
    <row r="50" spans="2:28" ht="15" thickBot="1" x14ac:dyDescent="0.35">
      <c r="B50" s="1206">
        <v>46287</v>
      </c>
      <c r="C50" s="1207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291"/>
      <c r="U50" s="1291"/>
      <c r="V50" s="1298"/>
      <c r="W50" s="159"/>
      <c r="X50" s="154"/>
      <c r="Y50" s="154"/>
    </row>
    <row r="51" spans="2:28" ht="15" thickBot="1" x14ac:dyDescent="0.35">
      <c r="B51" s="1208"/>
      <c r="C51" s="120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290"/>
      <c r="U51" s="1290"/>
      <c r="V51" s="1297"/>
      <c r="W51" s="159"/>
      <c r="X51" s="154"/>
      <c r="Y51" s="154"/>
    </row>
    <row r="52" spans="2:28" ht="15" thickBot="1" x14ac:dyDescent="0.35">
      <c r="B52" s="1206">
        <v>46288</v>
      </c>
      <c r="C52" s="1207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291"/>
      <c r="U52" s="1291"/>
      <c r="V52" s="1298"/>
      <c r="W52" s="159"/>
      <c r="X52" s="154"/>
      <c r="Y52" s="154"/>
    </row>
    <row r="53" spans="2:28" ht="15" thickBot="1" x14ac:dyDescent="0.35">
      <c r="B53" s="1208"/>
      <c r="C53" s="120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290"/>
      <c r="U53" s="1290"/>
      <c r="V53" s="1297"/>
      <c r="W53" s="159"/>
      <c r="X53" s="154"/>
      <c r="Y53" s="154"/>
    </row>
    <row r="54" spans="2:28" ht="15" thickBot="1" x14ac:dyDescent="0.35">
      <c r="B54" s="1206">
        <v>46289</v>
      </c>
      <c r="C54" s="1207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291"/>
      <c r="U54" s="1291"/>
      <c r="V54" s="1298"/>
      <c r="W54" s="159"/>
      <c r="X54" s="154"/>
      <c r="Y54" s="154"/>
      <c r="AB54" s="1">
        <v>9570</v>
      </c>
    </row>
    <row r="55" spans="2:28" ht="15" thickBot="1" x14ac:dyDescent="0.35">
      <c r="B55" s="1208"/>
      <c r="C55" s="120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290"/>
      <c r="U55" s="1290"/>
      <c r="V55" s="1297"/>
      <c r="W55" s="159"/>
      <c r="X55" s="154"/>
      <c r="Y55" s="154"/>
      <c r="AB55" s="1">
        <v>8795</v>
      </c>
    </row>
    <row r="56" spans="2:28" ht="15" thickBot="1" x14ac:dyDescent="0.35">
      <c r="B56" s="1206">
        <v>46290</v>
      </c>
      <c r="C56" s="1207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291"/>
      <c r="U56" s="1291"/>
      <c r="V56" s="129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08"/>
      <c r="C57" s="120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290"/>
      <c r="U57" s="1290"/>
      <c r="V57" s="1297"/>
      <c r="W57" s="159"/>
      <c r="X57" s="154"/>
      <c r="Y57" s="154"/>
    </row>
    <row r="58" spans="2:28" ht="15" thickBot="1" x14ac:dyDescent="0.35">
      <c r="B58" s="1206">
        <v>46291</v>
      </c>
      <c r="C58" s="1207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291"/>
      <c r="U58" s="1291"/>
      <c r="V58" s="1298"/>
      <c r="W58" s="159"/>
      <c r="X58" s="154"/>
      <c r="Y58" s="154"/>
    </row>
    <row r="59" spans="2:28" ht="15" thickBot="1" x14ac:dyDescent="0.35">
      <c r="B59" s="1208"/>
      <c r="C59" s="120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290"/>
      <c r="U59" s="1290"/>
      <c r="V59" s="1297"/>
      <c r="W59" s="159"/>
      <c r="X59" s="154"/>
      <c r="Y59" s="154"/>
    </row>
    <row r="60" spans="2:28" ht="15" thickBot="1" x14ac:dyDescent="0.35">
      <c r="B60" s="1206">
        <v>46292</v>
      </c>
      <c r="C60" s="1207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291"/>
      <c r="U60" s="1291"/>
      <c r="V60" s="1298"/>
      <c r="W60" s="159"/>
      <c r="X60" s="154"/>
      <c r="Y60" s="154"/>
    </row>
    <row r="61" spans="2:28" ht="15" thickBot="1" x14ac:dyDescent="0.35">
      <c r="B61" s="1208"/>
      <c r="C61" s="120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290"/>
      <c r="U61" s="1290"/>
      <c r="V61" s="1297"/>
      <c r="W61" s="159"/>
      <c r="X61" s="154"/>
      <c r="Y61" s="154"/>
    </row>
    <row r="62" spans="2:28" ht="15" thickBot="1" x14ac:dyDescent="0.35">
      <c r="B62" s="1206">
        <v>46293</v>
      </c>
      <c r="C62" s="1207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291"/>
      <c r="U62" s="1291"/>
      <c r="V62" s="1298"/>
      <c r="W62" s="159"/>
      <c r="X62" s="154"/>
      <c r="Y62" s="154"/>
    </row>
    <row r="63" spans="2:28" ht="15" thickBot="1" x14ac:dyDescent="0.35">
      <c r="B63" s="1208"/>
      <c r="C63" s="120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292"/>
      <c r="U63" s="1292"/>
      <c r="V63" s="129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06">
        <v>46294</v>
      </c>
      <c r="C64" s="1207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293"/>
      <c r="U64" s="1293"/>
      <c r="V64" s="129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08"/>
      <c r="C65" s="120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292"/>
      <c r="U65" s="1292"/>
      <c r="V65" s="157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06">
        <v>46295</v>
      </c>
      <c r="C66" s="1207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293"/>
      <c r="U66" s="1293"/>
      <c r="V66" s="157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08"/>
      <c r="C67" s="120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292"/>
      <c r="U67" s="1292"/>
      <c r="V67" s="157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06">
        <v>46296</v>
      </c>
      <c r="C68" s="1207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293"/>
      <c r="U68" s="1293"/>
      <c r="V68" s="157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08"/>
      <c r="C69" s="120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292"/>
      <c r="U69" s="1292"/>
      <c r="V69" s="129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06">
        <v>46297</v>
      </c>
      <c r="C70" s="1207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293"/>
      <c r="U70" s="1293"/>
      <c r="V70" s="129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08"/>
      <c r="C71" s="120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</v>
      </c>
      <c r="S71" s="13"/>
      <c r="T71" s="1292"/>
      <c r="U71" s="1292"/>
      <c r="V71" s="129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06">
        <v>46298</v>
      </c>
      <c r="C72" s="1207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293"/>
      <c r="U72" s="1293"/>
      <c r="V72" s="129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08"/>
      <c r="C73" s="120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</v>
      </c>
      <c r="S73" s="13"/>
      <c r="T73" s="1292"/>
      <c r="U73" s="1292"/>
      <c r="V73" s="129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06">
        <v>46299</v>
      </c>
      <c r="C74" s="1207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293"/>
      <c r="U74" s="1293"/>
      <c r="V74" s="129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08"/>
      <c r="C75" s="120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290"/>
      <c r="U75" s="1290"/>
      <c r="V75" s="129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06">
        <v>46300</v>
      </c>
      <c r="C76" s="1207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291"/>
      <c r="U76" s="1291"/>
      <c r="V76" s="129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08"/>
      <c r="C77" s="120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292"/>
      <c r="U77" s="1292"/>
      <c r="V77" s="129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06">
        <v>46301</v>
      </c>
      <c r="C78" s="1207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293"/>
      <c r="U78" s="1293"/>
      <c r="V78" s="129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285"/>
      <c r="C79" s="1286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71">
        <f>'Milling Down Time Hours'!Q43</f>
        <v>0</v>
      </c>
      <c r="Q79" s="39"/>
      <c r="R79" s="1571">
        <f>'Milling Down Time Hours'!L85</f>
        <v>0</v>
      </c>
      <c r="S79" s="13"/>
      <c r="T79" s="1292">
        <v>0.35699999999999998</v>
      </c>
      <c r="U79" s="1292">
        <v>1.056</v>
      </c>
      <c r="V79" s="129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285"/>
      <c r="C80" s="1286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71"/>
      <c r="Q80" s="39"/>
      <c r="R80" s="1571"/>
      <c r="S80" s="13"/>
      <c r="T80" s="1293"/>
      <c r="U80" s="1293"/>
      <c r="V80" s="129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285"/>
      <c r="C81" s="1286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71">
        <f>'Milling Down Time Hours'!M87</f>
        <v>0</v>
      </c>
      <c r="Q81" s="39"/>
      <c r="R81" s="1571">
        <f>'Milling Down Time Hours'!L87</f>
        <v>0</v>
      </c>
      <c r="S81" s="13"/>
      <c r="T81" s="1290" t="e">
        <f>SUM(#REF!)</f>
        <v>#REF!</v>
      </c>
      <c r="U81" s="1290" t="e">
        <f t="shared" ref="U81" si="26">SUM(T81:T83)</f>
        <v>#REF!</v>
      </c>
      <c r="V81" s="129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285"/>
      <c r="C82" s="1286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71"/>
      <c r="Q82" s="39"/>
      <c r="R82" s="1571"/>
      <c r="S82" s="13"/>
      <c r="T82" s="1291"/>
      <c r="U82" s="1291"/>
      <c r="V82" s="129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285"/>
      <c r="C83" s="1286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71">
        <f>'Milling Down Time Hours'!M89</f>
        <v>0</v>
      </c>
      <c r="Q83" s="39"/>
      <c r="R83" s="1571">
        <f>'Milling Down Time Hours'!L89</f>
        <v>0</v>
      </c>
      <c r="S83" s="13"/>
      <c r="T83" s="1290" t="e">
        <f>SUM(#REF!)</f>
        <v>#REF!</v>
      </c>
      <c r="U83" s="1290" t="e">
        <f t="shared" ref="U83" si="28">SUM(T83:T85)</f>
        <v>#REF!</v>
      </c>
      <c r="V83" s="129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285"/>
      <c r="C84" s="1286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71"/>
      <c r="Q84" s="39"/>
      <c r="R84" s="1571"/>
      <c r="S84" s="13"/>
      <c r="T84" s="1291"/>
      <c r="U84" s="1291"/>
      <c r="V84" s="129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285"/>
      <c r="C85" s="1286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71">
        <f>'Milling Down Time Hours'!M91</f>
        <v>0</v>
      </c>
      <c r="Q85" s="39"/>
      <c r="R85" s="1571">
        <f>'Milling Down Time Hours'!L91</f>
        <v>0</v>
      </c>
      <c r="S85" s="13"/>
      <c r="T85" s="1290" t="e">
        <f>SUM(#REF!)</f>
        <v>#REF!</v>
      </c>
      <c r="U85" s="1290" t="e">
        <f t="shared" ref="U85" si="30">SUM(T85:T87)</f>
        <v>#REF!</v>
      </c>
      <c r="V85" s="129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285"/>
      <c r="C86" s="1286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71"/>
      <c r="Q86" s="39"/>
      <c r="R86" s="1571"/>
      <c r="S86" s="13"/>
      <c r="T86" s="1291"/>
      <c r="U86" s="1291"/>
      <c r="V86" s="129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285"/>
      <c r="C87" s="1286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71">
        <f>'Milling Down Time Hours'!M93</f>
        <v>0</v>
      </c>
      <c r="Q87" s="39"/>
      <c r="R87" s="1571">
        <f>'Milling Down Time Hours'!L93</f>
        <v>0</v>
      </c>
      <c r="S87" s="13"/>
      <c r="T87" s="1290" t="e">
        <f>SUM(#REF!)</f>
        <v>#REF!</v>
      </c>
      <c r="U87" s="1290" t="e">
        <f t="shared" ref="U87" si="32">SUM(T87:T89)</f>
        <v>#REF!</v>
      </c>
      <c r="V87" s="129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285"/>
      <c r="C88" s="1286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71"/>
      <c r="Q88" s="39"/>
      <c r="R88" s="1571"/>
      <c r="S88" s="13"/>
      <c r="T88" s="1291"/>
      <c r="U88" s="1291"/>
      <c r="V88" s="129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285"/>
      <c r="C89" s="1286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71">
        <f>'Milling Down Time Hours'!M95</f>
        <v>0</v>
      </c>
      <c r="Q89" s="39"/>
      <c r="R89" s="1571">
        <f>'Milling Down Time Hours'!L95</f>
        <v>0</v>
      </c>
      <c r="S89" s="13"/>
      <c r="T89" s="1290" t="e">
        <f>SUM(#REF!)</f>
        <v>#REF!</v>
      </c>
      <c r="U89" s="1290" t="e">
        <f t="shared" ref="U89" si="34">SUM(T89:T91)</f>
        <v>#REF!</v>
      </c>
      <c r="V89" s="129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285"/>
      <c r="C90" s="1286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71"/>
      <c r="Q90" s="39"/>
      <c r="R90" s="1571"/>
      <c r="S90" s="13"/>
      <c r="T90" s="1291"/>
      <c r="U90" s="1291"/>
      <c r="V90" s="129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285"/>
      <c r="C91" s="1286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71">
        <f>'Milling Down Time Hours'!M97</f>
        <v>0</v>
      </c>
      <c r="Q91" s="39"/>
      <c r="R91" s="1571">
        <f>'Milling Down Time Hours'!L97</f>
        <v>0</v>
      </c>
      <c r="S91" s="13"/>
      <c r="T91" s="1290" t="e">
        <f>SUM(#REF!)</f>
        <v>#REF!</v>
      </c>
      <c r="U91" s="1290" t="e">
        <f t="shared" ref="U91" si="36">SUM(T91:T93)</f>
        <v>#REF!</v>
      </c>
      <c r="V91" s="129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285"/>
      <c r="C92" s="1286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71"/>
      <c r="Q92" s="39"/>
      <c r="R92" s="1571"/>
      <c r="S92" s="13"/>
      <c r="T92" s="1291"/>
      <c r="U92" s="1291"/>
      <c r="V92" s="129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285"/>
      <c r="C93" s="1286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71">
        <f>'Milling Down Time Hours'!M99</f>
        <v>0</v>
      </c>
      <c r="Q93" s="39"/>
      <c r="R93" s="1571">
        <f>'Milling Down Time Hours'!L99</f>
        <v>0</v>
      </c>
      <c r="S93" s="13"/>
      <c r="T93" s="1290" t="e">
        <f>SUM(#REF!)</f>
        <v>#REF!</v>
      </c>
      <c r="U93" s="1290" t="e">
        <f t="shared" ref="U93" si="38">SUM(T93:T95)</f>
        <v>#REF!</v>
      </c>
      <c r="V93" s="129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285"/>
      <c r="C94" s="1286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71"/>
      <c r="Q94" s="39"/>
      <c r="R94" s="1571"/>
      <c r="S94" s="13"/>
      <c r="T94" s="1291"/>
      <c r="U94" s="1291"/>
      <c r="V94" s="129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285"/>
      <c r="C95" s="1286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71">
        <f>'Milling Down Time Hours'!M101</f>
        <v>0</v>
      </c>
      <c r="Q95" s="39"/>
      <c r="R95" s="1571">
        <f>'Milling Down Time Hours'!L101</f>
        <v>0</v>
      </c>
      <c r="S95" s="13"/>
      <c r="T95" s="1290" t="e">
        <f>SUM(#REF!)</f>
        <v>#REF!</v>
      </c>
      <c r="U95" s="1290" t="e">
        <f>SUM(T95:T99)</f>
        <v>#REF!</v>
      </c>
      <c r="V95" s="129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285"/>
      <c r="C96" s="1286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71"/>
      <c r="Q96" s="39"/>
      <c r="R96" s="1571"/>
      <c r="S96" s="95"/>
      <c r="T96" s="1300"/>
      <c r="U96" s="1300"/>
      <c r="V96" s="1301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08"/>
      <c r="C97" s="120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2026-10-06T10:15:41Z</dcterms:modified>
</cp:coreProperties>
</file>