
<file path=[Content_Types].xml><?xml version="1.0" encoding="utf-8"?>
<Types xmlns="http://schemas.openxmlformats.org/package/2006/content-types"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sheet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harts/chart1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326"/>
  <workbookPr/>
  <mc:AlternateContent xmlns:mc="http://schemas.openxmlformats.org/markup-compatibility/2006">
    <mc:Choice Requires="x15">
      <x15ac:absPath xmlns:x15ac="http://schemas.microsoft.com/office/spreadsheetml/2010/11/ac" url="C:\Users\hamxi\OneDrive\Documents\METALLURGI\"/>
    </mc:Choice>
  </mc:AlternateContent>
  <xr:revisionPtr revIDLastSave="0" documentId="13_ncr:1_{30F9D0B7-5CFC-4EB6-B908-0747F7ECE427}" xr6:coauthVersionLast="47" xr6:coauthVersionMax="47" xr10:uidLastSave="{00000000-0000-0000-0000-000000000000}"/>
  <bookViews>
    <workbookView xWindow="-108" yWindow="-108" windowWidth="30936" windowHeight="16776" tabRatio="832" xr2:uid="{00000000-000D-0000-FFFF-FFFF00000000}"/>
  </bookViews>
  <sheets>
    <sheet name="INFORMATION TESTWORK" sheetId="14" r:id="rId1"/>
    <sheet name="MASS BALANCE PROCESSING" sheetId="2" r:id="rId2"/>
    <sheet name="MOISTURE DISC CRUSHING" sheetId="3" r:id="rId3"/>
    <sheet name="UJI COBA SANDIOS" sheetId="1" r:id="rId4"/>
    <sheet name="TESTWORK LEACHING &amp; CIP" sheetId="4" r:id="rId5"/>
    <sheet name="TESTWORK LEACHING &amp; CIP (2)" sheetId="5" r:id="rId6"/>
    <sheet name="CIP VARIASI PH 8-9" sheetId="6" r:id="rId7"/>
    <sheet name="TW CIP SMBS-1" sheetId="7" r:id="rId8"/>
    <sheet name="TW CIP SMBS-2" sheetId="8" r:id="rId9"/>
    <sheet name="CIP VARIASI PH 8-9 (RETEST)" sheetId="9" r:id="rId10"/>
    <sheet name="PERSEN PASSING" sheetId="10" r:id="rId11"/>
    <sheet name="REPORT ALL TESTWORK" sheetId="11" r:id="rId12"/>
    <sheet name="TW 21 JULY 1" sheetId="12" r:id="rId13"/>
    <sheet name="TEMPLATE KOSONGAN" sheetId="13" r:id="rId14"/>
    <sheet name="CARBON 1200 C - 2 GPL" sheetId="16" r:id="rId15"/>
    <sheet name="CARBON 1200 C - 3 GPL" sheetId="17" r:id="rId16"/>
    <sheet name="TW P60" sheetId="18" r:id="rId17"/>
    <sheet name="TW P70" sheetId="21" r:id="rId18"/>
    <sheet name="CARBON 1200 C - 2 GPL (RETEST)" sheetId="19" r:id="rId19"/>
    <sheet name="CARBON 1200 C - 3 GPL (RETEST)" sheetId="20" r:id="rId20"/>
    <sheet name="TEMPLATE KOSONGAN (2)" sheetId="22" r:id="rId21"/>
    <sheet name="BOTTLE ROLL TEST" sheetId="25" r:id="rId22"/>
    <sheet name="COLD ELUTION 10000 PPM" sheetId="23" r:id="rId23"/>
    <sheet name="COLD ELUTION 5000 PPM" sheetId="24" r:id="rId24"/>
    <sheet name="TEST CARBON LOADING" sheetId="27" r:id="rId25"/>
  </sheets>
  <definedNames>
    <definedName name="_xlnm.Print_Area" localSheetId="9">'CIP VARIASI PH 8-9 (RETEST)'!$B$2:$AQ$51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1" i="27" l="1"/>
  <c r="M31" i="27"/>
  <c r="G38" i="27"/>
  <c r="F38" i="27"/>
  <c r="AO37" i="27"/>
  <c r="AM37" i="27"/>
  <c r="U37" i="27"/>
  <c r="AC36" i="27"/>
  <c r="U36" i="27"/>
  <c r="AC35" i="27"/>
  <c r="U35" i="27"/>
  <c r="AC34" i="27"/>
  <c r="U34" i="27"/>
  <c r="AC33" i="27"/>
  <c r="U33" i="27"/>
  <c r="AC32" i="27"/>
  <c r="U32" i="27"/>
  <c r="AM31" i="27"/>
  <c r="AC31" i="27"/>
  <c r="AO31" i="27" s="1"/>
  <c r="U31" i="27"/>
  <c r="I12" i="27"/>
  <c r="AH36" i="27" s="1"/>
  <c r="H12" i="27"/>
  <c r="AE36" i="27" s="1"/>
  <c r="G12" i="27"/>
  <c r="L11" i="27"/>
  <c r="I11" i="27"/>
  <c r="H11" i="27"/>
  <c r="G11" i="27"/>
  <c r="L10" i="27"/>
  <c r="N36" i="24"/>
  <c r="M36" i="24"/>
  <c r="L36" i="24"/>
  <c r="R30" i="24"/>
  <c r="V30" i="24" s="1"/>
  <c r="Q30" i="24"/>
  <c r="U30" i="24" s="1"/>
  <c r="R29" i="24"/>
  <c r="V29" i="24" s="1"/>
  <c r="Q29" i="24"/>
  <c r="U29" i="24" s="1"/>
  <c r="R28" i="24"/>
  <c r="V28" i="24" s="1"/>
  <c r="Q28" i="24"/>
  <c r="U28" i="24" s="1"/>
  <c r="R27" i="24"/>
  <c r="V27" i="24" s="1"/>
  <c r="Q27" i="24"/>
  <c r="U27" i="24" s="1"/>
  <c r="R26" i="24"/>
  <c r="V26" i="24" s="1"/>
  <c r="Q26" i="24"/>
  <c r="U26" i="24" s="1"/>
  <c r="N36" i="23"/>
  <c r="M36" i="23"/>
  <c r="L36" i="23"/>
  <c r="R30" i="23"/>
  <c r="V30" i="23" s="1"/>
  <c r="Q30" i="23"/>
  <c r="U30" i="23" s="1"/>
  <c r="R29" i="23"/>
  <c r="V29" i="23" s="1"/>
  <c r="Q29" i="23"/>
  <c r="U29" i="23" s="1"/>
  <c r="R28" i="23"/>
  <c r="V28" i="23" s="1"/>
  <c r="Q28" i="23"/>
  <c r="U28" i="23" s="1"/>
  <c r="U27" i="23"/>
  <c r="R27" i="23"/>
  <c r="V27" i="23" s="1"/>
  <c r="Q27" i="23"/>
  <c r="R26" i="23"/>
  <c r="V26" i="23" s="1"/>
  <c r="Q26" i="23"/>
  <c r="U26" i="23" s="1"/>
  <c r="G38" i="25"/>
  <c r="F38" i="25"/>
  <c r="L10" i="25" s="1"/>
  <c r="AO37" i="25"/>
  <c r="AM37" i="25"/>
  <c r="U37" i="25"/>
  <c r="AC36" i="25"/>
  <c r="U36" i="25"/>
  <c r="AC35" i="25"/>
  <c r="U35" i="25"/>
  <c r="AC34" i="25"/>
  <c r="U34" i="25"/>
  <c r="AC33" i="25"/>
  <c r="U33" i="25"/>
  <c r="AC32" i="25"/>
  <c r="U32" i="25"/>
  <c r="AC31" i="25"/>
  <c r="U31" i="25"/>
  <c r="I12" i="25"/>
  <c r="AH36" i="25" s="1"/>
  <c r="H12" i="25"/>
  <c r="AE36" i="25" s="1"/>
  <c r="G12" i="25"/>
  <c r="L11" i="25"/>
  <c r="I11" i="25"/>
  <c r="H11" i="25"/>
  <c r="G11" i="25"/>
  <c r="L20" i="25" s="1"/>
  <c r="G38" i="22"/>
  <c r="F38" i="22"/>
  <c r="L10" i="22" s="1"/>
  <c r="AO37" i="22"/>
  <c r="AM37" i="22"/>
  <c r="U37" i="22"/>
  <c r="AC36" i="22"/>
  <c r="U36" i="22"/>
  <c r="AC35" i="22"/>
  <c r="U35" i="22"/>
  <c r="AC34" i="22"/>
  <c r="U34" i="22"/>
  <c r="AC33" i="22"/>
  <c r="U33" i="22"/>
  <c r="AC32" i="22"/>
  <c r="U32" i="22"/>
  <c r="AC31" i="22"/>
  <c r="U31" i="22"/>
  <c r="I12" i="22"/>
  <c r="AH36" i="22" s="1"/>
  <c r="H12" i="22"/>
  <c r="AE36" i="22" s="1"/>
  <c r="G12" i="22"/>
  <c r="L11" i="22"/>
  <c r="I11" i="22"/>
  <c r="H11" i="22"/>
  <c r="G11" i="22"/>
  <c r="G38" i="20"/>
  <c r="F38" i="20"/>
  <c r="L10" i="20" s="1"/>
  <c r="AO37" i="20"/>
  <c r="AM37" i="20"/>
  <c r="U37" i="20"/>
  <c r="AE36" i="20"/>
  <c r="AC36" i="20"/>
  <c r="AB36" i="20"/>
  <c r="AL36" i="20" s="1"/>
  <c r="U36" i="20"/>
  <c r="AC35" i="20"/>
  <c r="U35" i="20"/>
  <c r="AC34" i="20"/>
  <c r="U34" i="20"/>
  <c r="AC33" i="20"/>
  <c r="U33" i="20"/>
  <c r="AC32" i="20"/>
  <c r="U32" i="20"/>
  <c r="AC31" i="20"/>
  <c r="U31" i="20"/>
  <c r="G14" i="20"/>
  <c r="I12" i="20"/>
  <c r="AH36" i="20" s="1"/>
  <c r="H12" i="20"/>
  <c r="G12" i="20"/>
  <c r="L11" i="20"/>
  <c r="I11" i="20"/>
  <c r="H11" i="20"/>
  <c r="G11" i="20"/>
  <c r="G38" i="19"/>
  <c r="F38" i="19"/>
  <c r="L10" i="19" s="1"/>
  <c r="AO37" i="19"/>
  <c r="AM37" i="19"/>
  <c r="U37" i="19"/>
  <c r="AH36" i="19"/>
  <c r="AE36" i="19"/>
  <c r="AC36" i="19"/>
  <c r="AB36" i="19"/>
  <c r="AL36" i="19" s="1"/>
  <c r="U36" i="19"/>
  <c r="AC35" i="19"/>
  <c r="U35" i="19"/>
  <c r="AC34" i="19"/>
  <c r="U34" i="19"/>
  <c r="AC33" i="19"/>
  <c r="U33" i="19"/>
  <c r="AC32" i="19"/>
  <c r="U32" i="19"/>
  <c r="AC31" i="19"/>
  <c r="U31" i="19"/>
  <c r="I12" i="19"/>
  <c r="H12" i="19"/>
  <c r="G12" i="19"/>
  <c r="G14" i="19" s="1"/>
  <c r="L11" i="19"/>
  <c r="I11" i="19"/>
  <c r="H11" i="19"/>
  <c r="G11" i="19"/>
  <c r="G38" i="21"/>
  <c r="AO37" i="21"/>
  <c r="AM37" i="21"/>
  <c r="U37" i="21"/>
  <c r="AH36" i="21"/>
  <c r="AE36" i="21"/>
  <c r="AC36" i="21"/>
  <c r="AB36" i="21"/>
  <c r="AL36" i="21" s="1"/>
  <c r="U36" i="21"/>
  <c r="AC35" i="21"/>
  <c r="U35" i="21"/>
  <c r="AC34" i="21"/>
  <c r="U34" i="21"/>
  <c r="AC33" i="21"/>
  <c r="U33" i="21"/>
  <c r="AC32" i="21"/>
  <c r="U32" i="21"/>
  <c r="AC31" i="21"/>
  <c r="U31" i="21"/>
  <c r="I12" i="21"/>
  <c r="H12" i="21"/>
  <c r="G12" i="21"/>
  <c r="G14" i="21" s="1"/>
  <c r="L11" i="21"/>
  <c r="I11" i="21"/>
  <c r="H11" i="21"/>
  <c r="G11" i="21"/>
  <c r="L43" i="21" s="1"/>
  <c r="L10" i="21"/>
  <c r="G38" i="18"/>
  <c r="F38" i="18"/>
  <c r="L10" i="18" s="1"/>
  <c r="AO37" i="18"/>
  <c r="AM37" i="18"/>
  <c r="U37" i="18"/>
  <c r="AH36" i="18"/>
  <c r="AE36" i="18"/>
  <c r="AC36" i="18"/>
  <c r="AB36" i="18"/>
  <c r="AL36" i="18" s="1"/>
  <c r="U36" i="18"/>
  <c r="AC35" i="18"/>
  <c r="U35" i="18"/>
  <c r="AC34" i="18"/>
  <c r="U34" i="18"/>
  <c r="AC33" i="18"/>
  <c r="U33" i="18"/>
  <c r="AO32" i="18"/>
  <c r="AC32" i="18"/>
  <c r="AM32" i="18" s="1"/>
  <c r="U32" i="18"/>
  <c r="AC31" i="18"/>
  <c r="U31" i="18"/>
  <c r="I12" i="18"/>
  <c r="H12" i="18"/>
  <c r="G12" i="18"/>
  <c r="G14" i="18" s="1"/>
  <c r="L11" i="18"/>
  <c r="I11" i="18"/>
  <c r="H11" i="18"/>
  <c r="G11" i="18"/>
  <c r="G38" i="17"/>
  <c r="F38" i="17"/>
  <c r="L10" i="17" s="1"/>
  <c r="AO37" i="17"/>
  <c r="AM37" i="17"/>
  <c r="U37" i="17"/>
  <c r="AH36" i="17"/>
  <c r="AE36" i="17"/>
  <c r="AC36" i="17"/>
  <c r="AB36" i="17"/>
  <c r="AL36" i="17" s="1"/>
  <c r="U36" i="17"/>
  <c r="AC35" i="17"/>
  <c r="U35" i="17"/>
  <c r="AC34" i="17"/>
  <c r="U34" i="17"/>
  <c r="AO33" i="17"/>
  <c r="AC33" i="17"/>
  <c r="AM33" i="17" s="1"/>
  <c r="U33" i="17"/>
  <c r="AC32" i="17"/>
  <c r="U32" i="17"/>
  <c r="AC31" i="17"/>
  <c r="U31" i="17"/>
  <c r="I12" i="17"/>
  <c r="H12" i="17"/>
  <c r="G12" i="17"/>
  <c r="G14" i="17" s="1"/>
  <c r="L11" i="17"/>
  <c r="I11" i="17"/>
  <c r="H11" i="17"/>
  <c r="G11" i="17"/>
  <c r="G38" i="16"/>
  <c r="F38" i="16"/>
  <c r="L10" i="16" s="1"/>
  <c r="AO37" i="16"/>
  <c r="AM37" i="16"/>
  <c r="U37" i="16"/>
  <c r="AH36" i="16"/>
  <c r="AE36" i="16"/>
  <c r="AC36" i="16"/>
  <c r="AB36" i="16"/>
  <c r="AL36" i="16" s="1"/>
  <c r="U36" i="16"/>
  <c r="AC35" i="16"/>
  <c r="U35" i="16"/>
  <c r="AO34" i="16"/>
  <c r="AC34" i="16"/>
  <c r="AM34" i="16" s="1"/>
  <c r="U34" i="16"/>
  <c r="AC33" i="16"/>
  <c r="U33" i="16"/>
  <c r="AC32" i="16"/>
  <c r="U32" i="16"/>
  <c r="AC31" i="16"/>
  <c r="U31" i="16"/>
  <c r="I12" i="16"/>
  <c r="H12" i="16"/>
  <c r="G12" i="16"/>
  <c r="G14" i="16" s="1"/>
  <c r="L11" i="16"/>
  <c r="I11" i="16"/>
  <c r="H11" i="16"/>
  <c r="G11" i="16"/>
  <c r="D47" i="13"/>
  <c r="D46" i="13"/>
  <c r="D45" i="13"/>
  <c r="F38" i="13"/>
  <c r="AO37" i="13"/>
  <c r="AM37" i="13"/>
  <c r="U37" i="13"/>
  <c r="AO36" i="13"/>
  <c r="AM36" i="13"/>
  <c r="AH36" i="13"/>
  <c r="AE36" i="13"/>
  <c r="AB36" i="13"/>
  <c r="AL36" i="13" s="1"/>
  <c r="U36" i="13"/>
  <c r="AO35" i="13"/>
  <c r="AM35" i="13"/>
  <c r="U35" i="13"/>
  <c r="AM34" i="13" s="1"/>
  <c r="D48" i="13" s="1"/>
  <c r="AO34" i="13"/>
  <c r="U34" i="13"/>
  <c r="AO33" i="13"/>
  <c r="AM33" i="13"/>
  <c r="U33" i="13"/>
  <c r="AO32" i="13"/>
  <c r="AM32" i="13"/>
  <c r="U32" i="13"/>
  <c r="AO31" i="13"/>
  <c r="AM31" i="13"/>
  <c r="U31" i="13"/>
  <c r="I12" i="13"/>
  <c r="H12" i="13"/>
  <c r="G12" i="13"/>
  <c r="G14" i="13" s="1"/>
  <c r="L11" i="13"/>
  <c r="I11" i="13"/>
  <c r="H11" i="13"/>
  <c r="G11" i="13"/>
  <c r="L10" i="13"/>
  <c r="D47" i="12"/>
  <c r="D46" i="12"/>
  <c r="D45" i="12"/>
  <c r="F38" i="12"/>
  <c r="L10" i="12" s="1"/>
  <c r="AO37" i="12"/>
  <c r="AM37" i="12"/>
  <c r="U37" i="12"/>
  <c r="AO36" i="12"/>
  <c r="AM36" i="12"/>
  <c r="AH36" i="12"/>
  <c r="AE36" i="12"/>
  <c r="AB36" i="12"/>
  <c r="AL36" i="12" s="1"/>
  <c r="U36" i="12"/>
  <c r="AM35" i="12" s="1"/>
  <c r="AO35" i="12"/>
  <c r="U35" i="12"/>
  <c r="AM34" i="12" s="1"/>
  <c r="D48" i="12" s="1"/>
  <c r="G35" i="12"/>
  <c r="G38" i="12" s="1"/>
  <c r="AO34" i="12"/>
  <c r="U34" i="12"/>
  <c r="AO33" i="12"/>
  <c r="AM33" i="12"/>
  <c r="U33" i="12"/>
  <c r="F33" i="12"/>
  <c r="AO32" i="12"/>
  <c r="AM32" i="12"/>
  <c r="U32" i="12"/>
  <c r="AO31" i="12"/>
  <c r="AM31" i="12"/>
  <c r="U31" i="12"/>
  <c r="F31" i="12"/>
  <c r="I12" i="12"/>
  <c r="H12" i="12"/>
  <c r="G12" i="12"/>
  <c r="G14" i="12" s="1"/>
  <c r="L11" i="12"/>
  <c r="I11" i="12"/>
  <c r="H11" i="12"/>
  <c r="G11" i="12"/>
  <c r="AM25" i="11"/>
  <c r="AI25" i="11"/>
  <c r="AF25" i="11"/>
  <c r="AQ24" i="11"/>
  <c r="AM24" i="11"/>
  <c r="AI24" i="11"/>
  <c r="AF24" i="11"/>
  <c r="AI20" i="11"/>
  <c r="AF20" i="11"/>
  <c r="AI19" i="11"/>
  <c r="AF19" i="11"/>
  <c r="AI18" i="11"/>
  <c r="AF18" i="11"/>
  <c r="AM17" i="11"/>
  <c r="AI17" i="11"/>
  <c r="AG17" i="11"/>
  <c r="AF17" i="11"/>
  <c r="I19" i="10"/>
  <c r="I18" i="10"/>
  <c r="I17" i="10"/>
  <c r="F16" i="10"/>
  <c r="I16" i="10" s="1"/>
  <c r="F15" i="10"/>
  <c r="I15" i="10" s="1"/>
  <c r="M10" i="10" s="1"/>
  <c r="I14" i="10"/>
  <c r="I13" i="10"/>
  <c r="I12" i="10"/>
  <c r="I11" i="10"/>
  <c r="I10" i="10"/>
  <c r="I9" i="10"/>
  <c r="I8" i="10"/>
  <c r="I7" i="10"/>
  <c r="G38" i="9"/>
  <c r="F38" i="9"/>
  <c r="L10" i="9" s="1"/>
  <c r="Z37" i="9"/>
  <c r="X37" i="9"/>
  <c r="U37" i="9"/>
  <c r="AH36" i="9"/>
  <c r="AE36" i="9"/>
  <c r="AC36" i="9"/>
  <c r="AB36" i="9"/>
  <c r="AL36" i="9" s="1"/>
  <c r="U36" i="9"/>
  <c r="AC35" i="9"/>
  <c r="U35" i="9"/>
  <c r="AC34" i="9"/>
  <c r="U34" i="9"/>
  <c r="AC33" i="9"/>
  <c r="U33" i="9"/>
  <c r="AC32" i="9"/>
  <c r="U32" i="9"/>
  <c r="AC31" i="9"/>
  <c r="U31" i="9"/>
  <c r="T31" i="9"/>
  <c r="I12" i="9"/>
  <c r="H12" i="9"/>
  <c r="G12" i="9"/>
  <c r="G14" i="9" s="1"/>
  <c r="L11" i="9"/>
  <c r="I11" i="9"/>
  <c r="H11" i="9"/>
  <c r="G11" i="9"/>
  <c r="F38" i="8"/>
  <c r="L10" i="8" s="1"/>
  <c r="Z37" i="8"/>
  <c r="X37" i="8"/>
  <c r="U37" i="8"/>
  <c r="AH36" i="8"/>
  <c r="AE36" i="8"/>
  <c r="AC36" i="8"/>
  <c r="AB36" i="8"/>
  <c r="AL36" i="8" s="1"/>
  <c r="U36" i="8"/>
  <c r="AO35" i="8"/>
  <c r="AC35" i="8"/>
  <c r="AM35" i="8" s="1"/>
  <c r="U35" i="8"/>
  <c r="AC34" i="8"/>
  <c r="U34" i="8"/>
  <c r="AC33" i="8"/>
  <c r="U33" i="8"/>
  <c r="AC32" i="8"/>
  <c r="U32" i="8"/>
  <c r="AC31" i="8"/>
  <c r="U31" i="8"/>
  <c r="T31" i="8"/>
  <c r="I12" i="8"/>
  <c r="H12" i="8"/>
  <c r="G12" i="8"/>
  <c r="G14" i="8" s="1"/>
  <c r="L11" i="8"/>
  <c r="I11" i="8"/>
  <c r="H11" i="8"/>
  <c r="G11" i="8"/>
  <c r="F38" i="7"/>
  <c r="L10" i="7" s="1"/>
  <c r="Z37" i="7"/>
  <c r="X37" i="7"/>
  <c r="U37" i="7"/>
  <c r="AH36" i="7"/>
  <c r="AE36" i="7"/>
  <c r="AC36" i="7"/>
  <c r="U36" i="7"/>
  <c r="AC35" i="7"/>
  <c r="U35" i="7"/>
  <c r="AC34" i="7"/>
  <c r="U34" i="7"/>
  <c r="AC33" i="7"/>
  <c r="U33" i="7"/>
  <c r="AC32" i="7"/>
  <c r="U32" i="7"/>
  <c r="AC31" i="7"/>
  <c r="U31" i="7"/>
  <c r="T31" i="7"/>
  <c r="M17" i="7"/>
  <c r="I12" i="7"/>
  <c r="H12" i="7"/>
  <c r="G12" i="7"/>
  <c r="L11" i="7"/>
  <c r="I11" i="7"/>
  <c r="H11" i="7"/>
  <c r="G11" i="7"/>
  <c r="L42" i="6"/>
  <c r="F38" i="6"/>
  <c r="L10" i="6" s="1"/>
  <c r="Z37" i="6"/>
  <c r="X37" i="6"/>
  <c r="U37" i="6"/>
  <c r="AO36" i="6"/>
  <c r="AC36" i="6"/>
  <c r="AM36" i="6" s="1"/>
  <c r="U36" i="6"/>
  <c r="AC35" i="6"/>
  <c r="AC34" i="6"/>
  <c r="U34" i="6"/>
  <c r="AC33" i="6"/>
  <c r="U33" i="6"/>
  <c r="AC32" i="6"/>
  <c r="U32" i="6"/>
  <c r="AC31" i="6"/>
  <c r="U31" i="6"/>
  <c r="T31" i="6"/>
  <c r="I12" i="6"/>
  <c r="AH36" i="6" s="1"/>
  <c r="H12" i="6"/>
  <c r="AE36" i="6" s="1"/>
  <c r="G12" i="6"/>
  <c r="L11" i="6"/>
  <c r="I11" i="6"/>
  <c r="H11" i="6"/>
  <c r="G11" i="6"/>
  <c r="P5" i="6"/>
  <c r="F38" i="5"/>
  <c r="L10" i="5" s="1"/>
  <c r="AC37" i="5"/>
  <c r="Z37" i="5"/>
  <c r="X37" i="5"/>
  <c r="U37" i="5"/>
  <c r="AC36" i="5"/>
  <c r="U36" i="5"/>
  <c r="AC35" i="5"/>
  <c r="U35" i="5"/>
  <c r="AC34" i="5"/>
  <c r="U34" i="5"/>
  <c r="AC33" i="5"/>
  <c r="U33" i="5"/>
  <c r="AC32" i="5"/>
  <c r="U32" i="5"/>
  <c r="AC31" i="5"/>
  <c r="U31" i="5"/>
  <c r="I12" i="5"/>
  <c r="AH36" i="5" s="1"/>
  <c r="H12" i="5"/>
  <c r="AE36" i="5" s="1"/>
  <c r="G12" i="5"/>
  <c r="L11" i="5"/>
  <c r="I11" i="5"/>
  <c r="H11" i="5"/>
  <c r="G11" i="5"/>
  <c r="F38" i="4"/>
  <c r="AO37" i="4"/>
  <c r="AM37" i="4"/>
  <c r="U37" i="4"/>
  <c r="J37" i="4"/>
  <c r="AO36" i="4"/>
  <c r="AM36" i="4"/>
  <c r="D50" i="4" s="1"/>
  <c r="U36" i="4"/>
  <c r="J36" i="4"/>
  <c r="AO35" i="4"/>
  <c r="AM35" i="4"/>
  <c r="D49" i="4" s="1"/>
  <c r="U35" i="4"/>
  <c r="J35" i="4"/>
  <c r="AO34" i="4"/>
  <c r="AM34" i="4"/>
  <c r="D48" i="4" s="1"/>
  <c r="U34" i="4"/>
  <c r="J34" i="4"/>
  <c r="AO33" i="4"/>
  <c r="AM33" i="4"/>
  <c r="D47" i="4" s="1"/>
  <c r="U33" i="4"/>
  <c r="J33" i="4"/>
  <c r="AO32" i="4"/>
  <c r="AM32" i="4"/>
  <c r="D46" i="4" s="1"/>
  <c r="U32" i="4"/>
  <c r="J32" i="4"/>
  <c r="AO31" i="4"/>
  <c r="AM31" i="4"/>
  <c r="D45" i="4" s="1"/>
  <c r="U31" i="4"/>
  <c r="I12" i="4"/>
  <c r="AH36" i="4" s="1"/>
  <c r="H12" i="4"/>
  <c r="AE36" i="4" s="1"/>
  <c r="G12" i="4"/>
  <c r="L11" i="4"/>
  <c r="I11" i="4"/>
  <c r="H11" i="4"/>
  <c r="G11" i="4"/>
  <c r="L10" i="4"/>
  <c r="L33" i="1"/>
  <c r="K33" i="1"/>
  <c r="J33" i="1"/>
  <c r="F33" i="1"/>
  <c r="N32" i="1"/>
  <c r="M32" i="1"/>
  <c r="L32" i="1"/>
  <c r="K32" i="1"/>
  <c r="J32" i="1"/>
  <c r="F32" i="1"/>
  <c r="L31" i="1"/>
  <c r="K31" i="1"/>
  <c r="J31" i="1"/>
  <c r="F31" i="1"/>
  <c r="L30" i="1"/>
  <c r="K30" i="1"/>
  <c r="J30" i="1"/>
  <c r="F30" i="1"/>
  <c r="L29" i="1"/>
  <c r="K29" i="1"/>
  <c r="J29" i="1"/>
  <c r="F29" i="1"/>
  <c r="N21" i="1"/>
  <c r="M21" i="1"/>
  <c r="L21" i="1"/>
  <c r="K21" i="1"/>
  <c r="N20" i="1"/>
  <c r="M20" i="1"/>
  <c r="L20" i="1"/>
  <c r="K20" i="1"/>
  <c r="N19" i="1"/>
  <c r="M19" i="1"/>
  <c r="L19" i="1"/>
  <c r="K19" i="1"/>
  <c r="N18" i="1"/>
  <c r="M18" i="1"/>
  <c r="L18" i="1"/>
  <c r="K18" i="1"/>
  <c r="N17" i="1"/>
  <c r="M17" i="1"/>
  <c r="L17" i="1"/>
  <c r="K17" i="1"/>
  <c r="I18" i="3"/>
  <c r="I17" i="3"/>
  <c r="I16" i="3"/>
  <c r="I15" i="3"/>
  <c r="I14" i="3"/>
  <c r="I13" i="3"/>
  <c r="I12" i="3"/>
  <c r="I11" i="3"/>
  <c r="I10" i="3"/>
  <c r="I9" i="3"/>
  <c r="I8" i="3"/>
  <c r="AO36" i="27" l="1"/>
  <c r="AM36" i="27"/>
  <c r="AO35" i="27"/>
  <c r="AM35" i="27"/>
  <c r="AO34" i="27"/>
  <c r="AM34" i="27"/>
  <c r="AO33" i="27"/>
  <c r="AM33" i="27"/>
  <c r="AO32" i="27"/>
  <c r="AM32" i="27"/>
  <c r="D46" i="27" s="1"/>
  <c r="G14" i="27"/>
  <c r="AB36" i="27"/>
  <c r="AL36" i="27" s="1"/>
  <c r="D45" i="27"/>
  <c r="AO36" i="25"/>
  <c r="AM36" i="25"/>
  <c r="AM35" i="25"/>
  <c r="AO35" i="25"/>
  <c r="AO34" i="25"/>
  <c r="AM34" i="25"/>
  <c r="AO33" i="25"/>
  <c r="AM33" i="25"/>
  <c r="AO32" i="25"/>
  <c r="AM32" i="25"/>
  <c r="AM31" i="25"/>
  <c r="AO31" i="25"/>
  <c r="G14" i="25"/>
  <c r="AB36" i="25"/>
  <c r="AL36" i="25" s="1"/>
  <c r="AO36" i="22"/>
  <c r="AM36" i="22"/>
  <c r="AO35" i="22"/>
  <c r="AM35" i="22"/>
  <c r="AO34" i="22"/>
  <c r="AM34" i="22"/>
  <c r="AO33" i="22"/>
  <c r="AM33" i="22"/>
  <c r="AO32" i="22"/>
  <c r="AM32" i="22"/>
  <c r="AO31" i="22"/>
  <c r="AM31" i="22"/>
  <c r="D45" i="22" s="1"/>
  <c r="AB36" i="22"/>
  <c r="AL36" i="22" s="1"/>
  <c r="G14" i="22"/>
  <c r="AO36" i="20"/>
  <c r="AM36" i="20"/>
  <c r="AO35" i="20"/>
  <c r="AM35" i="20"/>
  <c r="AM34" i="20"/>
  <c r="D48" i="20" s="1"/>
  <c r="AO34" i="20"/>
  <c r="AO33" i="20"/>
  <c r="AM33" i="20"/>
  <c r="AM32" i="20"/>
  <c r="AO32" i="20"/>
  <c r="AO31" i="20"/>
  <c r="AM31" i="20"/>
  <c r="D45" i="20" s="1"/>
  <c r="AM36" i="19"/>
  <c r="AO36" i="19"/>
  <c r="AO35" i="19"/>
  <c r="AM35" i="19"/>
  <c r="AM34" i="19"/>
  <c r="AO34" i="19"/>
  <c r="AM33" i="19"/>
  <c r="AO33" i="19"/>
  <c r="AM32" i="19"/>
  <c r="AO32" i="19"/>
  <c r="AM31" i="19"/>
  <c r="AO31" i="19"/>
  <c r="AM36" i="21"/>
  <c r="AO36" i="21"/>
  <c r="AM35" i="21"/>
  <c r="AO35" i="21"/>
  <c r="AM34" i="21"/>
  <c r="AO34" i="21"/>
  <c r="AM33" i="21"/>
  <c r="AO33" i="21"/>
  <c r="AO32" i="21"/>
  <c r="AM32" i="21"/>
  <c r="AO31" i="21"/>
  <c r="AM31" i="21"/>
  <c r="D45" i="21" s="1"/>
  <c r="AO36" i="18"/>
  <c r="AM36" i="18"/>
  <c r="AO35" i="18"/>
  <c r="AM35" i="18"/>
  <c r="AO34" i="18"/>
  <c r="AM34" i="18"/>
  <c r="AO33" i="18"/>
  <c r="AM33" i="18"/>
  <c r="AM31" i="18"/>
  <c r="AO31" i="18"/>
  <c r="D46" i="18" s="1"/>
  <c r="AO36" i="17"/>
  <c r="AM36" i="17"/>
  <c r="AO35" i="17"/>
  <c r="AM35" i="17"/>
  <c r="AO34" i="17"/>
  <c r="AM34" i="17"/>
  <c r="AO32" i="17"/>
  <c r="AM32" i="17"/>
  <c r="AM31" i="17"/>
  <c r="AO31" i="17"/>
  <c r="D47" i="17" s="1"/>
  <c r="AO36" i="16"/>
  <c r="AM36" i="16"/>
  <c r="AO35" i="16"/>
  <c r="AM35" i="16"/>
  <c r="AM33" i="16"/>
  <c r="AO33" i="16"/>
  <c r="AO32" i="16"/>
  <c r="AM32" i="16"/>
  <c r="AO31" i="16"/>
  <c r="D48" i="16" s="1"/>
  <c r="AM31" i="16"/>
  <c r="D45" i="16" s="1"/>
  <c r="L7" i="10"/>
  <c r="K7" i="10"/>
  <c r="L13" i="10"/>
  <c r="M7" i="10"/>
  <c r="M13" i="10"/>
  <c r="K13" i="10"/>
  <c r="AO36" i="9"/>
  <c r="AM36" i="9"/>
  <c r="AO35" i="9"/>
  <c r="AM35" i="9"/>
  <c r="AO34" i="9"/>
  <c r="AM34" i="9"/>
  <c r="AM33" i="9"/>
  <c r="AO33" i="9"/>
  <c r="AO32" i="9"/>
  <c r="AM32" i="9"/>
  <c r="AM31" i="9"/>
  <c r="AO31" i="9"/>
  <c r="AG20" i="11"/>
  <c r="AM20" i="11"/>
  <c r="AO36" i="8"/>
  <c r="AM36" i="8"/>
  <c r="AM34" i="8"/>
  <c r="AO34" i="8"/>
  <c r="AM33" i="8"/>
  <c r="AO33" i="8"/>
  <c r="AO32" i="8"/>
  <c r="AM32" i="8"/>
  <c r="AM31" i="8"/>
  <c r="AO31" i="8"/>
  <c r="AG19" i="11"/>
  <c r="AM19" i="11"/>
  <c r="AM36" i="7"/>
  <c r="AO36" i="7"/>
  <c r="AO35" i="7"/>
  <c r="AM35" i="7"/>
  <c r="AO34" i="7"/>
  <c r="AM34" i="7"/>
  <c r="AM33" i="7"/>
  <c r="AO33" i="7"/>
  <c r="AM32" i="7"/>
  <c r="AO32" i="7"/>
  <c r="AO31" i="7"/>
  <c r="AM31" i="7"/>
  <c r="D44" i="7" s="1"/>
  <c r="AB36" i="7"/>
  <c r="AL36" i="7" s="1"/>
  <c r="G14" i="7"/>
  <c r="AO35" i="6"/>
  <c r="AM35" i="6"/>
  <c r="AM34" i="6"/>
  <c r="AO34" i="6"/>
  <c r="AM33" i="6"/>
  <c r="AO33" i="6"/>
  <c r="AM32" i="6"/>
  <c r="AO32" i="6"/>
  <c r="AM31" i="6"/>
  <c r="AO31" i="6"/>
  <c r="AB36" i="6"/>
  <c r="AL36" i="6" s="1"/>
  <c r="G14" i="6"/>
  <c r="AG18" i="11"/>
  <c r="AM18" i="11"/>
  <c r="AO36" i="5"/>
  <c r="AM36" i="5"/>
  <c r="AO35" i="5"/>
  <c r="AM35" i="5"/>
  <c r="AO34" i="5"/>
  <c r="AM34" i="5"/>
  <c r="AO33" i="5"/>
  <c r="AM33" i="5"/>
  <c r="AO32" i="5"/>
  <c r="AM32" i="5"/>
  <c r="AO31" i="5"/>
  <c r="AM31" i="5"/>
  <c r="D44" i="5" s="1"/>
  <c r="G14" i="5"/>
  <c r="AB36" i="5"/>
  <c r="AL36" i="5" s="1"/>
  <c r="AB36" i="4"/>
  <c r="AL36" i="4" s="1"/>
  <c r="G14" i="4"/>
  <c r="G15" i="4" s="1"/>
  <c r="N33" i="1"/>
  <c r="M33" i="1"/>
  <c r="M31" i="1"/>
  <c r="N31" i="1"/>
  <c r="N30" i="1"/>
  <c r="M30" i="1"/>
  <c r="N29" i="1"/>
  <c r="M29" i="1"/>
  <c r="D50" i="13"/>
  <c r="D49" i="13"/>
  <c r="D50" i="12"/>
  <c r="D49" i="12"/>
  <c r="D50" i="27" l="1"/>
  <c r="D49" i="27"/>
  <c r="D48" i="27"/>
  <c r="D47" i="27"/>
  <c r="D48" i="8"/>
  <c r="D47" i="8"/>
  <c r="D49" i="6"/>
  <c r="D48" i="6"/>
  <c r="H45" i="4"/>
  <c r="H46" i="4"/>
  <c r="H47" i="4"/>
  <c r="H48" i="4"/>
  <c r="H49" i="4"/>
  <c r="H50" i="4"/>
  <c r="AQ17" i="11" s="1"/>
  <c r="J16" i="4"/>
  <c r="G15" i="13"/>
  <c r="H50" i="13" s="1"/>
  <c r="G15" i="12"/>
  <c r="H50" i="12"/>
  <c r="D47" i="20"/>
  <c r="D46" i="20"/>
  <c r="D50" i="19"/>
  <c r="D49" i="19"/>
  <c r="D48" i="19"/>
  <c r="D47" i="19"/>
  <c r="D46" i="19"/>
  <c r="D45" i="19"/>
  <c r="D50" i="21"/>
  <c r="D49" i="21"/>
  <c r="D48" i="21"/>
  <c r="D47" i="21"/>
  <c r="D46" i="21"/>
  <c r="D50" i="18"/>
  <c r="D49" i="18"/>
  <c r="D48" i="18"/>
  <c r="D47" i="18"/>
  <c r="D45" i="18"/>
  <c r="D50" i="17"/>
  <c r="D49" i="17"/>
  <c r="D48" i="17"/>
  <c r="D46" i="17"/>
  <c r="D45" i="17"/>
  <c r="D50" i="16"/>
  <c r="D49" i="16"/>
  <c r="D47" i="16"/>
  <c r="D46" i="16"/>
  <c r="M15" i="10"/>
  <c r="D49" i="9"/>
  <c r="D48" i="9"/>
  <c r="D47" i="9"/>
  <c r="D46" i="9"/>
  <c r="D45" i="9"/>
  <c r="D44" i="9"/>
  <c r="D49" i="8"/>
  <c r="D46" i="8"/>
  <c r="D45" i="8"/>
  <c r="D44" i="8"/>
  <c r="D49" i="7"/>
  <c r="D48" i="7"/>
  <c r="D47" i="7"/>
  <c r="D46" i="7"/>
  <c r="D45" i="7"/>
  <c r="D47" i="6"/>
  <c r="D46" i="6"/>
  <c r="D45" i="6"/>
  <c r="D44" i="6"/>
  <c r="D49" i="5"/>
  <c r="D48" i="5"/>
  <c r="D47" i="5"/>
  <c r="D46" i="5"/>
  <c r="D45" i="5"/>
  <c r="D50" i="25"/>
  <c r="D49" i="25"/>
  <c r="D48" i="25"/>
  <c r="D47" i="25"/>
  <c r="D46" i="25"/>
  <c r="D45" i="25"/>
  <c r="D50" i="22"/>
  <c r="D49" i="22"/>
  <c r="D48" i="22"/>
  <c r="D47" i="22"/>
  <c r="D46" i="22"/>
  <c r="D50" i="20"/>
  <c r="D49" i="20"/>
  <c r="G15" i="27" l="1"/>
  <c r="H50" i="27"/>
  <c r="G15" i="6"/>
  <c r="H49" i="6"/>
  <c r="H49" i="13"/>
  <c r="H48" i="13"/>
  <c r="H45" i="13"/>
  <c r="H46" i="13"/>
  <c r="H47" i="13"/>
  <c r="J16" i="13"/>
  <c r="H49" i="12"/>
  <c r="H48" i="12"/>
  <c r="H45" i="12"/>
  <c r="H46" i="12"/>
  <c r="H47" i="12"/>
  <c r="J16" i="12"/>
  <c r="G15" i="19"/>
  <c r="H50" i="19" s="1"/>
  <c r="G15" i="21"/>
  <c r="H50" i="21" s="1"/>
  <c r="G15" i="18"/>
  <c r="H50" i="18" s="1"/>
  <c r="G15" i="17"/>
  <c r="H50" i="17" s="1"/>
  <c r="G15" i="16"/>
  <c r="H50" i="16" s="1"/>
  <c r="G15" i="9"/>
  <c r="I49" i="9" s="1"/>
  <c r="AQ25" i="11" s="1"/>
  <c r="G15" i="8"/>
  <c r="H49" i="8" s="1"/>
  <c r="AQ20" i="11" s="1"/>
  <c r="G15" i="7"/>
  <c r="H49" i="7"/>
  <c r="AQ19" i="11" s="1"/>
  <c r="G15" i="5"/>
  <c r="H49" i="5"/>
  <c r="AQ18" i="11" s="1"/>
  <c r="G15" i="25"/>
  <c r="H50" i="25"/>
  <c r="G15" i="22"/>
  <c r="H50" i="22"/>
  <c r="G15" i="20"/>
  <c r="H50" i="20" s="1"/>
  <c r="H47" i="27" l="1"/>
  <c r="H48" i="27"/>
  <c r="H49" i="27"/>
  <c r="H46" i="27"/>
  <c r="H45" i="27"/>
  <c r="J16" i="27"/>
  <c r="H44" i="6"/>
  <c r="H45" i="6"/>
  <c r="H46" i="6"/>
  <c r="H47" i="6"/>
  <c r="H48" i="6"/>
  <c r="H48" i="19"/>
  <c r="H45" i="19"/>
  <c r="H46" i="19"/>
  <c r="H47" i="19"/>
  <c r="H49" i="19"/>
  <c r="J16" i="19"/>
  <c r="H46" i="21"/>
  <c r="H47" i="21"/>
  <c r="H48" i="21"/>
  <c r="H49" i="21"/>
  <c r="H45" i="21"/>
  <c r="J16" i="21"/>
  <c r="H45" i="18"/>
  <c r="H47" i="18"/>
  <c r="H48" i="18"/>
  <c r="H49" i="18"/>
  <c r="H46" i="18"/>
  <c r="J16" i="18"/>
  <c r="H45" i="17"/>
  <c r="H46" i="17"/>
  <c r="H48" i="17"/>
  <c r="H49" i="17"/>
  <c r="H47" i="17"/>
  <c r="J16" i="17"/>
  <c r="H46" i="16"/>
  <c r="H47" i="16"/>
  <c r="H49" i="16"/>
  <c r="H45" i="16"/>
  <c r="H48" i="16"/>
  <c r="J16" i="16"/>
  <c r="I44" i="9"/>
  <c r="I46" i="9"/>
  <c r="I45" i="9"/>
  <c r="I47" i="9"/>
  <c r="I48" i="9"/>
  <c r="H15" i="9"/>
  <c r="H45" i="8"/>
  <c r="H44" i="8"/>
  <c r="H46" i="8"/>
  <c r="H47" i="8"/>
  <c r="H48" i="8"/>
  <c r="H48" i="7"/>
  <c r="H46" i="7"/>
  <c r="H45" i="7"/>
  <c r="H47" i="7"/>
  <c r="H44" i="7"/>
  <c r="H45" i="5"/>
  <c r="H48" i="5"/>
  <c r="H46" i="5"/>
  <c r="H47" i="5"/>
  <c r="H44" i="5"/>
  <c r="H48" i="25"/>
  <c r="H46" i="25"/>
  <c r="H45" i="25"/>
  <c r="H47" i="25"/>
  <c r="H49" i="25"/>
  <c r="J16" i="25"/>
  <c r="H47" i="22"/>
  <c r="H49" i="22"/>
  <c r="H46" i="22"/>
  <c r="H48" i="22"/>
  <c r="H45" i="22"/>
  <c r="J16" i="22"/>
  <c r="H47" i="20"/>
  <c r="H46" i="20"/>
  <c r="H49" i="20"/>
  <c r="H48" i="20"/>
  <c r="H45" i="20"/>
  <c r="J16" i="20"/>
</calcChain>
</file>

<file path=xl/sharedStrings.xml><?xml version="1.0" encoding="utf-8"?>
<sst xmlns="http://schemas.openxmlformats.org/spreadsheetml/2006/main" count="3408" uniqueCount="354">
  <si>
    <t>INFORMATION TESTWORK</t>
  </si>
  <si>
    <t>NO</t>
  </si>
  <si>
    <t>NAMA TESTWORK</t>
  </si>
  <si>
    <t>OLEH</t>
  </si>
  <si>
    <t>TANGGAL</t>
  </si>
  <si>
    <t>Variation Parameter</t>
  </si>
  <si>
    <t>Description</t>
  </si>
  <si>
    <t>LOCATION</t>
  </si>
  <si>
    <t>P80 75 mic, 1000 ppm, CIP 48 Hrs Sandios adsorption Test Activated Carbon 1200 C</t>
  </si>
  <si>
    <t>Geral Pinotoan</t>
  </si>
  <si>
    <t>22/07/2026-24/07/2026</t>
  </si>
  <si>
    <t>Carbon 2 Gpl , Carbon 1200 C</t>
  </si>
  <si>
    <t>ngetest carbon 1200 C, sebelumnya pakek DAVAO</t>
  </si>
  <si>
    <t>CARBON 1200 C - 2 GPL</t>
  </si>
  <si>
    <t>Analysist effectifity %passing 60% - 75 micron to increase Au from material with sandios 1000 ppm</t>
  </si>
  <si>
    <t>STANLEY</t>
  </si>
  <si>
    <t>26/07/2026-28/07/2026</t>
  </si>
  <si>
    <t>Passing 60%</t>
  </si>
  <si>
    <t>Gw test persen passing 60% karna dipabrik make ini, hasilnya jelek karena banyak material ngendap dibawah</t>
  </si>
  <si>
    <t>TW P60</t>
  </si>
  <si>
    <t xml:space="preserve">p80% -75 mic, 1000 ppm, CIP 48 hours Sandios adsorption test 1200 C 3 gpl </t>
  </si>
  <si>
    <t>27/07/2026-29/07/2026</t>
  </si>
  <si>
    <t>Carbon 3 Gpl , Carbon 1200 C</t>
  </si>
  <si>
    <t>Ngetest carbon dicoba 3 gpl karena hasil 2 gpl jelek, masih make karbon 1200 C</t>
  </si>
  <si>
    <t>CARBON 1200 C - 3 GPL</t>
  </si>
  <si>
    <t>c</t>
  </si>
  <si>
    <t>p80% -75 mic, 1000 ppm, CIP 48 hours Sandios adsorption test 1200 C activated carbon 2 gpl [RETEST]</t>
  </si>
  <si>
    <t>28/07/2026-30/07/2026</t>
  </si>
  <si>
    <t>Carbon 2 Gpl , Carbon 1200 C (Retest)</t>
  </si>
  <si>
    <t>test ulang carbon 1200 C dengan carbon 2 gpl, karena kemarin hasilnya buruk</t>
  </si>
  <si>
    <t>CARBON 1200 C - 2 GPL (RETEST)</t>
  </si>
  <si>
    <t>p70% -75 mic, 1000 ppm, CIP 48 hours 2 gpl with 1200 C carbon</t>
  </si>
  <si>
    <t>29/07/2026-31/07/2026</t>
  </si>
  <si>
    <t>Carbon 2 Gpl , Carbon 1200 C, Persen Passing 70%</t>
  </si>
  <si>
    <t>ini coba passing 75 % karena kemarin coba 60% jelek jadi ditest 75 %</t>
  </si>
  <si>
    <t>TW P70</t>
  </si>
  <si>
    <t>p80% -75 mic, 1000 ppm, CIP 48 hours Sandios adsorption test 1200 C 3 gpl  [RETEST]</t>
  </si>
  <si>
    <t>01/08/2026-03/08/2026</t>
  </si>
  <si>
    <t>Carbon 3 Gpl , Carbon 1200 C (Retest)</t>
  </si>
  <si>
    <t>test ulang carbon 1200 C dengan carbon 3 gpl, karena kemarin hasilnya buruk</t>
  </si>
  <si>
    <t>CARBON 1200 C - 3 GPL (RETEST)</t>
  </si>
  <si>
    <t>COLD ELUTION TEST TO DESORP CU AND FE</t>
  </si>
  <si>
    <t>LOADED CBN STRIP 2A , SANDIOS 5000 PPM</t>
  </si>
  <si>
    <t>Test Sandios 5000 ppm</t>
  </si>
  <si>
    <t>COLD ELUTION 5000 PPM</t>
  </si>
  <si>
    <t>LOADED CBN STRIP 2A , SANDIOS 10000 PPM</t>
  </si>
  <si>
    <t>Test Sandios 10000 ppm</t>
  </si>
  <si>
    <t>COLD ELUTION 10000 PPM</t>
  </si>
  <si>
    <t xml:space="preserve">Testwork CIP </t>
  </si>
  <si>
    <t>awal gw dateng cuma mau nyoba testwork (Belajar)</t>
  </si>
  <si>
    <t>TESTWORK LEACHING &amp; CIP'</t>
  </si>
  <si>
    <t>KRISNA, EKA</t>
  </si>
  <si>
    <t>TESTWORK LEACHING &amp; CIP - 2</t>
  </si>
  <si>
    <t>Testwork Variasi pH 8-9, Reagen Sandios</t>
  </si>
  <si>
    <t>pH 8-9</t>
  </si>
  <si>
    <t>variasi pH 8-9, tanpa ditambah limestone sama sekali, murni hanya ore aja</t>
  </si>
  <si>
    <t>CIP VARIASI PH 8-9</t>
  </si>
  <si>
    <t>Uji SMBS</t>
  </si>
  <si>
    <t>SMBS 1000 PPM</t>
  </si>
  <si>
    <t>Uji coba SMBS diakhir CIP selama 2 jam, cek pH dan ppm sandios setiap 15 menit</t>
  </si>
  <si>
    <t>TW CIP SMBS-1</t>
  </si>
  <si>
    <t>TW CIP SMBS-2</t>
  </si>
  <si>
    <t>Testwork Variasi pH 8-9, Reagen Sandios [RETEST]</t>
  </si>
  <si>
    <t>[RETEST] hasil sebelumnya bagus, jadi coba lagi variasi pH 8-9, tanpa ditambah limestone sama sekali, murni hanya ore aja</t>
  </si>
  <si>
    <t>CIP VARIASI PH 8-9 (RETEST)</t>
  </si>
  <si>
    <t>Uji coba Titrasi Sandios</t>
  </si>
  <si>
    <t>PPM SANDIOS</t>
  </si>
  <si>
    <t>Pengen tau titrasi sandios yang akurat untuk menentukan hasil pembacaan, soalnya sandios banyak kandungan lain lain</t>
  </si>
  <si>
    <t>UJI COBA TITRASI SANDIOS</t>
  </si>
  <si>
    <t>Mencari Persen Passing Pulverizer terhadap waktu</t>
  </si>
  <si>
    <t>Waktu (Second)</t>
  </si>
  <si>
    <t>Ore baru hasil crushing, pengen cari berapa waktu yang dibutuhkan untuk pulverizer</t>
  </si>
  <si>
    <t>PERSEN PASSING</t>
  </si>
  <si>
    <t>Report Testwork CIP</t>
  </si>
  <si>
    <t>report  testwork CIP, variasi pH 8-9, uji SMBS</t>
  </si>
  <si>
    <t>REPORT ALL TESTWORK</t>
  </si>
  <si>
    <t>TEST TERDAHULU</t>
  </si>
  <si>
    <t>No</t>
  </si>
  <si>
    <t>Oleh</t>
  </si>
  <si>
    <t>Bottle Roll test 1500 PPM Sandios</t>
  </si>
  <si>
    <t>Dyan Amanda</t>
  </si>
  <si>
    <t>Sandios 1500 PPM; No carbon</t>
  </si>
  <si>
    <t>BOTTLE ROLL TEST 1500 PPM SANDIOS</t>
  </si>
  <si>
    <t>HOPPER</t>
  </si>
  <si>
    <t>CONE CRUSHER</t>
  </si>
  <si>
    <t>JAW CRUSHER</t>
  </si>
  <si>
    <t>BELT CONVEYOR</t>
  </si>
  <si>
    <t>r</t>
  </si>
  <si>
    <t>Daily Log Sheet %Moisture Processing Plant</t>
  </si>
  <si>
    <t>Tanggal</t>
  </si>
  <si>
    <t>BT (Berat Tray)</t>
  </si>
  <si>
    <t>WET</t>
  </si>
  <si>
    <t>DRY</t>
  </si>
  <si>
    <t>%MOISTURE</t>
  </si>
  <si>
    <t>KETERANGAN</t>
  </si>
  <si>
    <t>29/4/2026</t>
  </si>
  <si>
    <t>Day Shift</t>
  </si>
  <si>
    <t>Night Shift</t>
  </si>
  <si>
    <t>24/06/2026</t>
  </si>
  <si>
    <t>LOG SHEET PENGUJIAN TITRASI SANDIOS</t>
  </si>
  <si>
    <t>Date</t>
  </si>
  <si>
    <t>PIC</t>
  </si>
  <si>
    <t>Eka, Krisna, Stanley</t>
  </si>
  <si>
    <t>PIC MET</t>
  </si>
  <si>
    <t>Dyan bujanginam</t>
  </si>
  <si>
    <t>Solutin(ml)</t>
  </si>
  <si>
    <t>ppm</t>
  </si>
  <si>
    <t>sandios(gr)</t>
  </si>
  <si>
    <t>pH</t>
  </si>
  <si>
    <t>Aktual Titration AgNO3 (ml)</t>
  </si>
  <si>
    <t>ppm by calculation x 100</t>
  </si>
  <si>
    <t>PPM by sandios empiris</t>
  </si>
  <si>
    <t>ppm * 4</t>
  </si>
  <si>
    <t>const by actual</t>
  </si>
  <si>
    <t>const by empiris</t>
  </si>
  <si>
    <t>const by x4</t>
  </si>
  <si>
    <t>METALLURGICAL TESTWORK</t>
  </si>
  <si>
    <t>no</t>
  </si>
  <si>
    <t>METHOD STORE UNITS</t>
  </si>
  <si>
    <t>Aqua Regia</t>
  </si>
  <si>
    <t>CN Extraction</t>
  </si>
  <si>
    <t>TEST BY</t>
  </si>
  <si>
    <t>:</t>
  </si>
  <si>
    <t>Eka Tumandulak</t>
  </si>
  <si>
    <t>SAMPLE ID</t>
  </si>
  <si>
    <t>Weight</t>
  </si>
  <si>
    <t>Au</t>
  </si>
  <si>
    <t>Ag</t>
  </si>
  <si>
    <t>Cu</t>
  </si>
  <si>
    <t>TEST DESCRIPTION</t>
  </si>
  <si>
    <t>Awal gw dateng cuma mau nyoba testwork</t>
  </si>
  <si>
    <t>gram</t>
  </si>
  <si>
    <t>DATE</t>
  </si>
  <si>
    <t>Rabu</t>
  </si>
  <si>
    <t>TW HG STAN 1</t>
  </si>
  <si>
    <t>ORE</t>
  </si>
  <si>
    <t>Vein SR June 2026</t>
  </si>
  <si>
    <t>TW HG STAN 2</t>
  </si>
  <si>
    <t>TW HG STAN 3</t>
  </si>
  <si>
    <t>TestWork</t>
  </si>
  <si>
    <t>Assay (PPM)</t>
  </si>
  <si>
    <t>Reagen Consumptions</t>
  </si>
  <si>
    <t>TW HG STAN 3-C</t>
  </si>
  <si>
    <t>11-11.5</t>
  </si>
  <si>
    <t>Lime</t>
  </si>
  <si>
    <t>kg/ton</t>
  </si>
  <si>
    <t>TW SLT STAN 1</t>
  </si>
  <si>
    <t>Sandios (PPM)</t>
  </si>
  <si>
    <t>Head Grade</t>
  </si>
  <si>
    <t>Sandios</t>
  </si>
  <si>
    <t>TW SLT STAN 2</t>
  </si>
  <si>
    <t>%Solid</t>
  </si>
  <si>
    <t>Tails</t>
  </si>
  <si>
    <t>Floculant</t>
  </si>
  <si>
    <t>TW SLT STAN 3</t>
  </si>
  <si>
    <t>%75 micron</t>
  </si>
  <si>
    <t>TW SLT STAN 3-C</t>
  </si>
  <si>
    <t>Dissolved Oxygen</t>
  </si>
  <si>
    <t>-</t>
  </si>
  <si>
    <t>Avg.Tails, ug</t>
  </si>
  <si>
    <t>SLN 2 hr</t>
  </si>
  <si>
    <t>SG Ore</t>
  </si>
  <si>
    <t>Calculated Head grade, ug</t>
  </si>
  <si>
    <t>SLN 4 hr</t>
  </si>
  <si>
    <t>SG Slurry</t>
  </si>
  <si>
    <t>SLN 8 hr</t>
  </si>
  <si>
    <t>Carbon (gpl)</t>
  </si>
  <si>
    <t>SLN 12 hr</t>
  </si>
  <si>
    <t>Leach Time</t>
  </si>
  <si>
    <t>Carbon Head</t>
  </si>
  <si>
    <t>SLN 24 hr</t>
  </si>
  <si>
    <t>Berat Vessel (gr)</t>
  </si>
  <si>
    <t>Carbon Assay After Leaching</t>
  </si>
  <si>
    <t>SLN 48 hr</t>
  </si>
  <si>
    <t>Solid (gr)</t>
  </si>
  <si>
    <t>Solution (ml)</t>
  </si>
  <si>
    <t>Slurry (ml)</t>
  </si>
  <si>
    <t>Final Residue (gr)</t>
  </si>
  <si>
    <t>Leaching Monitoring</t>
  </si>
  <si>
    <t>LEACH REACTOR</t>
  </si>
  <si>
    <t>ASSAY SAMPLE</t>
  </si>
  <si>
    <t>ASSAY RESULT</t>
  </si>
  <si>
    <t>Au Contain ugram</t>
  </si>
  <si>
    <t>Ag Content ugram</t>
  </si>
  <si>
    <t>Cu Content ugram</t>
  </si>
  <si>
    <t>Time</t>
  </si>
  <si>
    <t>Reagen Addition</t>
  </si>
  <si>
    <t>DO</t>
  </si>
  <si>
    <t>Sandios (ppm)</t>
  </si>
  <si>
    <t>Berat Slurry</t>
  </si>
  <si>
    <t>Vol Leach Reactor</t>
  </si>
  <si>
    <t>Vol. Sampling Solution</t>
  </si>
  <si>
    <t>SOLID</t>
  </si>
  <si>
    <t>SOLUTION</t>
  </si>
  <si>
    <t>CARBON</t>
  </si>
  <si>
    <t>Leach Reactor</t>
  </si>
  <si>
    <t>Assay Sample</t>
  </si>
  <si>
    <t>Carbon</t>
  </si>
  <si>
    <t xml:space="preserve">SOLUTION </t>
  </si>
  <si>
    <t>Sld, ug</t>
  </si>
  <si>
    <t>Sln,ug</t>
  </si>
  <si>
    <t>Sln, ug</t>
  </si>
  <si>
    <t>Hours</t>
  </si>
  <si>
    <t>Sandios (gr)</t>
  </si>
  <si>
    <t>Lime (gr)</t>
  </si>
  <si>
    <t>Carbon  (gr)</t>
  </si>
  <si>
    <t>Before</t>
  </si>
  <si>
    <t>After</t>
  </si>
  <si>
    <t>ml</t>
  </si>
  <si>
    <t>gr</t>
  </si>
  <si>
    <t>Total (gr)</t>
  </si>
  <si>
    <t>NaCN Final Solution (gr)</t>
  </si>
  <si>
    <t>metal content</t>
  </si>
  <si>
    <t>metal extraction</t>
  </si>
  <si>
    <t>ug</t>
  </si>
  <si>
    <t>%</t>
  </si>
  <si>
    <t>Krisna</t>
  </si>
  <si>
    <t>TW HG PUR 1</t>
  </si>
  <si>
    <t>TW HG PUR 2</t>
  </si>
  <si>
    <t>TW HG PUR 3</t>
  </si>
  <si>
    <t>TW HG PUR 3-C</t>
  </si>
  <si>
    <t>TW SLT PUR 1</t>
  </si>
  <si>
    <t>TW SLT PUR 2</t>
  </si>
  <si>
    <t>TW SLT PUR 3</t>
  </si>
  <si>
    <t>TW SLT PUR 3-C</t>
  </si>
  <si>
    <t>Variasi pH 8-9</t>
  </si>
  <si>
    <t>Sabtu, 27 June 2026</t>
  </si>
  <si>
    <t>TW HG CRUSHER C1</t>
  </si>
  <si>
    <t>TW HG CRUSHER C2</t>
  </si>
  <si>
    <t>TW HG CRUSHER C3</t>
  </si>
  <si>
    <t>TW HG CRUSHER C3-C</t>
  </si>
  <si>
    <t>8.0 - 9.0</t>
  </si>
  <si>
    <t>TW SLT CRUSHER C1</t>
  </si>
  <si>
    <t>TW SLT CRUSHER C2</t>
  </si>
  <si>
    <t>TW SLT CRUSHER C3</t>
  </si>
  <si>
    <t>TW SLT CRUSHER C3-C</t>
  </si>
  <si>
    <t>RECOVERY TANPA CALCULATE</t>
  </si>
  <si>
    <t>GERAL</t>
  </si>
  <si>
    <t>ORE BARU UJI SMBS</t>
  </si>
  <si>
    <t>TW HG CRUSHER A 1</t>
  </si>
  <si>
    <t>TW HG CRUSHER A 2</t>
  </si>
  <si>
    <t>TW HG CRUSHER A 3</t>
  </si>
  <si>
    <t>TW HG CRUSHER A 3-C</t>
  </si>
  <si>
    <t>TW SLT CRUSHER A 1</t>
  </si>
  <si>
    <t>TW SLT CRUSHER A 2</t>
  </si>
  <si>
    <t>TW SLT CRUSHER A 3</t>
  </si>
  <si>
    <t>TW SLT CRUSHER A 3-C</t>
  </si>
  <si>
    <t>SETELAH 48 LEACHING</t>
  </si>
  <si>
    <t>UJI</t>
  </si>
  <si>
    <t>SANDIOS</t>
  </si>
  <si>
    <t>MINUTES</t>
  </si>
  <si>
    <t>KRISNA N EKA</t>
  </si>
  <si>
    <t>TW HG CRUSHER B 1</t>
  </si>
  <si>
    <t>TW HG CRUSHER B 2</t>
  </si>
  <si>
    <t>TW HG CRUSHER B 3</t>
  </si>
  <si>
    <t>TW HG CRUSHER B 3-C</t>
  </si>
  <si>
    <t>TW SLT CRUSHER B 1</t>
  </si>
  <si>
    <t>TW SLT CRUSHER B 2</t>
  </si>
  <si>
    <t>TW SLT CRUSHER B 3</t>
  </si>
  <si>
    <t>TW SLT CRUSHER B 3-C</t>
  </si>
  <si>
    <t>UJI COBA KEDUA KALI PH 8-9</t>
  </si>
  <si>
    <t>TW HG SR D 1</t>
  </si>
  <si>
    <t>TW HG SR D 2</t>
  </si>
  <si>
    <t>TW HG SR D 3</t>
  </si>
  <si>
    <t>8-9</t>
  </si>
  <si>
    <t>TW HG SR D 3-C</t>
  </si>
  <si>
    <t>TW SLT SR D 1</t>
  </si>
  <si>
    <t>TW SLT SR D 2</t>
  </si>
  <si>
    <t>TW SLT SR D 3</t>
  </si>
  <si>
    <t>Error Calculate</t>
  </si>
  <si>
    <t>TW SLT SR D 3-C</t>
  </si>
  <si>
    <t>SR JUNI 2026</t>
  </si>
  <si>
    <t>DARI CRUSHER</t>
  </si>
  <si>
    <t>SIZING ORE BARU</t>
  </si>
  <si>
    <t>Berat Tray</t>
  </si>
  <si>
    <t>Berat sampel awal (gr)</t>
  </si>
  <si>
    <t>Berat Sampel Akhir (gr)</t>
  </si>
  <si>
    <t>Ukuran Sieve (Mikron)</t>
  </si>
  <si>
    <t>Waktu Pulverize (sec)</t>
  </si>
  <si>
    <t>%passing</t>
  </si>
  <si>
    <t>Intercept</t>
  </si>
  <si>
    <t>slope</t>
  </si>
  <si>
    <t>r2</t>
  </si>
  <si>
    <t>SLOPE</t>
  </si>
  <si>
    <t>INTR</t>
  </si>
  <si>
    <t>Linear</t>
  </si>
  <si>
    <t>Exponensial</t>
  </si>
  <si>
    <t>Logaritmik</t>
  </si>
  <si>
    <t>METALLURGY</t>
  </si>
  <si>
    <t>MATERIAL</t>
  </si>
  <si>
    <t>Stock Rom Vein May 2026</t>
  </si>
  <si>
    <t>REAGEN CONSUMTION</t>
  </si>
  <si>
    <t>REAGEN ADDITIONAL</t>
  </si>
  <si>
    <t>METAL EXTRACTION</t>
  </si>
  <si>
    <t>ID TEST</t>
  </si>
  <si>
    <t>SANDIOS (Kg/t)</t>
  </si>
  <si>
    <t>LIMESTONE (kg/t)</t>
  </si>
  <si>
    <t>DESCRIPTION</t>
  </si>
  <si>
    <t xml:space="preserve">TANGGAL </t>
  </si>
  <si>
    <t xml:space="preserve">ID TEST </t>
  </si>
  <si>
    <t>AU</t>
  </si>
  <si>
    <t>CIP 1</t>
  </si>
  <si>
    <t>ini yg pertama kali datang</t>
  </si>
  <si>
    <t>CIP 2</t>
  </si>
  <si>
    <t>ini yg pertama kali gw datang</t>
  </si>
  <si>
    <t>CIP 3</t>
  </si>
  <si>
    <t>uji smbs by geral</t>
  </si>
  <si>
    <t>CIP 4</t>
  </si>
  <si>
    <t>uji smbs by krisna &amp;eka</t>
  </si>
  <si>
    <t>CIP PH 8-9 1</t>
  </si>
  <si>
    <t>test pH 8-9</t>
  </si>
  <si>
    <t>CIP PH 8-9 2</t>
  </si>
  <si>
    <t>p80% -75 mic, 1000 ppm, CIP 48 hours Sandios adsorption test 1200 C activated carbon</t>
  </si>
  <si>
    <t>TW HG 1200 C 1</t>
  </si>
  <si>
    <t>Vein SR May 2026</t>
  </si>
  <si>
    <t>TW HG 1200 C 2</t>
  </si>
  <si>
    <t>TW HG 1200 C 3</t>
  </si>
  <si>
    <t>TW HG 1200 C 3-C</t>
  </si>
  <si>
    <t>10-11</t>
  </si>
  <si>
    <t>TW HG 1200 C 3GPL - 1</t>
  </si>
  <si>
    <t>TW HG 1200 C 3GPL - 2</t>
  </si>
  <si>
    <t>TW HG 1200 C 3GPL - 3</t>
  </si>
  <si>
    <t>TW SLT 1200 C 3GPL 1</t>
  </si>
  <si>
    <t>TW SLT 1200 C 3GPL 2</t>
  </si>
  <si>
    <t>TW SLT 1200 C 3GPL 3</t>
  </si>
  <si>
    <t>Recovery Last</t>
  </si>
  <si>
    <t>Dyan amaanda</t>
  </si>
  <si>
    <t>METALLURGY TEST WORK</t>
  </si>
  <si>
    <t>GERALD PINOTOAN</t>
  </si>
  <si>
    <t>DECRIPTION TEST</t>
  </si>
  <si>
    <t xml:space="preserve">MATERIAL </t>
  </si>
  <si>
    <t>LOADED CBN STRIP 2A</t>
  </si>
  <si>
    <t>Parameter Proses</t>
  </si>
  <si>
    <t>13-14</t>
  </si>
  <si>
    <t>CN (ppm)</t>
  </si>
  <si>
    <t>Weight Carbon (gr)</t>
  </si>
  <si>
    <t>Volume Carbon (ml)</t>
  </si>
  <si>
    <t>Bed Volume</t>
  </si>
  <si>
    <t>Log Sheet Monitoring Process</t>
  </si>
  <si>
    <t>Assay Lab Result</t>
  </si>
  <si>
    <t>Metal Content</t>
  </si>
  <si>
    <t>%Desorption</t>
  </si>
  <si>
    <t>Time Process (min)</t>
  </si>
  <si>
    <t>Reagent Additional gr</t>
  </si>
  <si>
    <t>NaCN (ppm)</t>
  </si>
  <si>
    <t>Vol Sampling Solution</t>
  </si>
  <si>
    <t>NaOH</t>
  </si>
  <si>
    <t>NaCN</t>
  </si>
  <si>
    <t>Loaded Carbon Calculation ug</t>
  </si>
  <si>
    <t>Head Carbon Assay</t>
  </si>
  <si>
    <t>COLD ELUTION TEST TO DESORP CU AND FE 5000 PPM SANDIOS</t>
  </si>
  <si>
    <t>JACK THE RIPPER</t>
  </si>
  <si>
    <t>TEST CARBON LOADING</t>
  </si>
  <si>
    <t>STOCK ROM AGUSTUS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</si>
</sst>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mm/dd/yy"/>
    <numFmt numFmtId="165" formatCode="0.000"/>
    <numFmt numFmtId="166" formatCode="0.00000"/>
    <numFmt numFmtId="167" formatCode="0.0"/>
    <numFmt numFmtId="168" formatCode="0.000_ "/>
  </numFmts>
  <fonts count="13">
    <font>
      <sz val="11"/>
      <name val="Arial"/>
      <charset val="1"/>
    </font>
    <font>
      <sz val="11"/>
      <color theme="1"/>
      <name val="Arial"/>
      <charset val="134"/>
    </font>
    <font>
      <b/>
      <sz val="11"/>
      <color theme="1"/>
      <name val="Arial"/>
      <charset val="134"/>
    </font>
    <font>
      <b/>
      <sz val="11"/>
      <name val="Arial"/>
      <charset val="1"/>
    </font>
    <font>
      <sz val="10"/>
      <name val="Arial"/>
      <charset val="134"/>
    </font>
    <font>
      <sz val="11"/>
      <color theme="0"/>
      <name val="Arial"/>
      <charset val="1"/>
    </font>
    <font>
      <b/>
      <sz val="11"/>
      <color rgb="FFFFFFFF"/>
      <name val="Arial"/>
      <charset val="1"/>
    </font>
    <font>
      <sz val="11"/>
      <color rgb="FF000000"/>
      <name val="Arial"/>
      <charset val="134"/>
    </font>
    <font>
      <sz val="24"/>
      <name val="Arial"/>
      <charset val="1"/>
    </font>
    <font>
      <sz val="26"/>
      <name val="Arial"/>
      <charset val="1"/>
    </font>
    <font>
      <sz val="11"/>
      <color rgb="FF000000"/>
      <name val="Arial"/>
      <charset val="1"/>
    </font>
    <font>
      <u/>
      <sz val="11"/>
      <color rgb="FF800080"/>
      <name val="Calibri"/>
      <scheme val="minor"/>
    </font>
    <font>
      <u/>
      <sz val="11"/>
      <color rgb="FF0000FF"/>
      <name val="Calibri"/>
      <scheme val="minor"/>
    </font>
  </fonts>
  <fills count="3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rgb="FFF6F9D4"/>
      </patternFill>
    </fill>
    <fill>
      <patternFill patternType="solid">
        <fgColor rgb="FFFF99CC"/>
        <bgColor rgb="FFCC99FF"/>
      </patternFill>
    </fill>
    <fill>
      <patternFill patternType="solid">
        <fgColor rgb="FFFFCC99"/>
        <bgColor rgb="FFFFDE59"/>
      </patternFill>
    </fill>
    <fill>
      <patternFill patternType="solid">
        <fgColor theme="8" tint="-0.249977111117893"/>
        <bgColor rgb="FFF6F9D4"/>
      </patternFill>
    </fill>
    <fill>
      <patternFill patternType="solid">
        <fgColor rgb="FFFF9900"/>
        <bgColor rgb="FFFF860D"/>
      </patternFill>
    </fill>
    <fill>
      <patternFill patternType="solid">
        <fgColor rgb="FFFFCC00"/>
        <bgColor rgb="FFFFD320"/>
      </patternFill>
    </fill>
    <fill>
      <patternFill patternType="solid">
        <fgColor rgb="FFFFE5E5"/>
        <bgColor rgb="FFF6F9D4"/>
      </patternFill>
    </fill>
    <fill>
      <patternFill patternType="solid">
        <fgColor rgb="FF6600CC"/>
        <bgColor rgb="FF800080"/>
      </patternFill>
    </fill>
    <fill>
      <patternFill patternType="solid">
        <fgColor rgb="FF99CCFF"/>
        <bgColor rgb="FFCCCCFF"/>
      </patternFill>
    </fill>
    <fill>
      <patternFill patternType="solid">
        <fgColor rgb="FFCCFFFF"/>
        <bgColor rgb="FFF6F9D4"/>
      </patternFill>
    </fill>
    <fill>
      <patternFill patternType="solid">
        <fgColor rgb="FFFF0000"/>
        <bgColor rgb="FFFF420E"/>
      </patternFill>
    </fill>
    <fill>
      <patternFill patternType="solid">
        <fgColor rgb="FF65FF65"/>
        <bgColor rgb="FFBBE33D"/>
      </patternFill>
    </fill>
    <fill>
      <patternFill patternType="solid">
        <fgColor rgb="FF99CC00"/>
        <bgColor rgb="FFBBE33D"/>
      </patternFill>
    </fill>
    <fill>
      <patternFill patternType="solid">
        <fgColor rgb="FFC0C0C0"/>
        <bgColor rgb="FFCCCCCC"/>
      </patternFill>
    </fill>
    <fill>
      <patternFill patternType="solid">
        <fgColor rgb="FFCCCCFF"/>
        <bgColor rgb="FFCCCCCC"/>
      </patternFill>
    </fill>
    <fill>
      <patternFill patternType="solid">
        <fgColor rgb="FFFFFFFF"/>
        <bgColor indexed="64"/>
      </patternFill>
    </fill>
    <fill>
      <patternFill patternType="solid">
        <fgColor theme="8" tint="0.59999389629810485"/>
        <bgColor rgb="FFF6F9D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</fills>
  <borders count="70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/>
      <bottom/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medium">
        <color auto="1"/>
      </left>
      <right style="thick">
        <color auto="1"/>
      </right>
      <top style="medium">
        <color auto="1"/>
      </top>
      <bottom/>
      <diagonal/>
    </border>
    <border>
      <left style="thick">
        <color auto="1"/>
      </left>
      <right style="thick">
        <color auto="1"/>
      </right>
      <top style="medium">
        <color auto="1"/>
      </top>
      <bottom/>
      <diagonal/>
    </border>
    <border>
      <left style="thick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</borders>
  <cellStyleXfs count="3">
    <xf numFmtId="0" fontId="0" fillId="0" borderId="0">
      <alignment vertical="center"/>
    </xf>
    <xf numFmtId="9" fontId="4" fillId="0" borderId="0" applyBorder="0" applyAlignment="0" applyProtection="0"/>
    <xf numFmtId="0" fontId="12" fillId="0" borderId="0" applyNumberFormat="0" applyFill="0" applyBorder="0" applyAlignment="0" applyProtection="0">
      <alignment vertical="center"/>
    </xf>
  </cellStyleXfs>
  <cellXfs count="492">
    <xf numFmtId="0" fontId="0" fillId="0" borderId="0" xfId="0">
      <alignment vertical="center"/>
    </xf>
    <xf numFmtId="0" fontId="1" fillId="2" borderId="3" xfId="0" applyFont="1" applyFill="1" applyBorder="1" applyAlignment="1"/>
    <xf numFmtId="0" fontId="1" fillId="2" borderId="0" xfId="0" applyFont="1" applyFill="1" applyAlignment="1"/>
    <xf numFmtId="0" fontId="1" fillId="3" borderId="3" xfId="0" applyFont="1" applyFill="1" applyBorder="1" applyAlignment="1"/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1" fillId="2" borderId="3" xfId="0" applyFont="1" applyFill="1" applyBorder="1" applyAlignment="1">
      <alignment horizontal="left"/>
    </xf>
    <xf numFmtId="0" fontId="1" fillId="2" borderId="0" xfId="0" applyFont="1" applyFill="1" applyAlignment="1">
      <alignment horizontal="center"/>
    </xf>
    <xf numFmtId="0" fontId="1" fillId="2" borderId="7" xfId="0" applyFont="1" applyFill="1" applyBorder="1" applyAlignment="1">
      <alignment horizontal="left"/>
    </xf>
    <xf numFmtId="0" fontId="0" fillId="0" borderId="8" xfId="0" applyBorder="1">
      <alignment vertical="center"/>
    </xf>
    <xf numFmtId="0" fontId="2" fillId="4" borderId="10" xfId="0" applyFont="1" applyFill="1" applyBorder="1" applyAlignment="1">
      <alignment horizontal="center"/>
    </xf>
    <xf numFmtId="0" fontId="1" fillId="2" borderId="12" xfId="0" applyFont="1" applyFill="1" applyBorder="1" applyAlignment="1">
      <alignment horizontal="center"/>
    </xf>
    <xf numFmtId="0" fontId="1" fillId="2" borderId="10" xfId="0" applyFont="1" applyFill="1" applyBorder="1" applyAlignment="1">
      <alignment horizont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1" fillId="2" borderId="7" xfId="0" applyFont="1" applyFill="1" applyBorder="1" applyAlignment="1"/>
    <xf numFmtId="0" fontId="2" fillId="4" borderId="15" xfId="0" applyFont="1" applyFill="1" applyBorder="1" applyAlignment="1">
      <alignment horizontal="center"/>
    </xf>
    <xf numFmtId="0" fontId="2" fillId="6" borderId="12" xfId="0" applyFont="1" applyFill="1" applyBorder="1" applyAlignment="1">
      <alignment horizontal="center"/>
    </xf>
    <xf numFmtId="0" fontId="1" fillId="2" borderId="15" xfId="0" applyFont="1" applyFill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0" fillId="0" borderId="17" xfId="0" applyBorder="1" applyAlignment="1">
      <alignment horizontal="center" vertical="center"/>
    </xf>
    <xf numFmtId="0" fontId="3" fillId="7" borderId="9" xfId="0" applyFont="1" applyFill="1" applyBorder="1" applyAlignment="1">
      <alignment horizontal="center" vertical="center"/>
    </xf>
    <xf numFmtId="0" fontId="2" fillId="6" borderId="10" xfId="0" applyFont="1" applyFill="1" applyBorder="1" applyAlignment="1">
      <alignment horizontal="center"/>
    </xf>
    <xf numFmtId="0" fontId="2" fillId="6" borderId="15" xfId="0" applyFont="1" applyFill="1" applyBorder="1" applyAlignment="1">
      <alignment horizontal="center"/>
    </xf>
    <xf numFmtId="0" fontId="3" fillId="8" borderId="11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1" fillId="2" borderId="14" xfId="0" applyFont="1" applyFill="1" applyBorder="1" applyAlignment="1">
      <alignment horizontal="center"/>
    </xf>
    <xf numFmtId="0" fontId="1" fillId="2" borderId="17" xfId="0" applyFont="1" applyFill="1" applyBorder="1" applyAlignment="1">
      <alignment horizontal="center"/>
    </xf>
    <xf numFmtId="0" fontId="3" fillId="7" borderId="23" xfId="0" applyFont="1" applyFill="1" applyBorder="1" applyAlignment="1">
      <alignment horizontal="center" vertical="center"/>
    </xf>
    <xf numFmtId="0" fontId="3" fillId="7" borderId="24" xfId="0" applyFont="1" applyFill="1" applyBorder="1" applyAlignment="1">
      <alignment horizontal="center" vertical="center"/>
    </xf>
    <xf numFmtId="0" fontId="2" fillId="9" borderId="9" xfId="0" applyFont="1" applyFill="1" applyBorder="1" applyAlignment="1">
      <alignment horizontal="center"/>
    </xf>
    <xf numFmtId="0" fontId="3" fillId="8" borderId="25" xfId="0" applyFont="1" applyFill="1" applyBorder="1" applyAlignment="1">
      <alignment horizontal="center" vertical="center"/>
    </xf>
    <xf numFmtId="0" fontId="3" fillId="8" borderId="26" xfId="0" applyFont="1" applyFill="1" applyBorder="1" applyAlignment="1">
      <alignment horizontal="center" vertical="center"/>
    </xf>
    <xf numFmtId="0" fontId="3" fillId="7" borderId="11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2" fillId="9" borderId="23" xfId="0" applyFont="1" applyFill="1" applyBorder="1" applyAlignment="1">
      <alignment horizontal="center"/>
    </xf>
    <xf numFmtId="0" fontId="2" fillId="9" borderId="24" xfId="0" applyFont="1" applyFill="1" applyBorder="1" applyAlignment="1">
      <alignment horizontal="center"/>
    </xf>
    <xf numFmtId="0" fontId="3" fillId="7" borderId="6" xfId="0" applyFont="1" applyFill="1" applyBorder="1" applyAlignment="1">
      <alignment horizontal="center" vertical="center"/>
    </xf>
    <xf numFmtId="0" fontId="3" fillId="7" borderId="25" xfId="0" applyFont="1" applyFill="1" applyBorder="1" applyAlignment="1">
      <alignment horizontal="center" vertical="center"/>
    </xf>
    <xf numFmtId="0" fontId="3" fillId="7" borderId="26" xfId="0" applyFont="1" applyFill="1" applyBorder="1" applyAlignment="1">
      <alignment horizontal="center" vertical="center"/>
    </xf>
    <xf numFmtId="9" fontId="4" fillId="0" borderId="10" xfId="1" applyBorder="1" applyAlignment="1">
      <alignment horizontal="center" vertical="center"/>
    </xf>
    <xf numFmtId="9" fontId="4" fillId="0" borderId="15" xfId="1" applyBorder="1" applyAlignment="1">
      <alignment horizontal="center" vertical="center"/>
    </xf>
    <xf numFmtId="9" fontId="4" fillId="0" borderId="14" xfId="1" applyBorder="1" applyAlignment="1">
      <alignment horizontal="center" vertical="center"/>
    </xf>
    <xf numFmtId="9" fontId="4" fillId="0" borderId="17" xfId="1" applyBorder="1" applyAlignment="1">
      <alignment horizontal="center" vertical="center"/>
    </xf>
    <xf numFmtId="0" fontId="0" fillId="10" borderId="0" xfId="0" applyFill="1">
      <alignment vertical="center"/>
    </xf>
    <xf numFmtId="0" fontId="0" fillId="10" borderId="1" xfId="0" applyFill="1" applyBorder="1">
      <alignment vertical="center"/>
    </xf>
    <xf numFmtId="0" fontId="0" fillId="10" borderId="2" xfId="0" applyFill="1" applyBorder="1" applyAlignment="1">
      <alignment horizontal="center" vertical="center"/>
    </xf>
    <xf numFmtId="0" fontId="0" fillId="10" borderId="2" xfId="0" applyFill="1" applyBorder="1">
      <alignment vertical="center"/>
    </xf>
    <xf numFmtId="0" fontId="0" fillId="10" borderId="3" xfId="0" applyFill="1" applyBorder="1">
      <alignment vertical="center"/>
    </xf>
    <xf numFmtId="0" fontId="0" fillId="10" borderId="0" xfId="0" applyFill="1" applyAlignment="1">
      <alignment horizontal="center" vertical="center"/>
    </xf>
    <xf numFmtId="15" fontId="0" fillId="10" borderId="0" xfId="0" applyNumberFormat="1" applyFill="1" applyAlignment="1">
      <alignment horizontal="left" vertical="center"/>
    </xf>
    <xf numFmtId="0" fontId="0" fillId="10" borderId="4" xfId="0" applyFill="1" applyBorder="1">
      <alignment vertical="center"/>
    </xf>
    <xf numFmtId="0" fontId="0" fillId="10" borderId="5" xfId="0" applyFill="1" applyBorder="1" applyAlignment="1">
      <alignment horizontal="center" vertical="center"/>
    </xf>
    <xf numFmtId="0" fontId="0" fillId="10" borderId="5" xfId="0" applyFill="1" applyBorder="1">
      <alignment vertical="center"/>
    </xf>
    <xf numFmtId="0" fontId="0" fillId="10" borderId="28" xfId="0" applyFill="1" applyBorder="1" applyAlignment="1">
      <alignment horizontal="left" vertical="center"/>
    </xf>
    <xf numFmtId="0" fontId="0" fillId="10" borderId="29" xfId="0" applyFill="1" applyBorder="1" applyAlignment="1">
      <alignment horizontal="center" vertical="center"/>
    </xf>
    <xf numFmtId="9" fontId="0" fillId="10" borderId="29" xfId="0" applyNumberFormat="1" applyFill="1" applyBorder="1" applyAlignment="1">
      <alignment horizontal="center" vertical="center"/>
    </xf>
    <xf numFmtId="1" fontId="5" fillId="13" borderId="29" xfId="0" applyNumberFormat="1" applyFont="1" applyFill="1" applyBorder="1" applyAlignment="1">
      <alignment horizontal="center" vertical="center"/>
    </xf>
    <xf numFmtId="0" fontId="0" fillId="10" borderId="30" xfId="0" applyFill="1" applyBorder="1" applyAlignment="1">
      <alignment horizontal="left" vertical="center"/>
    </xf>
    <xf numFmtId="0" fontId="0" fillId="10" borderId="31" xfId="0" applyFill="1" applyBorder="1" applyAlignment="1">
      <alignment horizontal="center" vertical="center"/>
    </xf>
    <xf numFmtId="0" fontId="0" fillId="10" borderId="32" xfId="0" applyFill="1" applyBorder="1" applyAlignment="1">
      <alignment horizontal="center" vertical="center"/>
    </xf>
    <xf numFmtId="0" fontId="3" fillId="10" borderId="34" xfId="0" applyFont="1" applyFill="1" applyBorder="1" applyAlignment="1">
      <alignment horizontal="center" vertical="center"/>
    </xf>
    <xf numFmtId="0" fontId="0" fillId="10" borderId="34" xfId="0" applyFill="1" applyBorder="1" applyAlignment="1">
      <alignment horizontal="center" vertical="center"/>
    </xf>
    <xf numFmtId="0" fontId="0" fillId="15" borderId="34" xfId="0" applyFill="1" applyBorder="1" applyAlignment="1">
      <alignment horizontal="center" vertical="center"/>
    </xf>
    <xf numFmtId="0" fontId="0" fillId="10" borderId="35" xfId="0" applyFill="1" applyBorder="1" applyAlignment="1">
      <alignment horizontal="center" vertical="center"/>
    </xf>
    <xf numFmtId="0" fontId="0" fillId="16" borderId="28" xfId="0" applyFill="1" applyBorder="1" applyAlignment="1">
      <alignment horizontal="center" vertical="center"/>
    </xf>
    <xf numFmtId="0" fontId="0" fillId="10" borderId="28" xfId="0" applyFill="1" applyBorder="1" applyAlignment="1">
      <alignment horizontal="center" vertical="center"/>
    </xf>
    <xf numFmtId="0" fontId="0" fillId="10" borderId="30" xfId="0" applyFill="1" applyBorder="1" applyAlignment="1">
      <alignment horizontal="center" vertical="center"/>
    </xf>
    <xf numFmtId="0" fontId="6" fillId="17" borderId="38" xfId="0" applyFont="1" applyFill="1" applyBorder="1">
      <alignment vertical="center"/>
    </xf>
    <xf numFmtId="0" fontId="6" fillId="17" borderId="25" xfId="0" applyFont="1" applyFill="1" applyBorder="1" applyAlignment="1">
      <alignment horizontal="center" vertical="center"/>
    </xf>
    <xf numFmtId="0" fontId="3" fillId="10" borderId="34" xfId="0" applyFont="1" applyFill="1" applyBorder="1">
      <alignment vertical="center"/>
    </xf>
    <xf numFmtId="165" fontId="0" fillId="10" borderId="10" xfId="0" applyNumberFormat="1" applyFill="1" applyBorder="1">
      <alignment vertical="center"/>
    </xf>
    <xf numFmtId="0" fontId="3" fillId="10" borderId="35" xfId="0" applyFont="1" applyFill="1" applyBorder="1">
      <alignment vertical="center"/>
    </xf>
    <xf numFmtId="165" fontId="0" fillId="10" borderId="39" xfId="0" applyNumberFormat="1" applyFill="1" applyBorder="1">
      <alignment vertical="center"/>
    </xf>
    <xf numFmtId="0" fontId="3" fillId="10" borderId="40" xfId="0" applyFont="1" applyFill="1" applyBorder="1" applyAlignment="1">
      <alignment horizontal="center" vertical="center"/>
    </xf>
    <xf numFmtId="0" fontId="0" fillId="10" borderId="41" xfId="0" applyFill="1" applyBorder="1">
      <alignment vertical="center"/>
    </xf>
    <xf numFmtId="0" fontId="0" fillId="10" borderId="10" xfId="0" applyFill="1" applyBorder="1">
      <alignment vertical="center"/>
    </xf>
    <xf numFmtId="0" fontId="0" fillId="10" borderId="39" xfId="0" applyFill="1" applyBorder="1">
      <alignment vertical="center"/>
    </xf>
    <xf numFmtId="0" fontId="3" fillId="10" borderId="10" xfId="0" applyFont="1" applyFill="1" applyBorder="1" applyAlignment="1">
      <alignment horizontal="center" vertical="center"/>
    </xf>
    <xf numFmtId="0" fontId="0" fillId="10" borderId="10" xfId="0" applyFill="1" applyBorder="1" applyAlignment="1">
      <alignment horizontal="center" vertical="center"/>
    </xf>
    <xf numFmtId="0" fontId="0" fillId="10" borderId="39" xfId="0" applyFill="1" applyBorder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6" borderId="29" xfId="0" applyFill="1" applyBorder="1" applyAlignment="1">
      <alignment horizontal="center" vertical="center"/>
    </xf>
    <xf numFmtId="0" fontId="0" fillId="18" borderId="28" xfId="0" applyFill="1" applyBorder="1" applyAlignment="1">
      <alignment horizontal="center" vertical="center"/>
    </xf>
    <xf numFmtId="9" fontId="0" fillId="10" borderId="28" xfId="0" applyNumberFormat="1" applyFill="1" applyBorder="1" applyAlignment="1">
      <alignment horizontal="center" vertical="center"/>
    </xf>
    <xf numFmtId="9" fontId="0" fillId="10" borderId="30" xfId="0" applyNumberFormat="1" applyFill="1" applyBorder="1" applyAlignment="1">
      <alignment horizontal="center" vertical="center"/>
    </xf>
    <xf numFmtId="0" fontId="0" fillId="10" borderId="6" xfId="0" applyFill="1" applyBorder="1">
      <alignment vertical="center"/>
    </xf>
    <xf numFmtId="0" fontId="0" fillId="10" borderId="7" xfId="0" applyFill="1" applyBorder="1">
      <alignment vertical="center"/>
    </xf>
    <xf numFmtId="0" fontId="0" fillId="10" borderId="8" xfId="0" applyFill="1" applyBorder="1">
      <alignment vertical="center"/>
    </xf>
    <xf numFmtId="0" fontId="6" fillId="17" borderId="42" xfId="0" applyFont="1" applyFill="1" applyBorder="1" applyAlignment="1">
      <alignment horizontal="center" vertical="center"/>
    </xf>
    <xf numFmtId="2" fontId="0" fillId="10" borderId="10" xfId="0" applyNumberFormat="1" applyFill="1" applyBorder="1" applyAlignment="1">
      <alignment horizontal="center" vertical="center"/>
    </xf>
    <xf numFmtId="165" fontId="0" fillId="10" borderId="43" xfId="0" applyNumberFormat="1" applyFill="1" applyBorder="1">
      <alignment vertical="center"/>
    </xf>
    <xf numFmtId="165" fontId="0" fillId="10" borderId="44" xfId="0" applyNumberFormat="1" applyFill="1" applyBorder="1">
      <alignment vertical="center"/>
    </xf>
    <xf numFmtId="0" fontId="3" fillId="10" borderId="35" xfId="0" applyFont="1" applyFill="1" applyBorder="1" applyAlignment="1">
      <alignment horizontal="center" vertical="center"/>
    </xf>
    <xf numFmtId="0" fontId="0" fillId="10" borderId="45" xfId="0" applyFill="1" applyBorder="1">
      <alignment vertical="center"/>
    </xf>
    <xf numFmtId="0" fontId="0" fillId="10" borderId="43" xfId="0" applyFill="1" applyBorder="1">
      <alignment vertical="center"/>
    </xf>
    <xf numFmtId="0" fontId="0" fillId="10" borderId="44" xfId="0" applyFill="1" applyBorder="1">
      <alignment vertical="center"/>
    </xf>
    <xf numFmtId="0" fontId="0" fillId="18" borderId="0" xfId="0" applyFill="1" applyAlignment="1">
      <alignment horizontal="center" vertical="center"/>
    </xf>
    <xf numFmtId="0" fontId="0" fillId="18" borderId="29" xfId="0" applyFill="1" applyBorder="1" applyAlignment="1">
      <alignment horizontal="center" vertical="center"/>
    </xf>
    <xf numFmtId="0" fontId="0" fillId="10" borderId="43" xfId="0" applyFill="1" applyBorder="1" applyAlignment="1">
      <alignment horizontal="center" vertical="center"/>
    </xf>
    <xf numFmtId="0" fontId="0" fillId="10" borderId="44" xfId="0" applyFill="1" applyBorder="1" applyAlignment="1">
      <alignment horizontal="center" vertical="center"/>
    </xf>
    <xf numFmtId="1" fontId="0" fillId="10" borderId="10" xfId="0" applyNumberFormat="1" applyFill="1" applyBorder="1" applyAlignment="1">
      <alignment horizontal="center" vertical="center"/>
    </xf>
    <xf numFmtId="0" fontId="3" fillId="18" borderId="41" xfId="0" applyFont="1" applyFill="1" applyBorder="1" applyAlignment="1">
      <alignment horizontal="center" vertical="center"/>
    </xf>
    <xf numFmtId="0" fontId="3" fillId="18" borderId="10" xfId="0" applyFont="1" applyFill="1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10" xfId="0" applyBorder="1" applyAlignment="1">
      <alignment horizontal="center" vertical="center" wrapText="1"/>
    </xf>
    <xf numFmtId="0" fontId="0" fillId="0" borderId="46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3" fillId="20" borderId="34" xfId="0" applyFont="1" applyFill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165" fontId="0" fillId="0" borderId="10" xfId="0" applyNumberFormat="1" applyBorder="1" applyAlignment="1">
      <alignment horizontal="center" vertical="center"/>
    </xf>
    <xf numFmtId="2" fontId="0" fillId="0" borderId="10" xfId="0" applyNumberFormat="1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3" fillId="20" borderId="10" xfId="0" applyFont="1" applyFill="1" applyBorder="1" applyAlignment="1">
      <alignment horizontal="center" vertical="center"/>
    </xf>
    <xf numFmtId="0" fontId="3" fillId="20" borderId="43" xfId="0" applyFont="1" applyFill="1" applyBorder="1" applyAlignment="1">
      <alignment horizontal="center" vertical="center"/>
    </xf>
    <xf numFmtId="0" fontId="3" fillId="21" borderId="34" xfId="0" applyFont="1" applyFill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43" xfId="0" applyFont="1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3" fillId="18" borderId="43" xfId="0" applyFont="1" applyFill="1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31" xfId="0" applyBorder="1">
      <alignment vertical="center"/>
    </xf>
    <xf numFmtId="0" fontId="0" fillId="0" borderId="32" xfId="0" applyBorder="1">
      <alignment vertical="center"/>
    </xf>
    <xf numFmtId="0" fontId="3" fillId="21" borderId="10" xfId="0" applyFont="1" applyFill="1" applyBorder="1" applyAlignment="1">
      <alignment horizontal="center" vertical="center"/>
    </xf>
    <xf numFmtId="0" fontId="3" fillId="21" borderId="43" xfId="0" applyFont="1" applyFill="1" applyBorder="1" applyAlignment="1">
      <alignment horizontal="center" vertical="center"/>
    </xf>
    <xf numFmtId="0" fontId="3" fillId="22" borderId="46" xfId="0" applyFont="1" applyFill="1" applyBorder="1" applyAlignment="1">
      <alignment horizontal="center" vertical="center"/>
    </xf>
    <xf numFmtId="165" fontId="0" fillId="0" borderId="34" xfId="0" applyNumberFormat="1" applyBorder="1" applyAlignment="1">
      <alignment horizontal="center" vertical="center"/>
    </xf>
    <xf numFmtId="0" fontId="3" fillId="22" borderId="23" xfId="0" applyFont="1" applyFill="1" applyBorder="1" applyAlignment="1">
      <alignment horizontal="center" vertical="center"/>
    </xf>
    <xf numFmtId="0" fontId="3" fillId="22" borderId="47" xfId="0" applyFont="1" applyFill="1" applyBorder="1" applyAlignment="1">
      <alignment horizontal="center" vertical="center"/>
    </xf>
    <xf numFmtId="0" fontId="3" fillId="23" borderId="34" xfId="0" applyFont="1" applyFill="1" applyBorder="1" applyAlignment="1">
      <alignment horizontal="center" vertical="center"/>
    </xf>
    <xf numFmtId="0" fontId="3" fillId="23" borderId="10" xfId="0" applyFont="1" applyFill="1" applyBorder="1" applyAlignment="1">
      <alignment horizontal="center" vertical="center"/>
    </xf>
    <xf numFmtId="167" fontId="0" fillId="0" borderId="10" xfId="0" applyNumberFormat="1" applyBorder="1" applyAlignment="1">
      <alignment horizontal="center" vertical="center"/>
    </xf>
    <xf numFmtId="0" fontId="3" fillId="23" borderId="43" xfId="0" applyFont="1" applyFill="1" applyBorder="1" applyAlignment="1">
      <alignment horizontal="center" vertical="center"/>
    </xf>
    <xf numFmtId="0" fontId="3" fillId="12" borderId="34" xfId="0" applyFont="1" applyFill="1" applyBorder="1" applyAlignment="1">
      <alignment horizontal="center" vertical="center"/>
    </xf>
    <xf numFmtId="0" fontId="3" fillId="12" borderId="10" xfId="0" applyFont="1" applyFill="1" applyBorder="1" applyAlignment="1">
      <alignment horizontal="center" vertical="center"/>
    </xf>
    <xf numFmtId="0" fontId="3" fillId="12" borderId="43" xfId="0" applyFont="1" applyFill="1" applyBorder="1" applyAlignment="1">
      <alignment horizontal="center" vertical="center"/>
    </xf>
    <xf numFmtId="0" fontId="3" fillId="24" borderId="34" xfId="0" applyFont="1" applyFill="1" applyBorder="1" applyAlignment="1">
      <alignment horizontal="center" vertical="center"/>
    </xf>
    <xf numFmtId="0" fontId="3" fillId="24" borderId="10" xfId="0" applyFont="1" applyFill="1" applyBorder="1" applyAlignment="1">
      <alignment horizontal="center" vertical="center"/>
    </xf>
    <xf numFmtId="0" fontId="3" fillId="24" borderId="43" xfId="0" applyFont="1" applyFill="1" applyBorder="1" applyAlignment="1">
      <alignment horizontal="center" vertical="center"/>
    </xf>
    <xf numFmtId="165" fontId="0" fillId="10" borderId="10" xfId="0" applyNumberFormat="1" applyFill="1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15" fontId="0" fillId="10" borderId="0" xfId="0" applyNumberFormat="1" applyFill="1">
      <alignment vertical="center"/>
    </xf>
    <xf numFmtId="0" fontId="1" fillId="2" borderId="21" xfId="0" applyFont="1" applyFill="1" applyBorder="1" applyAlignment="1">
      <alignment horizontal="center"/>
    </xf>
    <xf numFmtId="0" fontId="1" fillId="2" borderId="25" xfId="0" applyFont="1" applyFill="1" applyBorder="1" applyAlignment="1">
      <alignment horizontal="center"/>
    </xf>
    <xf numFmtId="0" fontId="1" fillId="2" borderId="10" xfId="0" applyFont="1" applyFill="1" applyBorder="1" applyAlignment="1"/>
    <xf numFmtId="1" fontId="1" fillId="2" borderId="21" xfId="0" applyNumberFormat="1" applyFont="1" applyFill="1" applyBorder="1" applyAlignment="1">
      <alignment horizontal="center"/>
    </xf>
    <xf numFmtId="1" fontId="1" fillId="2" borderId="25" xfId="0" applyNumberFormat="1" applyFont="1" applyFill="1" applyBorder="1" applyAlignment="1">
      <alignment horizontal="center"/>
    </xf>
    <xf numFmtId="1" fontId="1" fillId="2" borderId="10" xfId="0" applyNumberFormat="1" applyFont="1" applyFill="1" applyBorder="1" applyAlignment="1">
      <alignment horizontal="center"/>
    </xf>
    <xf numFmtId="168" fontId="0" fillId="0" borderId="48" xfId="0" applyNumberFormat="1" applyBorder="1" applyAlignment="1">
      <alignment horizontal="center" vertical="center"/>
    </xf>
    <xf numFmtId="0" fontId="7" fillId="25" borderId="21" xfId="0" applyFont="1" applyFill="1" applyBorder="1" applyAlignment="1">
      <alignment horizontal="center"/>
    </xf>
    <xf numFmtId="0" fontId="7" fillId="25" borderId="25" xfId="0" applyFont="1" applyFill="1" applyBorder="1" applyAlignment="1">
      <alignment horizontal="center"/>
    </xf>
    <xf numFmtId="0" fontId="7" fillId="25" borderId="10" xfId="0" applyFont="1" applyFill="1" applyBorder="1" applyAlignment="1">
      <alignment horizontal="center"/>
    </xf>
    <xf numFmtId="0" fontId="7" fillId="25" borderId="10" xfId="0" applyFont="1" applyFill="1" applyBorder="1" applyAlignment="1"/>
    <xf numFmtId="2" fontId="7" fillId="25" borderId="10" xfId="0" applyNumberFormat="1" applyFont="1" applyFill="1" applyBorder="1" applyAlignment="1">
      <alignment horizontal="center"/>
    </xf>
    <xf numFmtId="1" fontId="7" fillId="25" borderId="21" xfId="0" applyNumberFormat="1" applyFont="1" applyFill="1" applyBorder="1" applyAlignment="1">
      <alignment horizontal="center"/>
    </xf>
    <xf numFmtId="1" fontId="7" fillId="25" borderId="25" xfId="0" applyNumberFormat="1" applyFont="1" applyFill="1" applyBorder="1" applyAlignment="1">
      <alignment horizontal="center"/>
    </xf>
    <xf numFmtId="1" fontId="7" fillId="25" borderId="10" xfId="0" applyNumberFormat="1" applyFont="1" applyFill="1" applyBorder="1" applyAlignment="1">
      <alignment horizontal="center"/>
    </xf>
    <xf numFmtId="0" fontId="3" fillId="10" borderId="1" xfId="0" applyFont="1" applyFill="1" applyBorder="1">
      <alignment vertical="center"/>
    </xf>
    <xf numFmtId="0" fontId="3" fillId="10" borderId="3" xfId="0" applyFont="1" applyFill="1" applyBorder="1">
      <alignment vertical="center"/>
    </xf>
    <xf numFmtId="0" fontId="3" fillId="10" borderId="4" xfId="0" applyFont="1" applyFill="1" applyBorder="1">
      <alignment vertical="center"/>
    </xf>
    <xf numFmtId="0" fontId="3" fillId="10" borderId="12" xfId="0" applyFont="1" applyFill="1" applyBorder="1" applyAlignment="1">
      <alignment horizontal="left" vertical="center"/>
    </xf>
    <xf numFmtId="9" fontId="1" fillId="2" borderId="15" xfId="1" applyFont="1" applyFill="1" applyBorder="1" applyAlignment="1">
      <alignment horizontal="center"/>
    </xf>
    <xf numFmtId="9" fontId="1" fillId="2" borderId="15" xfId="0" applyNumberFormat="1" applyFont="1" applyFill="1" applyBorder="1" applyAlignment="1">
      <alignment horizontal="center"/>
    </xf>
    <xf numFmtId="0" fontId="1" fillId="3" borderId="15" xfId="0" applyFont="1" applyFill="1" applyBorder="1" applyAlignment="1">
      <alignment horizontal="center"/>
    </xf>
    <xf numFmtId="0" fontId="0" fillId="10" borderId="15" xfId="0" applyFill="1" applyBorder="1" applyAlignment="1">
      <alignment horizontal="center" vertical="center"/>
    </xf>
    <xf numFmtId="0" fontId="3" fillId="10" borderId="13" xfId="0" applyFont="1" applyFill="1" applyBorder="1" applyAlignment="1">
      <alignment horizontal="left" vertical="center"/>
    </xf>
    <xf numFmtId="0" fontId="0" fillId="10" borderId="14" xfId="0" applyFill="1" applyBorder="1" applyAlignment="1">
      <alignment horizontal="center" vertical="center"/>
    </xf>
    <xf numFmtId="0" fontId="0" fillId="10" borderId="17" xfId="0" applyFill="1" applyBorder="1" applyAlignment="1">
      <alignment horizontal="center" vertical="center"/>
    </xf>
    <xf numFmtId="0" fontId="0" fillId="26" borderId="10" xfId="0" applyFill="1" applyBorder="1" applyAlignment="1">
      <alignment horizontal="center" vertical="center"/>
    </xf>
    <xf numFmtId="0" fontId="0" fillId="26" borderId="39" xfId="0" applyFill="1" applyBorder="1" applyAlignment="1">
      <alignment horizontal="center" vertical="center"/>
    </xf>
    <xf numFmtId="0" fontId="3" fillId="18" borderId="21" xfId="0" applyFont="1" applyFill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3" fillId="18" borderId="15" xfId="0" applyFont="1" applyFill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55" xfId="0" applyBorder="1" applyAlignment="1">
      <alignment horizontal="center" vertical="center"/>
    </xf>
    <xf numFmtId="0" fontId="0" fillId="0" borderId="14" xfId="0" applyBorder="1">
      <alignment vertical="center"/>
    </xf>
    <xf numFmtId="0" fontId="0" fillId="0" borderId="17" xfId="0" applyBorder="1">
      <alignment vertical="center"/>
    </xf>
    <xf numFmtId="0" fontId="0" fillId="10" borderId="56" xfId="0" applyFill="1" applyBorder="1">
      <alignment vertical="center"/>
    </xf>
    <xf numFmtId="0" fontId="0" fillId="10" borderId="57" xfId="0" applyFill="1" applyBorder="1" applyAlignment="1">
      <alignment horizontal="center" vertical="center"/>
    </xf>
    <xf numFmtId="0" fontId="0" fillId="10" borderId="57" xfId="0" applyFill="1" applyBorder="1">
      <alignment vertical="center"/>
    </xf>
    <xf numFmtId="0" fontId="0" fillId="10" borderId="28" xfId="0" applyFill="1" applyBorder="1">
      <alignment vertical="center"/>
    </xf>
    <xf numFmtId="0" fontId="0" fillId="10" borderId="30" xfId="0" applyFill="1" applyBorder="1">
      <alignment vertical="center"/>
    </xf>
    <xf numFmtId="0" fontId="0" fillId="10" borderId="31" xfId="0" applyFill="1" applyBorder="1">
      <alignment vertical="center"/>
    </xf>
    <xf numFmtId="0" fontId="0" fillId="10" borderId="58" xfId="0" applyFill="1" applyBorder="1">
      <alignment vertical="center"/>
    </xf>
    <xf numFmtId="0" fontId="0" fillId="10" borderId="29" xfId="0" applyFill="1" applyBorder="1">
      <alignment vertical="center"/>
    </xf>
    <xf numFmtId="0" fontId="0" fillId="10" borderId="32" xfId="0" applyFill="1" applyBorder="1">
      <alignment vertical="center"/>
    </xf>
    <xf numFmtId="0" fontId="0" fillId="2" borderId="0" xfId="0" applyFill="1">
      <alignment vertical="center"/>
    </xf>
    <xf numFmtId="0" fontId="0" fillId="2" borderId="59" xfId="0" applyFill="1" applyBorder="1">
      <alignment vertical="center"/>
    </xf>
    <xf numFmtId="0" fontId="0" fillId="2" borderId="61" xfId="0" applyFill="1" applyBorder="1">
      <alignment vertical="center"/>
    </xf>
    <xf numFmtId="0" fontId="0" fillId="2" borderId="63" xfId="0" applyFill="1" applyBorder="1">
      <alignment vertical="center"/>
    </xf>
    <xf numFmtId="0" fontId="0" fillId="2" borderId="3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2" fontId="0" fillId="2" borderId="0" xfId="0" applyNumberFormat="1" applyFill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2" fontId="0" fillId="2" borderId="5" xfId="0" applyNumberFormat="1" applyFill="1" applyBorder="1" applyAlignment="1">
      <alignment horizontal="center" vertical="center"/>
    </xf>
    <xf numFmtId="0" fontId="0" fillId="2" borderId="7" xfId="0" applyFill="1" applyBorder="1">
      <alignment vertical="center"/>
    </xf>
    <xf numFmtId="0" fontId="0" fillId="2" borderId="5" xfId="0" applyFill="1" applyBorder="1" applyAlignment="1">
      <alignment horizontal="center" vertical="center"/>
    </xf>
    <xf numFmtId="0" fontId="0" fillId="2" borderId="8" xfId="0" applyFill="1" applyBorder="1">
      <alignment vertical="center"/>
    </xf>
    <xf numFmtId="0" fontId="0" fillId="2" borderId="7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2" borderId="61" xfId="0" applyFill="1" applyBorder="1" applyAlignment="1">
      <alignment horizontal="center" vertical="center"/>
    </xf>
    <xf numFmtId="0" fontId="0" fillId="2" borderId="62" xfId="0" applyFill="1" applyBorder="1" applyAlignment="1">
      <alignment horizontal="center" vertical="center"/>
    </xf>
    <xf numFmtId="9" fontId="0" fillId="2" borderId="62" xfId="0" applyNumberFormat="1" applyFill="1" applyBorder="1" applyAlignment="1">
      <alignment horizontal="center" vertical="center"/>
    </xf>
    <xf numFmtId="0" fontId="0" fillId="2" borderId="63" xfId="0" applyFill="1" applyBorder="1" applyAlignment="1">
      <alignment horizontal="center" vertical="center"/>
    </xf>
    <xf numFmtId="9" fontId="0" fillId="2" borderId="64" xfId="0" applyNumberFormat="1" applyFill="1" applyBorder="1" applyAlignment="1">
      <alignment horizontal="center" vertical="center"/>
    </xf>
    <xf numFmtId="0" fontId="3" fillId="28" borderId="56" xfId="0" applyFont="1" applyFill="1" applyBorder="1" applyAlignment="1">
      <alignment horizontal="center" vertical="center"/>
    </xf>
    <xf numFmtId="0" fontId="3" fillId="28" borderId="57" xfId="0" applyFont="1" applyFill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3" fillId="28" borderId="58" xfId="0" applyFont="1" applyFill="1" applyBorder="1" applyAlignment="1">
      <alignment horizontal="center" vertical="center"/>
    </xf>
    <xf numFmtId="0" fontId="3" fillId="0" borderId="56" xfId="0" applyFont="1" applyBorder="1" applyAlignment="1">
      <alignment horizontal="center" vertical="center"/>
    </xf>
    <xf numFmtId="0" fontId="3" fillId="0" borderId="57" xfId="0" applyFont="1" applyBorder="1" applyAlignment="1">
      <alignment horizontal="center" vertical="center"/>
    </xf>
    <xf numFmtId="1" fontId="0" fillId="0" borderId="29" xfId="0" applyNumberFormat="1" applyBorder="1" applyAlignment="1">
      <alignment horizontal="center" vertical="center"/>
    </xf>
    <xf numFmtId="166" fontId="0" fillId="0" borderId="0" xfId="0" applyNumberFormat="1">
      <alignment vertical="center"/>
    </xf>
    <xf numFmtId="0" fontId="0" fillId="0" borderId="32" xfId="0" applyBorder="1" applyAlignment="1">
      <alignment horizontal="center" vertical="center"/>
    </xf>
    <xf numFmtId="0" fontId="3" fillId="0" borderId="58" xfId="0" applyFont="1" applyBorder="1" applyAlignment="1">
      <alignment horizontal="center" vertical="center"/>
    </xf>
    <xf numFmtId="9" fontId="0" fillId="0" borderId="0" xfId="0" applyNumberFormat="1">
      <alignment vertical="center"/>
    </xf>
    <xf numFmtId="1" fontId="0" fillId="0" borderId="0" xfId="0" applyNumberFormat="1">
      <alignment vertical="center"/>
    </xf>
    <xf numFmtId="0" fontId="0" fillId="2" borderId="56" xfId="0" applyFill="1" applyBorder="1">
      <alignment vertical="center"/>
    </xf>
    <xf numFmtId="0" fontId="0" fillId="2" borderId="57" xfId="0" applyFill="1" applyBorder="1" applyAlignment="1">
      <alignment horizontal="center" vertical="center"/>
    </xf>
    <xf numFmtId="0" fontId="0" fillId="2" borderId="57" xfId="0" applyFill="1" applyBorder="1">
      <alignment vertical="center"/>
    </xf>
    <xf numFmtId="0" fontId="0" fillId="2" borderId="28" xfId="0" applyFill="1" applyBorder="1">
      <alignment vertical="center"/>
    </xf>
    <xf numFmtId="0" fontId="0" fillId="2" borderId="30" xfId="0" applyFill="1" applyBorder="1">
      <alignment vertical="center"/>
    </xf>
    <xf numFmtId="0" fontId="0" fillId="2" borderId="31" xfId="0" applyFill="1" applyBorder="1" applyAlignment="1">
      <alignment horizontal="center" vertical="center"/>
    </xf>
    <xf numFmtId="0" fontId="0" fillId="2" borderId="31" xfId="0" applyFill="1" applyBorder="1">
      <alignment vertical="center"/>
    </xf>
    <xf numFmtId="0" fontId="0" fillId="2" borderId="28" xfId="0" applyFill="1" applyBorder="1" applyAlignment="1">
      <alignment horizontal="left" vertical="center"/>
    </xf>
    <xf numFmtId="16" fontId="0" fillId="2" borderId="29" xfId="0" applyNumberFormat="1" applyFill="1" applyBorder="1" applyAlignment="1">
      <alignment horizontal="center" vertical="center"/>
    </xf>
    <xf numFmtId="0" fontId="0" fillId="2" borderId="29" xfId="0" applyFill="1" applyBorder="1" applyAlignment="1">
      <alignment horizontal="center" vertical="center"/>
    </xf>
    <xf numFmtId="9" fontId="0" fillId="2" borderId="29" xfId="0" applyNumberFormat="1" applyFill="1" applyBorder="1" applyAlignment="1">
      <alignment horizontal="center" vertical="center"/>
    </xf>
    <xf numFmtId="1" fontId="0" fillId="2" borderId="29" xfId="0" applyNumberFormat="1" applyFill="1" applyBorder="1" applyAlignment="1">
      <alignment horizontal="center" vertical="center"/>
    </xf>
    <xf numFmtId="0" fontId="0" fillId="2" borderId="30" xfId="0" applyFill="1" applyBorder="1" applyAlignment="1">
      <alignment horizontal="left" vertical="center"/>
    </xf>
    <xf numFmtId="0" fontId="0" fillId="2" borderId="32" xfId="0" applyFill="1" applyBorder="1" applyAlignment="1">
      <alignment horizontal="center" vertical="center"/>
    </xf>
    <xf numFmtId="0" fontId="3" fillId="2" borderId="34" xfId="0" applyFont="1" applyFill="1" applyBorder="1" applyAlignment="1">
      <alignment horizontal="center" vertical="center"/>
    </xf>
    <xf numFmtId="0" fontId="0" fillId="2" borderId="34" xfId="0" applyFill="1" applyBorder="1" applyAlignment="1">
      <alignment horizontal="center" vertical="center"/>
    </xf>
    <xf numFmtId="0" fontId="0" fillId="2" borderId="35" xfId="0" applyFill="1" applyBorder="1" applyAlignment="1">
      <alignment horizontal="center" vertical="center"/>
    </xf>
    <xf numFmtId="0" fontId="0" fillId="2" borderId="28" xfId="0" applyFill="1" applyBorder="1" applyAlignment="1">
      <alignment horizontal="center" vertical="center"/>
    </xf>
    <xf numFmtId="0" fontId="0" fillId="2" borderId="30" xfId="0" applyFill="1" applyBorder="1" applyAlignment="1">
      <alignment horizontal="center" vertical="center"/>
    </xf>
    <xf numFmtId="0" fontId="0" fillId="2" borderId="58" xfId="0" applyFill="1" applyBorder="1">
      <alignment vertical="center"/>
    </xf>
    <xf numFmtId="0" fontId="0" fillId="2" borderId="29" xfId="0" applyFill="1" applyBorder="1">
      <alignment vertical="center"/>
    </xf>
    <xf numFmtId="0" fontId="0" fillId="2" borderId="32" xfId="0" applyFill="1" applyBorder="1">
      <alignment vertical="center"/>
    </xf>
    <xf numFmtId="0" fontId="3" fillId="2" borderId="38" xfId="0" applyFont="1" applyFill="1" applyBorder="1">
      <alignment vertical="center"/>
    </xf>
    <xf numFmtId="0" fontId="3" fillId="2" borderId="25" xfId="0" applyFont="1" applyFill="1" applyBorder="1" applyAlignment="1">
      <alignment horizontal="center" vertical="center"/>
    </xf>
    <xf numFmtId="0" fontId="3" fillId="2" borderId="34" xfId="0" applyFont="1" applyFill="1" applyBorder="1">
      <alignment vertical="center"/>
    </xf>
    <xf numFmtId="0" fontId="0" fillId="2" borderId="10" xfId="0" applyFill="1" applyBorder="1" applyAlignment="1">
      <alignment horizontal="center" vertical="center"/>
    </xf>
    <xf numFmtId="0" fontId="3" fillId="2" borderId="35" xfId="0" applyFont="1" applyFill="1" applyBorder="1">
      <alignment vertical="center"/>
    </xf>
    <xf numFmtId="0" fontId="0" fillId="2" borderId="39" xfId="0" applyFill="1" applyBorder="1" applyAlignment="1">
      <alignment horizontal="center" vertical="center"/>
    </xf>
    <xf numFmtId="0" fontId="3" fillId="2" borderId="40" xfId="0" applyFont="1" applyFill="1" applyBorder="1" applyAlignment="1">
      <alignment horizontal="center" vertical="center"/>
    </xf>
    <xf numFmtId="0" fontId="0" fillId="2" borderId="41" xfId="0" applyFill="1" applyBorder="1">
      <alignment vertical="center"/>
    </xf>
    <xf numFmtId="0" fontId="0" fillId="2" borderId="41" xfId="0" applyFill="1" applyBorder="1" applyAlignment="1">
      <alignment horizontal="center" vertical="center"/>
    </xf>
    <xf numFmtId="0" fontId="0" fillId="2" borderId="39" xfId="0" applyFill="1" applyBorder="1">
      <alignment vertical="center"/>
    </xf>
    <xf numFmtId="0" fontId="0" fillId="2" borderId="10" xfId="0" applyFill="1" applyBorder="1">
      <alignment vertical="center"/>
    </xf>
    <xf numFmtId="0" fontId="3" fillId="2" borderId="10" xfId="0" applyFont="1" applyFill="1" applyBorder="1" applyAlignment="1">
      <alignment horizontal="center" vertical="center"/>
    </xf>
    <xf numFmtId="0" fontId="0" fillId="2" borderId="23" xfId="0" applyFill="1" applyBorder="1" applyAlignment="1">
      <alignment horizontal="center" vertical="center"/>
    </xf>
    <xf numFmtId="0" fontId="3" fillId="2" borderId="42" xfId="0" applyFont="1" applyFill="1" applyBorder="1" applyAlignment="1">
      <alignment horizontal="center" vertical="center"/>
    </xf>
    <xf numFmtId="2" fontId="0" fillId="2" borderId="10" xfId="0" applyNumberFormat="1" applyFill="1" applyBorder="1" applyAlignment="1">
      <alignment horizontal="center" vertical="center"/>
    </xf>
    <xf numFmtId="0" fontId="0" fillId="2" borderId="43" xfId="0" applyFill="1" applyBorder="1" applyAlignment="1">
      <alignment horizontal="center" vertical="center"/>
    </xf>
    <xf numFmtId="0" fontId="0" fillId="2" borderId="44" xfId="0" applyFill="1" applyBorder="1" applyAlignment="1">
      <alignment horizontal="center" vertical="center"/>
    </xf>
    <xf numFmtId="0" fontId="3" fillId="2" borderId="35" xfId="0" applyFont="1" applyFill="1" applyBorder="1" applyAlignment="1">
      <alignment horizontal="center" vertical="center"/>
    </xf>
    <xf numFmtId="0" fontId="0" fillId="2" borderId="45" xfId="0" applyFill="1" applyBorder="1">
      <alignment vertical="center"/>
    </xf>
    <xf numFmtId="0" fontId="0" fillId="2" borderId="44" xfId="0" applyFill="1" applyBorder="1">
      <alignment vertical="center"/>
    </xf>
    <xf numFmtId="0" fontId="0" fillId="2" borderId="43" xfId="0" applyFill="1" applyBorder="1">
      <alignment vertical="center"/>
    </xf>
    <xf numFmtId="0" fontId="0" fillId="2" borderId="19" xfId="0" applyFill="1" applyBorder="1" applyAlignment="1">
      <alignment horizontal="center" vertical="center"/>
    </xf>
    <xf numFmtId="0" fontId="0" fillId="2" borderId="64" xfId="0" applyFill="1" applyBorder="1" applyAlignment="1">
      <alignment horizontal="center" vertical="center"/>
    </xf>
    <xf numFmtId="9" fontId="0" fillId="2" borderId="0" xfId="0" applyNumberFormat="1" applyFill="1" applyAlignment="1">
      <alignment horizontal="center" vertical="center"/>
    </xf>
    <xf numFmtId="9" fontId="0" fillId="2" borderId="19" xfId="0" applyNumberFormat="1" applyFill="1" applyBorder="1" applyAlignment="1">
      <alignment horizontal="center" vertical="center"/>
    </xf>
    <xf numFmtId="1" fontId="0" fillId="2" borderId="10" xfId="0" applyNumberFormat="1" applyFill="1" applyBorder="1" applyAlignment="1">
      <alignment horizontal="center" vertical="center"/>
    </xf>
    <xf numFmtId="165" fontId="0" fillId="2" borderId="10" xfId="0" applyNumberFormat="1" applyFill="1" applyBorder="1" applyAlignment="1">
      <alignment horizontal="center" vertical="center"/>
    </xf>
    <xf numFmtId="165" fontId="0" fillId="2" borderId="39" xfId="0" applyNumberFormat="1" applyFill="1" applyBorder="1" applyAlignment="1">
      <alignment horizontal="center" vertical="center"/>
    </xf>
    <xf numFmtId="1" fontId="0" fillId="2" borderId="0" xfId="0" applyNumberFormat="1" applyFill="1">
      <alignment vertical="center"/>
    </xf>
    <xf numFmtId="3" fontId="0" fillId="2" borderId="0" xfId="0" applyNumberFormat="1" applyFill="1">
      <alignment vertical="center"/>
    </xf>
    <xf numFmtId="0" fontId="3" fillId="2" borderId="41" xfId="0" applyFont="1" applyFill="1" applyBorder="1" applyAlignment="1">
      <alignment horizontal="center" vertical="center"/>
    </xf>
    <xf numFmtId="0" fontId="0" fillId="2" borderId="46" xfId="0" applyFill="1" applyBorder="1" applyAlignment="1">
      <alignment horizontal="center" vertical="center"/>
    </xf>
    <xf numFmtId="0" fontId="3" fillId="2" borderId="43" xfId="0" applyFont="1" applyFill="1" applyBorder="1" applyAlignment="1">
      <alignment horizontal="center" vertical="center"/>
    </xf>
    <xf numFmtId="165" fontId="0" fillId="2" borderId="23" xfId="0" applyNumberFormat="1" applyFill="1" applyBorder="1" applyAlignment="1">
      <alignment horizontal="center" vertical="center"/>
    </xf>
    <xf numFmtId="0" fontId="0" fillId="2" borderId="47" xfId="0" applyFill="1" applyBorder="1" applyAlignment="1">
      <alignment horizontal="center" vertical="center"/>
    </xf>
    <xf numFmtId="165" fontId="0" fillId="2" borderId="48" xfId="0" applyNumberFormat="1" applyFill="1" applyBorder="1" applyAlignment="1">
      <alignment horizontal="center" vertical="center"/>
    </xf>
    <xf numFmtId="0" fontId="0" fillId="2" borderId="49" xfId="0" applyFill="1" applyBorder="1" applyAlignment="1">
      <alignment horizontal="center" vertical="center"/>
    </xf>
    <xf numFmtId="167" fontId="0" fillId="2" borderId="10" xfId="0" applyNumberFormat="1" applyFill="1" applyBorder="1" applyAlignment="1">
      <alignment horizontal="center" vertical="center"/>
    </xf>
    <xf numFmtId="9" fontId="0" fillId="2" borderId="28" xfId="0" applyNumberFormat="1" applyFill="1" applyBorder="1" applyAlignment="1">
      <alignment horizontal="center" vertical="center"/>
    </xf>
    <xf numFmtId="9" fontId="0" fillId="2" borderId="30" xfId="0" applyNumberFormat="1" applyFill="1" applyBorder="1" applyAlignment="1">
      <alignment horizontal="center" vertical="center"/>
    </xf>
    <xf numFmtId="0" fontId="0" fillId="2" borderId="10" xfId="0" applyFill="1" applyBorder="1" applyAlignment="1">
      <alignment horizontal="center" vertical="center" wrapText="1"/>
    </xf>
    <xf numFmtId="0" fontId="0" fillId="2" borderId="48" xfId="0" applyFill="1" applyBorder="1" applyAlignment="1">
      <alignment horizontal="center" vertical="center"/>
    </xf>
    <xf numFmtId="1" fontId="0" fillId="2" borderId="39" xfId="0" applyNumberFormat="1" applyFill="1" applyBorder="1" applyAlignment="1">
      <alignment horizontal="center" vertical="center"/>
    </xf>
    <xf numFmtId="1" fontId="0" fillId="10" borderId="29" xfId="0" applyNumberFormat="1" applyFill="1" applyBorder="1" applyAlignment="1">
      <alignment horizontal="center" vertical="center"/>
    </xf>
    <xf numFmtId="0" fontId="0" fillId="10" borderId="0" xfId="0" applyFill="1" applyAlignment="1">
      <alignment horizontal="left" vertical="center"/>
    </xf>
    <xf numFmtId="0" fontId="3" fillId="15" borderId="28" xfId="0" applyFont="1" applyFill="1" applyBorder="1" applyAlignment="1">
      <alignment horizontal="center" vertical="center"/>
    </xf>
    <xf numFmtId="0" fontId="3" fillId="15" borderId="0" xfId="0" applyFont="1" applyFill="1" applyAlignment="1">
      <alignment horizontal="center" vertical="center"/>
    </xf>
    <xf numFmtId="165" fontId="0" fillId="0" borderId="31" xfId="0" applyNumberFormat="1" applyBorder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3" fillId="15" borderId="29" xfId="0" applyFont="1" applyFill="1" applyBorder="1" applyAlignment="1">
      <alignment horizontal="center" vertical="center"/>
    </xf>
    <xf numFmtId="0" fontId="0" fillId="15" borderId="40" xfId="0" applyFill="1" applyBorder="1" applyAlignment="1">
      <alignment horizontal="center" vertical="center"/>
    </xf>
    <xf numFmtId="0" fontId="0" fillId="15" borderId="41" xfId="0" applyFill="1" applyBorder="1" applyAlignment="1">
      <alignment horizontal="center" vertical="center"/>
    </xf>
    <xf numFmtId="14" fontId="0" fillId="10" borderId="10" xfId="0" applyNumberFormat="1" applyFill="1" applyBorder="1" applyAlignment="1">
      <alignment horizontal="center" vertical="center"/>
    </xf>
    <xf numFmtId="165" fontId="0" fillId="10" borderId="39" xfId="0" applyNumberFormat="1" applyFill="1" applyBorder="1" applyAlignment="1">
      <alignment horizontal="center" vertical="center"/>
    </xf>
    <xf numFmtId="0" fontId="0" fillId="15" borderId="45" xfId="0" applyFill="1" applyBorder="1" applyAlignment="1">
      <alignment horizontal="center" vertical="center"/>
    </xf>
    <xf numFmtId="0" fontId="8" fillId="0" borderId="0" xfId="0" applyFont="1">
      <alignment vertical="center"/>
    </xf>
    <xf numFmtId="0" fontId="3" fillId="8" borderId="3" xfId="0" applyFont="1" applyFill="1" applyBorder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 wrapText="1"/>
    </xf>
    <xf numFmtId="0" fontId="3" fillId="2" borderId="0" xfId="0" applyFont="1" applyFill="1" applyAlignment="1">
      <alignment horizontal="center" vertical="center"/>
    </xf>
    <xf numFmtId="0" fontId="10" fillId="2" borderId="0" xfId="0" applyFont="1" applyFill="1" applyAlignment="1">
      <alignment horizontal="center" vertical="center" wrapText="1"/>
    </xf>
    <xf numFmtId="0" fontId="3" fillId="2" borderId="5" xfId="0" applyFont="1" applyFill="1" applyBorder="1" applyAlignment="1">
      <alignment horizontal="center" vertical="center"/>
    </xf>
    <xf numFmtId="0" fontId="3" fillId="29" borderId="3" xfId="0" applyFont="1" applyFill="1" applyBorder="1" applyAlignment="1">
      <alignment horizontal="center" vertical="center"/>
    </xf>
    <xf numFmtId="0" fontId="3" fillId="29" borderId="0" xfId="0" applyFont="1" applyFill="1" applyAlignment="1">
      <alignment horizontal="center" vertical="center"/>
    </xf>
    <xf numFmtId="0" fontId="3" fillId="7" borderId="3" xfId="0" applyFont="1" applyFill="1" applyBorder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2" borderId="0" xfId="0" applyFill="1" applyAlignment="1">
      <alignment horizontal="justify" vertical="center" wrapText="1"/>
    </xf>
    <xf numFmtId="0" fontId="3" fillId="2" borderId="0" xfId="0" applyFont="1" applyFill="1" applyAlignment="1">
      <alignment horizontal="center" vertical="center" wrapText="1"/>
    </xf>
    <xf numFmtId="14" fontId="0" fillId="2" borderId="0" xfId="0" applyNumberFormat="1" applyFill="1" applyAlignment="1">
      <alignment horizontal="center" vertical="center"/>
    </xf>
    <xf numFmtId="14" fontId="0" fillId="2" borderId="5" xfId="0" applyNumberForma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 wrapText="1"/>
    </xf>
    <xf numFmtId="15" fontId="0" fillId="2" borderId="0" xfId="0" applyNumberFormat="1" applyFill="1" applyAlignment="1">
      <alignment horizontal="center" vertical="center"/>
    </xf>
    <xf numFmtId="0" fontId="0" fillId="2" borderId="0" xfId="0" applyFill="1" applyAlignment="1">
      <alignment horizontal="justify" vertical="center"/>
    </xf>
    <xf numFmtId="16" fontId="1" fillId="2" borderId="15" xfId="0" quotePrefix="1" applyNumberFormat="1" applyFont="1" applyFill="1" applyBorder="1" applyAlignment="1">
      <alignment horizontal="center"/>
    </xf>
    <xf numFmtId="0" fontId="0" fillId="10" borderId="39" xfId="0" applyFill="1" applyBorder="1" applyAlignment="1">
      <alignment horizontal="center" vertical="center"/>
    </xf>
    <xf numFmtId="0" fontId="0" fillId="10" borderId="44" xfId="0" applyFill="1" applyBorder="1" applyAlignment="1">
      <alignment horizontal="center" vertical="center"/>
    </xf>
    <xf numFmtId="0" fontId="0" fillId="16" borderId="36" xfId="0" applyFill="1" applyBorder="1" applyAlignment="1">
      <alignment horizontal="center" vertical="center"/>
    </xf>
    <xf numFmtId="0" fontId="0" fillId="18" borderId="36" xfId="0" applyFill="1" applyBorder="1" applyAlignment="1">
      <alignment horizontal="center" vertical="center"/>
    </xf>
    <xf numFmtId="0" fontId="0" fillId="16" borderId="37" xfId="0" applyFill="1" applyBorder="1" applyAlignment="1">
      <alignment horizontal="center" vertical="center"/>
    </xf>
    <xf numFmtId="0" fontId="0" fillId="18" borderId="37" xfId="0" applyFill="1" applyBorder="1" applyAlignment="1">
      <alignment horizontal="center" vertical="center"/>
    </xf>
    <xf numFmtId="0" fontId="0" fillId="10" borderId="10" xfId="0" applyFill="1" applyBorder="1" applyAlignment="1">
      <alignment horizontal="center" vertical="center"/>
    </xf>
    <xf numFmtId="0" fontId="0" fillId="10" borderId="43" xfId="0" applyFill="1" applyBorder="1" applyAlignment="1">
      <alignment horizontal="center" vertical="center"/>
    </xf>
    <xf numFmtId="0" fontId="3" fillId="24" borderId="43" xfId="0" applyFont="1" applyFill="1" applyBorder="1" applyAlignment="1">
      <alignment horizontal="center" vertical="center"/>
    </xf>
    <xf numFmtId="0" fontId="3" fillId="10" borderId="10" xfId="0" applyFont="1" applyFill="1" applyBorder="1" applyAlignment="1">
      <alignment horizontal="center" vertical="center"/>
    </xf>
    <xf numFmtId="0" fontId="3" fillId="10" borderId="43" xfId="0" applyFont="1" applyFill="1" applyBorder="1" applyAlignment="1">
      <alignment horizontal="center" vertical="center"/>
    </xf>
    <xf numFmtId="0" fontId="3" fillId="23" borderId="43" xfId="0" applyFont="1" applyFill="1" applyBorder="1" applyAlignment="1">
      <alignment horizontal="center" vertical="center"/>
    </xf>
    <xf numFmtId="0" fontId="3" fillId="12" borderId="34" xfId="0" applyFont="1" applyFill="1" applyBorder="1" applyAlignment="1">
      <alignment horizontal="center" vertical="center"/>
    </xf>
    <xf numFmtId="0" fontId="3" fillId="12" borderId="10" xfId="0" applyFont="1" applyFill="1" applyBorder="1" applyAlignment="1">
      <alignment horizontal="center" vertical="center"/>
    </xf>
    <xf numFmtId="0" fontId="3" fillId="12" borderId="43" xfId="0" applyFont="1" applyFill="1" applyBorder="1" applyAlignment="1">
      <alignment horizontal="center" vertical="center"/>
    </xf>
    <xf numFmtId="0" fontId="3" fillId="24" borderId="34" xfId="0" applyFont="1" applyFill="1" applyBorder="1" applyAlignment="1">
      <alignment horizontal="center" vertical="center"/>
    </xf>
    <xf numFmtId="0" fontId="3" fillId="24" borderId="10" xfId="0" applyFont="1" applyFill="1" applyBorder="1" applyAlignment="1">
      <alignment horizontal="center" vertical="center"/>
    </xf>
    <xf numFmtId="0" fontId="3" fillId="14" borderId="43" xfId="0" applyFont="1" applyFill="1" applyBorder="1" applyAlignment="1">
      <alignment horizontal="center" vertical="center"/>
    </xf>
    <xf numFmtId="0" fontId="3" fillId="22" borderId="28" xfId="0" applyFont="1" applyFill="1" applyBorder="1" applyAlignment="1">
      <alignment horizontal="center" vertical="center"/>
    </xf>
    <xf numFmtId="0" fontId="3" fillId="22" borderId="34" xfId="0" applyFont="1" applyFill="1" applyBorder="1" applyAlignment="1">
      <alignment horizontal="center" vertical="center"/>
    </xf>
    <xf numFmtId="0" fontId="3" fillId="22" borderId="43" xfId="0" applyFont="1" applyFill="1" applyBorder="1" applyAlignment="1">
      <alignment horizontal="center" vertical="center"/>
    </xf>
    <xf numFmtId="0" fontId="3" fillId="23" borderId="34" xfId="0" applyFont="1" applyFill="1" applyBorder="1" applyAlignment="1">
      <alignment horizontal="center" vertical="center"/>
    </xf>
    <xf numFmtId="0" fontId="3" fillId="23" borderId="10" xfId="0" applyFont="1" applyFill="1" applyBorder="1" applyAlignment="1">
      <alignment horizontal="center" vertical="center"/>
    </xf>
    <xf numFmtId="0" fontId="3" fillId="23" borderId="33" xfId="0" applyFont="1" applyFill="1" applyBorder="1" applyAlignment="1">
      <alignment horizontal="center" vertical="center"/>
    </xf>
    <xf numFmtId="0" fontId="3" fillId="12" borderId="33" xfId="0" applyFont="1" applyFill="1" applyBorder="1" applyAlignment="1">
      <alignment horizontal="center" vertical="center"/>
    </xf>
    <xf numFmtId="0" fontId="3" fillId="24" borderId="33" xfId="0" applyFont="1" applyFill="1" applyBorder="1" applyAlignment="1">
      <alignment horizontal="center" vertical="center"/>
    </xf>
    <xf numFmtId="0" fontId="3" fillId="14" borderId="34" xfId="0" applyFont="1" applyFill="1" applyBorder="1" applyAlignment="1">
      <alignment horizontal="center" vertical="center"/>
    </xf>
    <xf numFmtId="0" fontId="3" fillId="14" borderId="10" xfId="0" applyFont="1" applyFill="1" applyBorder="1" applyAlignment="1">
      <alignment horizontal="center" vertical="center"/>
    </xf>
    <xf numFmtId="0" fontId="3" fillId="10" borderId="35" xfId="0" applyFont="1" applyFill="1" applyBorder="1" applyAlignment="1">
      <alignment horizontal="center" vertical="center" wrapText="1"/>
    </xf>
    <xf numFmtId="0" fontId="3" fillId="10" borderId="33" xfId="0" applyFont="1" applyFill="1" applyBorder="1" applyAlignment="1">
      <alignment horizontal="center" vertical="center"/>
    </xf>
    <xf numFmtId="0" fontId="3" fillId="20" borderId="33" xfId="0" applyFont="1" applyFill="1" applyBorder="1" applyAlignment="1">
      <alignment horizontal="center" vertical="center"/>
    </xf>
    <xf numFmtId="0" fontId="3" fillId="21" borderId="33" xfId="0" applyFont="1" applyFill="1" applyBorder="1" applyAlignment="1">
      <alignment horizontal="center" vertical="center"/>
    </xf>
    <xf numFmtId="0" fontId="3" fillId="22" borderId="33" xfId="0" applyFont="1" applyFill="1" applyBorder="1" applyAlignment="1">
      <alignment horizontal="center" vertical="center"/>
    </xf>
    <xf numFmtId="0" fontId="0" fillId="11" borderId="27" xfId="0" applyFill="1" applyBorder="1" applyAlignment="1">
      <alignment horizontal="center" vertical="center"/>
    </xf>
    <xf numFmtId="0" fontId="3" fillId="18" borderId="40" xfId="0" applyFont="1" applyFill="1" applyBorder="1" applyAlignment="1">
      <alignment horizontal="center" vertical="center"/>
    </xf>
    <xf numFmtId="0" fontId="3" fillId="18" borderId="41" xfId="0" applyFont="1" applyFill="1" applyBorder="1" applyAlignment="1">
      <alignment horizontal="center" vertical="center"/>
    </xf>
    <xf numFmtId="0" fontId="3" fillId="18" borderId="45" xfId="0" applyFont="1" applyFill="1" applyBorder="1" applyAlignment="1">
      <alignment horizontal="center" vertical="center"/>
    </xf>
    <xf numFmtId="0" fontId="3" fillId="18" borderId="10" xfId="0" applyFont="1" applyFill="1" applyBorder="1" applyAlignment="1">
      <alignment horizontal="center" vertical="center"/>
    </xf>
    <xf numFmtId="0" fontId="0" fillId="12" borderId="27" xfId="0" applyFill="1" applyBorder="1" applyAlignment="1">
      <alignment horizontal="center" vertical="center"/>
    </xf>
    <xf numFmtId="0" fontId="6" fillId="17" borderId="27" xfId="0" applyFont="1" applyFill="1" applyBorder="1" applyAlignment="1">
      <alignment horizontal="center" vertical="center"/>
    </xf>
    <xf numFmtId="0" fontId="0" fillId="19" borderId="36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12" fillId="2" borderId="5" xfId="2" applyFill="1" applyBorder="1" applyAlignment="1">
      <alignment horizontal="center" vertical="center"/>
    </xf>
    <xf numFmtId="0" fontId="12" fillId="2" borderId="8" xfId="2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0" fontId="3" fillId="7" borderId="2" xfId="0" applyFont="1" applyFill="1" applyBorder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7" borderId="7" xfId="0" applyFont="1" applyFill="1" applyBorder="1" applyAlignment="1">
      <alignment horizontal="center" vertical="center"/>
    </xf>
    <xf numFmtId="0" fontId="11" fillId="2" borderId="0" xfId="2" quotePrefix="1" applyFont="1" applyFill="1" applyAlignment="1">
      <alignment horizontal="center" vertical="center"/>
    </xf>
    <xf numFmtId="0" fontId="11" fillId="2" borderId="0" xfId="2" applyFont="1" applyFill="1" applyAlignment="1">
      <alignment horizontal="center" vertical="center"/>
    </xf>
    <xf numFmtId="0" fontId="11" fillId="2" borderId="7" xfId="2" applyFont="1" applyFill="1" applyBorder="1" applyAlignment="1">
      <alignment horizontal="center" vertical="center"/>
    </xf>
    <xf numFmtId="0" fontId="11" fillId="2" borderId="0" xfId="2" quotePrefix="1" applyFont="1" applyFill="1" applyBorder="1" applyAlignment="1">
      <alignment horizontal="center" vertical="center"/>
    </xf>
    <xf numFmtId="0" fontId="11" fillId="2" borderId="0" xfId="2" applyFont="1" applyFill="1" applyBorder="1" applyAlignment="1">
      <alignment horizontal="center" vertical="center"/>
    </xf>
    <xf numFmtId="0" fontId="3" fillId="29" borderId="1" xfId="0" applyFont="1" applyFill="1" applyBorder="1" applyAlignment="1">
      <alignment horizontal="center" vertical="center"/>
    </xf>
    <xf numFmtId="0" fontId="3" fillId="29" borderId="2" xfId="0" applyFont="1" applyFill="1" applyBorder="1" applyAlignment="1">
      <alignment horizontal="center" vertical="center"/>
    </xf>
    <xf numFmtId="0" fontId="3" fillId="29" borderId="6" xfId="0" applyFont="1" applyFill="1" applyBorder="1" applyAlignment="1">
      <alignment horizontal="center" vertical="center"/>
    </xf>
    <xf numFmtId="0" fontId="3" fillId="29" borderId="0" xfId="0" applyFont="1" applyFill="1" applyAlignment="1">
      <alignment horizontal="center" vertical="center"/>
    </xf>
    <xf numFmtId="0" fontId="3" fillId="29" borderId="7" xfId="0" applyFont="1" applyFill="1" applyBorder="1" applyAlignment="1">
      <alignment horizontal="center" vertical="center"/>
    </xf>
    <xf numFmtId="0" fontId="12" fillId="2" borderId="0" xfId="2" quotePrefix="1" applyFill="1" applyAlignment="1">
      <alignment horizontal="center" vertical="center"/>
    </xf>
    <xf numFmtId="0" fontId="12" fillId="2" borderId="0" xfId="2" applyFill="1" applyAlignment="1">
      <alignment horizontal="center" vertical="center"/>
    </xf>
    <xf numFmtId="0" fontId="12" fillId="2" borderId="7" xfId="2" applyFill="1" applyBorder="1" applyAlignment="1">
      <alignment horizontal="center" vertical="center"/>
    </xf>
    <xf numFmtId="0" fontId="11" fillId="2" borderId="5" xfId="2" quotePrefix="1" applyFont="1" applyFill="1" applyBorder="1" applyAlignment="1">
      <alignment horizontal="center" vertical="center"/>
    </xf>
    <xf numFmtId="0" fontId="11" fillId="2" borderId="5" xfId="2" applyFont="1" applyFill="1" applyBorder="1" applyAlignment="1">
      <alignment horizontal="center" vertical="center"/>
    </xf>
    <xf numFmtId="0" fontId="11" fillId="2" borderId="8" xfId="2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0" fontId="3" fillId="8" borderId="2" xfId="0" applyFont="1" applyFill="1" applyBorder="1" applyAlignment="1">
      <alignment horizontal="center" vertical="center"/>
    </xf>
    <xf numFmtId="0" fontId="3" fillId="8" borderId="6" xfId="0" applyFont="1" applyFill="1" applyBorder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0" fontId="3" fillId="8" borderId="7" xfId="0" applyFont="1" applyFill="1" applyBorder="1" applyAlignment="1">
      <alignment horizontal="center" vertical="center"/>
    </xf>
    <xf numFmtId="0" fontId="11" fillId="0" borderId="0" xfId="2" applyFont="1" applyFill="1" applyAlignment="1">
      <alignment horizontal="center" vertical="center"/>
    </xf>
    <xf numFmtId="0" fontId="11" fillId="0" borderId="7" xfId="2" applyFont="1" applyFill="1" applyBorder="1" applyAlignment="1">
      <alignment horizontal="center" vertical="center"/>
    </xf>
    <xf numFmtId="0" fontId="9" fillId="0" borderId="0" xfId="0" applyFont="1">
      <alignment vertical="center"/>
    </xf>
    <xf numFmtId="0" fontId="0" fillId="10" borderId="27" xfId="0" applyFill="1" applyBorder="1" applyAlignment="1">
      <alignment horizontal="center" vertical="center"/>
    </xf>
    <xf numFmtId="0" fontId="0" fillId="2" borderId="44" xfId="0" applyFill="1" applyBorder="1">
      <alignment vertical="center"/>
    </xf>
    <xf numFmtId="0" fontId="3" fillId="2" borderId="40" xfId="0" applyFont="1" applyFill="1" applyBorder="1" applyAlignment="1">
      <alignment horizontal="center" vertical="center"/>
    </xf>
    <xf numFmtId="0" fontId="3" fillId="2" borderId="10" xfId="0" applyFont="1" applyFill="1" applyBorder="1" applyAlignment="1">
      <alignment horizontal="center" vertical="center"/>
    </xf>
    <xf numFmtId="0" fontId="3" fillId="2" borderId="43" xfId="0" applyFont="1" applyFill="1" applyBorder="1" applyAlignment="1">
      <alignment horizontal="center" vertical="center"/>
    </xf>
    <xf numFmtId="0" fontId="3" fillId="2" borderId="35" xfId="0" applyFont="1" applyFill="1" applyBorder="1" applyAlignment="1">
      <alignment horizontal="center" vertical="center" wrapText="1"/>
    </xf>
    <xf numFmtId="0" fontId="0" fillId="2" borderId="39" xfId="0" applyFill="1" applyBorder="1">
      <alignment vertical="center"/>
    </xf>
    <xf numFmtId="0" fontId="0" fillId="2" borderId="36" xfId="0" applyFill="1" applyBorder="1" applyAlignment="1">
      <alignment horizontal="center" vertical="center"/>
    </xf>
    <xf numFmtId="0" fontId="0" fillId="2" borderId="37" xfId="0" applyFill="1" applyBorder="1" applyAlignment="1">
      <alignment horizontal="center" vertical="center"/>
    </xf>
    <xf numFmtId="0" fontId="3" fillId="2" borderId="34" xfId="0" applyFont="1" applyFill="1" applyBorder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2" borderId="43" xfId="0" applyFill="1" applyBorder="1" applyAlignment="1">
      <alignment horizontal="center" vertical="center"/>
    </xf>
    <xf numFmtId="0" fontId="0" fillId="2" borderId="39" xfId="0" applyFill="1" applyBorder="1" applyAlignment="1">
      <alignment horizontal="center" vertical="center"/>
    </xf>
    <xf numFmtId="0" fontId="0" fillId="2" borderId="44" xfId="0" applyFill="1" applyBorder="1" applyAlignment="1">
      <alignment horizontal="center" vertical="center"/>
    </xf>
    <xf numFmtId="0" fontId="3" fillId="2" borderId="28" xfId="0" applyFont="1" applyFill="1" applyBorder="1" applyAlignment="1">
      <alignment horizontal="center" vertical="center"/>
    </xf>
    <xf numFmtId="0" fontId="3" fillId="2" borderId="33" xfId="0" applyFont="1" applyFill="1" applyBorder="1" applyAlignment="1">
      <alignment horizontal="center" vertical="center"/>
    </xf>
    <xf numFmtId="0" fontId="3" fillId="2" borderId="41" xfId="0" applyFont="1" applyFill="1" applyBorder="1" applyAlignment="1">
      <alignment horizontal="center" vertical="center"/>
    </xf>
    <xf numFmtId="0" fontId="3" fillId="2" borderId="45" xfId="0" applyFont="1" applyFill="1" applyBorder="1" applyAlignment="1">
      <alignment horizontal="center" vertical="center"/>
    </xf>
    <xf numFmtId="0" fontId="0" fillId="2" borderId="27" xfId="0" applyFill="1" applyBorder="1" applyAlignment="1">
      <alignment horizontal="center" vertical="center"/>
    </xf>
    <xf numFmtId="0" fontId="3" fillId="2" borderId="27" xfId="0" applyFont="1" applyFill="1" applyBorder="1" applyAlignment="1">
      <alignment horizontal="center" vertical="center"/>
    </xf>
    <xf numFmtId="9" fontId="0" fillId="2" borderId="69" xfId="0" applyNumberFormat="1" applyFill="1" applyBorder="1" applyAlignment="1">
      <alignment horizontal="center" vertical="center"/>
    </xf>
    <xf numFmtId="0" fontId="0" fillId="2" borderId="33" xfId="0" applyFill="1" applyBorder="1" applyAlignment="1">
      <alignment horizontal="center" vertical="center"/>
    </xf>
    <xf numFmtId="10" fontId="0" fillId="2" borderId="39" xfId="0" applyNumberFormat="1" applyFill="1" applyBorder="1" applyAlignment="1">
      <alignment horizontal="center" vertical="center"/>
    </xf>
    <xf numFmtId="0" fontId="0" fillId="2" borderId="23" xfId="0" applyFill="1" applyBorder="1" applyAlignment="1">
      <alignment horizontal="center" vertical="center"/>
    </xf>
    <xf numFmtId="0" fontId="0" fillId="2" borderId="68" xfId="0" applyFill="1" applyBorder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3" borderId="23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65" xfId="0" applyFont="1" applyFill="1" applyBorder="1" applyAlignment="1">
      <alignment horizontal="center" vertical="center"/>
    </xf>
    <xf numFmtId="0" fontId="3" fillId="3" borderId="66" xfId="0" applyFont="1" applyFill="1" applyBorder="1" applyAlignment="1">
      <alignment horizontal="center" vertical="center"/>
    </xf>
    <xf numFmtId="0" fontId="3" fillId="3" borderId="67" xfId="0" applyFont="1" applyFill="1" applyBorder="1" applyAlignment="1">
      <alignment horizontal="center" vertical="center"/>
    </xf>
    <xf numFmtId="0" fontId="0" fillId="2" borderId="60" xfId="0" applyFill="1" applyBorder="1" applyAlignment="1">
      <alignment horizontal="left" vertical="center"/>
    </xf>
    <xf numFmtId="164" fontId="0" fillId="2" borderId="62" xfId="0" applyNumberFormat="1" applyFill="1" applyBorder="1" applyAlignment="1">
      <alignment horizontal="left" vertical="center"/>
    </xf>
    <xf numFmtId="0" fontId="0" fillId="2" borderId="64" xfId="0" applyFill="1" applyBorder="1" applyAlignment="1">
      <alignment horizontal="left" vertical="center"/>
    </xf>
    <xf numFmtId="0" fontId="3" fillId="27" borderId="1" xfId="0" applyFont="1" applyFill="1" applyBorder="1" applyAlignment="1">
      <alignment horizontal="center" vertical="center"/>
    </xf>
    <xf numFmtId="0" fontId="3" fillId="27" borderId="2" xfId="0" applyFont="1" applyFill="1" applyBorder="1" applyAlignment="1">
      <alignment horizontal="center" vertical="center"/>
    </xf>
    <xf numFmtId="0" fontId="3" fillId="27" borderId="6" xfId="0" applyFont="1" applyFill="1" applyBorder="1" applyAlignment="1">
      <alignment horizontal="center" vertical="center"/>
    </xf>
    <xf numFmtId="0" fontId="3" fillId="18" borderId="21" xfId="0" applyFont="1" applyFill="1" applyBorder="1" applyAlignment="1">
      <alignment horizontal="center" vertical="center"/>
    </xf>
    <xf numFmtId="0" fontId="3" fillId="18" borderId="54" xfId="0" applyFont="1" applyFill="1" applyBorder="1" applyAlignment="1">
      <alignment horizontal="center" vertical="center"/>
    </xf>
    <xf numFmtId="0" fontId="3" fillId="18" borderId="22" xfId="0" applyFont="1" applyFill="1" applyBorder="1" applyAlignment="1">
      <alignment horizontal="center" vertical="center"/>
    </xf>
    <xf numFmtId="0" fontId="0" fillId="12" borderId="50" xfId="0" applyFill="1" applyBorder="1" applyAlignment="1">
      <alignment horizontal="center" vertical="center"/>
    </xf>
    <xf numFmtId="0" fontId="0" fillId="12" borderId="51" xfId="0" applyFill="1" applyBorder="1" applyAlignment="1">
      <alignment horizontal="center" vertical="center"/>
    </xf>
    <xf numFmtId="0" fontId="0" fillId="12" borderId="52" xfId="0" applyFill="1" applyBorder="1" applyAlignment="1">
      <alignment horizontal="center" vertical="center"/>
    </xf>
    <xf numFmtId="0" fontId="3" fillId="18" borderId="18" xfId="0" applyFont="1" applyFill="1" applyBorder="1" applyAlignment="1">
      <alignment horizontal="center" vertical="center"/>
    </xf>
    <xf numFmtId="0" fontId="3" fillId="18" borderId="53" xfId="0" applyFont="1" applyFill="1" applyBorder="1" applyAlignment="1">
      <alignment horizontal="center" vertical="center"/>
    </xf>
    <xf numFmtId="0" fontId="3" fillId="7" borderId="6" xfId="0" applyFont="1" applyFill="1" applyBorder="1" applyAlignment="1">
      <alignment horizontal="center" vertical="center"/>
    </xf>
    <xf numFmtId="0" fontId="3" fillId="7" borderId="4" xfId="0" applyFont="1" applyFill="1" applyBorder="1" applyAlignment="1">
      <alignment horizontal="center" vertical="center"/>
    </xf>
    <xf numFmtId="0" fontId="3" fillId="7" borderId="5" xfId="0" applyFont="1" applyFill="1" applyBorder="1" applyAlignment="1">
      <alignment horizontal="center" vertical="center"/>
    </xf>
    <xf numFmtId="0" fontId="3" fillId="7" borderId="8" xfId="0" applyFont="1" applyFill="1" applyBorder="1" applyAlignment="1">
      <alignment horizontal="center" vertical="center"/>
    </xf>
    <xf numFmtId="0" fontId="3" fillId="7" borderId="18" xfId="0" applyFont="1" applyFill="1" applyBorder="1" applyAlignment="1">
      <alignment horizontal="center" vertical="center"/>
    </xf>
    <xf numFmtId="0" fontId="3" fillId="7" borderId="21" xfId="0" applyFont="1" applyFill="1" applyBorder="1" applyAlignment="1">
      <alignment horizontal="center" vertical="center"/>
    </xf>
    <xf numFmtId="0" fontId="3" fillId="7" borderId="22" xfId="0" applyFont="1" applyFill="1" applyBorder="1" applyAlignment="1">
      <alignment horizontal="center" vertical="center"/>
    </xf>
    <xf numFmtId="0" fontId="2" fillId="9" borderId="18" xfId="0" applyFont="1" applyFill="1" applyBorder="1" applyAlignment="1">
      <alignment horizontal="center"/>
    </xf>
    <xf numFmtId="0" fontId="2" fillId="9" borderId="21" xfId="0" applyFont="1" applyFill="1" applyBorder="1" applyAlignment="1">
      <alignment horizontal="center"/>
    </xf>
    <xf numFmtId="0" fontId="2" fillId="9" borderId="22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 vertical="center"/>
    </xf>
    <xf numFmtId="0" fontId="2" fillId="4" borderId="11" xfId="0" applyFon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1" fillId="2" borderId="18" xfId="0" applyFont="1" applyFill="1" applyBorder="1" applyAlignment="1">
      <alignment horizontal="center" vertical="center"/>
    </xf>
    <xf numFmtId="0" fontId="1" fillId="2" borderId="13" xfId="0" applyFont="1" applyFill="1" applyBorder="1" applyAlignment="1">
      <alignment horizontal="center" vertical="center"/>
    </xf>
    <xf numFmtId="0" fontId="1" fillId="2" borderId="21" xfId="0" applyFont="1" applyFill="1" applyBorder="1" applyAlignment="1">
      <alignment horizontal="center" vertical="center"/>
    </xf>
    <xf numFmtId="0" fontId="1" fillId="2" borderId="14" xfId="0" applyFont="1" applyFill="1" applyBorder="1" applyAlignment="1">
      <alignment horizontal="center" vertical="center"/>
    </xf>
    <xf numFmtId="0" fontId="1" fillId="2" borderId="22" xfId="0" applyFont="1" applyFill="1" applyBorder="1" applyAlignment="1">
      <alignment horizontal="center" vertical="center"/>
    </xf>
    <xf numFmtId="0" fontId="1" fillId="2" borderId="17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/>
    </xf>
    <xf numFmtId="0" fontId="2" fillId="6" borderId="6" xfId="0" applyFont="1" applyFill="1" applyBorder="1" applyAlignment="1">
      <alignment horizontal="center" vertical="center"/>
    </xf>
    <xf numFmtId="0" fontId="2" fillId="6" borderId="16" xfId="0" applyFont="1" applyFill="1" applyBorder="1" applyAlignment="1">
      <alignment horizontal="center" vertical="center"/>
    </xf>
    <xf numFmtId="0" fontId="2" fillId="6" borderId="19" xfId="0" applyFont="1" applyFill="1" applyBorder="1" applyAlignment="1">
      <alignment horizontal="center" vertical="center"/>
    </xf>
    <xf numFmtId="0" fontId="2" fillId="6" borderId="20" xfId="0" applyFont="1" applyFill="1" applyBorder="1" applyAlignment="1">
      <alignment horizontal="center" vertical="center"/>
    </xf>
    <xf numFmtId="0" fontId="3" fillId="8" borderId="4" xfId="0" applyFont="1" applyFill="1" applyBorder="1" applyAlignment="1">
      <alignment horizontal="center" vertical="center"/>
    </xf>
    <xf numFmtId="0" fontId="3" fillId="8" borderId="5" xfId="0" applyFont="1" applyFill="1" applyBorder="1" applyAlignment="1">
      <alignment horizontal="center" vertical="center"/>
    </xf>
    <xf numFmtId="0" fontId="3" fillId="8" borderId="8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0" fontId="2" fillId="5" borderId="1" xfId="0" applyFont="1" applyFill="1" applyBorder="1" applyAlignment="1">
      <alignment horizontal="center"/>
    </xf>
    <xf numFmtId="0" fontId="2" fillId="5" borderId="2" xfId="0" applyFont="1" applyFill="1" applyBorder="1" applyAlignment="1">
      <alignment horizontal="center"/>
    </xf>
    <xf numFmtId="0" fontId="2" fillId="5" borderId="6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left"/>
    </xf>
    <xf numFmtId="0" fontId="1" fillId="2" borderId="2" xfId="0" applyFont="1" applyFill="1" applyBorder="1" applyAlignment="1">
      <alignment horizontal="left"/>
    </xf>
    <xf numFmtId="0" fontId="1" fillId="2" borderId="6" xfId="0" applyFont="1" applyFill="1" applyBorder="1" applyAlignment="1">
      <alignment horizontal="left"/>
    </xf>
    <xf numFmtId="0" fontId="1" fillId="2" borderId="0" xfId="0" applyFont="1" applyFill="1" applyAlignment="1">
      <alignment horizontal="left"/>
    </xf>
    <xf numFmtId="0" fontId="1" fillId="2" borderId="7" xfId="0" applyFont="1" applyFill="1" applyBorder="1" applyAlignment="1">
      <alignment horizontal="left"/>
    </xf>
    <xf numFmtId="14" fontId="1" fillId="2" borderId="0" xfId="0" applyNumberFormat="1" applyFont="1" applyFill="1" applyAlignment="1">
      <alignment horizontal="left"/>
    </xf>
    <xf numFmtId="14" fontId="1" fillId="2" borderId="7" xfId="0" applyNumberFormat="1" applyFont="1" applyFill="1" applyBorder="1" applyAlignment="1">
      <alignment horizontal="left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>
              <a:defRPr lang="en-US" sz="1300" b="0" i="0" u="none" strike="noStrike" kern="1200" baseline="0">
                <a:solidFill>
                  <a:schemeClr val="tx1"/>
                </a:solidFill>
                <a:uFillTx/>
                <a:latin typeface="Arial" panose="020B0604020202020204"/>
                <a:ea typeface="+mn-ea"/>
                <a:cs typeface="+mn-cs"/>
              </a:defRPr>
            </a:pPr>
            <a:r>
              <a:rPr lang="en-US" sz="1300" b="0" u="none" strike="noStrike">
                <a:uFillTx/>
                <a:latin typeface="Arial" panose="020B0604020202020204"/>
              </a:rPr>
              <a:t>Title
</a:t>
            </a:r>
          </a:p>
          <a:p>
            <a:pPr>
              <a:defRPr lang="en-US" sz="1300" b="0" i="0" u="none" strike="noStrike" kern="1200" baseline="0">
                <a:solidFill>
                  <a:schemeClr val="tx1"/>
                </a:solidFill>
                <a:uFillTx/>
                <a:latin typeface="Arial" panose="020B0604020202020204"/>
                <a:ea typeface="+mn-ea"/>
                <a:cs typeface="+mn-cs"/>
              </a:defRPr>
            </a:pPr>
            <a:r>
              <a:rPr lang="en-US" sz="1100" b="0" u="none" strike="noStrike">
                <a:uFillTx/>
                <a:latin typeface="Arial" panose="020B0604020202020204"/>
              </a:rPr>
              <a:t>Subtitle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'CIP VARIASI PH 8-9 (RETEST)'!$I$43</c:f>
              <c:strCache>
                <c:ptCount val="1"/>
                <c:pt idx="0">
                  <c:v>Au</c:v>
                </c:pt>
              </c:strCache>
            </c:strRef>
          </c:tx>
          <c:spPr>
            <a:ln w="28800" cap="rnd" cmpd="sng" algn="ctr">
              <a:solidFill>
                <a:srgbClr val="004586"/>
              </a:solidFill>
              <a:prstDash val="solid"/>
              <a:round/>
            </a:ln>
          </c:spPr>
          <c:marker>
            <c:symbol val="square"/>
            <c:size val="8"/>
            <c:spPr>
              <a:solidFill>
                <a:srgbClr val="004586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none" lIns="38100" tIns="19050" rIns="38100" bIns="19050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uFillTx/>
                    <a:latin typeface="Arial" panose="020B0604020202020204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28800" cap="flat" cmpd="sng" algn="ctr">
                      <a:solidFill>
                        <a:srgbClr val="000000"/>
                      </a:solidFill>
                      <a:prstDash val="solid"/>
                      <a:round/>
                    </a:ln>
                  </c:spPr>
                </c15:leaderLines>
              </c:ext>
            </c:extLst>
          </c:dLbls>
          <c:cat>
            <c:numRef>
              <c:f>'CIP VARIASI PH 8-9 (RETEST)'!$H$44:$H$49</c:f>
              <c:numCache>
                <c:formatCode>General</c:formatCode>
                <c:ptCount val="6"/>
                <c:pt idx="0">
                  <c:v>2</c:v>
                </c:pt>
                <c:pt idx="1">
                  <c:v>4</c:v>
                </c:pt>
                <c:pt idx="2">
                  <c:v>8</c:v>
                </c:pt>
                <c:pt idx="3">
                  <c:v>12</c:v>
                </c:pt>
                <c:pt idx="4">
                  <c:v>24</c:v>
                </c:pt>
                <c:pt idx="5">
                  <c:v>48</c:v>
                </c:pt>
              </c:numCache>
            </c:numRef>
          </c:cat>
          <c:val>
            <c:numRef>
              <c:f>'CIP VARIASI PH 8-9 (RETEST)'!$I$44:$I$49</c:f>
              <c:numCache>
                <c:formatCode>0%</c:formatCode>
                <c:ptCount val="6"/>
                <c:pt idx="0">
                  <c:v>0.37746007095488843</c:v>
                </c:pt>
                <c:pt idx="1">
                  <c:v>0.43216769276016487</c:v>
                </c:pt>
                <c:pt idx="2">
                  <c:v>0.45452475853064561</c:v>
                </c:pt>
                <c:pt idx="3">
                  <c:v>0.45981130380530355</c:v>
                </c:pt>
                <c:pt idx="4">
                  <c:v>0.86501466228746449</c:v>
                </c:pt>
                <c:pt idx="5">
                  <c:v>0.8900986797173126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D1CD-4164-8853-8BE4124F9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1"/>
        </c:dLbls>
        <c:hiLowLines>
          <c:spPr>
            <a:ln w="0" cap="flat" cmpd="sng" algn="ctr">
              <a:noFill/>
              <a:prstDash val="solid"/>
              <a:round/>
            </a:ln>
          </c:spPr>
        </c:hiLowLines>
        <c:marker val="1"/>
        <c:smooth val="0"/>
        <c:axId val="20478170"/>
        <c:axId val="86352408"/>
      </c:lineChart>
      <c:catAx>
        <c:axId val="2047817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0" cap="flat" cmpd="sng" algn="ctr">
            <a:solidFill>
              <a:srgbClr val="B3B3B3"/>
            </a:solidFill>
            <a:prstDash val="solid"/>
            <a:round/>
          </a:ln>
        </c:spPr>
        <c:txPr>
          <a:bodyPr rot="-60000000" spcFirstLastPara="0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uFillTx/>
                <a:latin typeface="Arial" panose="020B0604020202020204"/>
                <a:ea typeface="+mn-ea"/>
                <a:cs typeface="+mn-cs"/>
              </a:defRPr>
            </a:pPr>
            <a:endParaRPr lang="en-US"/>
          </a:p>
        </c:txPr>
        <c:crossAx val="86352408"/>
        <c:crosses val="autoZero"/>
        <c:auto val="1"/>
        <c:lblAlgn val="ctr"/>
        <c:lblOffset val="100"/>
        <c:noMultiLvlLbl val="0"/>
      </c:catAx>
      <c:valAx>
        <c:axId val="86352408"/>
        <c:scaling>
          <c:orientation val="minMax"/>
        </c:scaling>
        <c:delete val="0"/>
        <c:axPos val="l"/>
        <c:majorGridlines>
          <c:spPr>
            <a:ln w="0" cap="flat" cmpd="sng" algn="ctr">
              <a:solidFill>
                <a:srgbClr val="B3B3B3"/>
              </a:solidFill>
              <a:prstDash val="solid"/>
              <a:round/>
            </a:ln>
          </c:spPr>
        </c:majorGridlines>
        <c:numFmt formatCode="0%" sourceLinked="1"/>
        <c:majorTickMark val="out"/>
        <c:minorTickMark val="none"/>
        <c:tickLblPos val="nextTo"/>
        <c:spPr>
          <a:ln w="0" cap="flat" cmpd="sng" algn="ctr">
            <a:solidFill>
              <a:srgbClr val="B3B3B3"/>
            </a:solidFill>
            <a:prstDash val="solid"/>
            <a:round/>
          </a:ln>
        </c:spPr>
        <c:txPr>
          <a:bodyPr rot="-60000000" spcFirstLastPara="0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uFillTx/>
                <a:latin typeface="Arial" panose="020B0604020202020204"/>
                <a:ea typeface="+mn-ea"/>
                <a:cs typeface="+mn-cs"/>
              </a:defRPr>
            </a:pPr>
            <a:endParaRPr lang="en-US"/>
          </a:p>
        </c:txPr>
        <c:crossAx val="20478170"/>
        <c:crosses val="autoZero"/>
        <c:crossBetween val="midCat"/>
      </c:valAx>
      <c:spPr>
        <a:noFill/>
        <a:ln w="0">
          <a:solidFill>
            <a:srgbClr val="B3B3B3"/>
          </a:solidFill>
        </a:ln>
      </c:spPr>
    </c:plotArea>
    <c:legend>
      <c:legendPos val="r"/>
      <c:overlay val="0"/>
      <c:spPr>
        <a:noFill/>
        <a:ln w="0">
          <a:noFill/>
        </a:ln>
      </c:spPr>
      <c:txPr>
        <a:bodyPr rot="0" spcFirstLastPara="0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uFillTx/>
              <a:latin typeface="Arial" panose="020B0604020202020204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0" cap="flat" cmpd="sng" algn="ctr">
      <a:noFill/>
      <a:prstDash val="solid"/>
      <a:round/>
    </a:ln>
  </c:spPr>
  <c:txPr>
    <a:bodyPr/>
    <a:lstStyle/>
    <a:p>
      <a:pPr>
        <a:defRPr lang="en-US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>
              <a:defRPr lang="en-US" sz="1300" b="0" i="0" u="none" strike="noStrike" kern="1200" baseline="0">
                <a:solidFill>
                  <a:schemeClr val="tx1"/>
                </a:solidFill>
                <a:uFillTx/>
                <a:latin typeface="Arial" panose="020B0604020202020204"/>
                <a:ea typeface="+mn-ea"/>
                <a:cs typeface="+mn-cs"/>
              </a:defRPr>
            </a:pPr>
            <a:r>
              <a:rPr sz="1300" b="0" u="none" strike="noStrike">
                <a:uFillTx/>
                <a:latin typeface="Arial" panose="020B0604020202020204"/>
              </a:rPr>
              <a:t>REAGEN CONSUMTION</a:t>
            </a:r>
          </a:p>
          <a:p>
            <a:pPr>
              <a:defRPr lang="en-US" sz="1300" b="0" i="0" u="none" strike="noStrike" kern="1200" baseline="0">
                <a:solidFill>
                  <a:schemeClr val="tx1"/>
                </a:solidFill>
                <a:uFillTx/>
                <a:latin typeface="Arial" panose="020B0604020202020204"/>
                <a:ea typeface="+mn-ea"/>
                <a:cs typeface="+mn-cs"/>
              </a:defRPr>
            </a:pPr>
            <a:r>
              <a:rPr sz="1300" b="0" u="none" strike="noStrike">
                <a:uFillTx/>
                <a:latin typeface="Arial" panose="020B0604020202020204"/>
              </a:rPr>
              <a:t>NORMAL PARAMETER
</a:t>
            </a:r>
          </a:p>
          <a:p>
            <a:pPr>
              <a:defRPr lang="en-US" sz="1300" b="0" i="0" u="none" strike="noStrike" kern="1200" baseline="0">
                <a:solidFill>
                  <a:schemeClr val="tx1"/>
                </a:solidFill>
                <a:uFillTx/>
                <a:latin typeface="Arial" panose="020B0604020202020204"/>
                <a:ea typeface="+mn-ea"/>
                <a:cs typeface="+mn-cs"/>
              </a:defRPr>
            </a:pPr>
            <a:r>
              <a:rPr sz="1100" b="0" u="none" strike="noStrike">
                <a:uFillTx/>
                <a:latin typeface="Arial" panose="020B0604020202020204"/>
              </a:rPr>
              <a:t>SS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'REPORT ALL TESTWORK'!$AF$16</c:f>
              <c:strCache>
                <c:ptCount val="1"/>
                <c:pt idx="0">
                  <c:v>SANDIOS (Kg/t)</c:v>
                </c:pt>
              </c:strCache>
            </c:strRef>
          </c:tx>
          <c:spPr>
            <a:solidFill>
              <a:srgbClr val="004586"/>
            </a:solidFill>
            <a:ln w="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none" lIns="38100" tIns="19050" rIns="38100" bIns="19050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uFillTx/>
                    <a:latin typeface="Arial" panose="020B0604020202020204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'REPORT ALL TESTWORK'!$AE$17:$AE$20</c:f>
              <c:strCache>
                <c:ptCount val="4"/>
                <c:pt idx="0">
                  <c:v>CIP 1</c:v>
                </c:pt>
                <c:pt idx="1">
                  <c:v>CIP 2</c:v>
                </c:pt>
                <c:pt idx="2">
                  <c:v>CIP 3</c:v>
                </c:pt>
                <c:pt idx="3">
                  <c:v>CIP 4</c:v>
                </c:pt>
              </c:strCache>
            </c:strRef>
          </c:cat>
          <c:val>
            <c:numRef>
              <c:f>'REPORT ALL TESTWORK'!$AF$17:$AF$20</c:f>
              <c:numCache>
                <c:formatCode>0.00</c:formatCode>
                <c:ptCount val="4"/>
                <c:pt idx="0">
                  <c:v>1.470213438735178</c:v>
                </c:pt>
                <c:pt idx="1">
                  <c:v>1.4417134387351778</c:v>
                </c:pt>
                <c:pt idx="2">
                  <c:v>1.4222134387351779</c:v>
                </c:pt>
                <c:pt idx="3">
                  <c:v>1.4222134387351779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0B-4069-987D-92FAF3535FCC}"/>
            </c:ext>
          </c:extLst>
        </c:ser>
        <c:ser>
          <c:idx val="1"/>
          <c:order val="1"/>
          <c:tx>
            <c:strRef>
              <c:f>'REPORT ALL TESTWORK'!$AG$16</c:f>
              <c:strCache>
                <c:ptCount val="1"/>
                <c:pt idx="0">
                  <c:v>LIMESTONE (kg/t)</c:v>
                </c:pt>
              </c:strCache>
            </c:strRef>
          </c:tx>
          <c:spPr>
            <a:solidFill>
              <a:srgbClr val="FF420E"/>
            </a:solidFill>
            <a:ln w="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none" lIns="38100" tIns="19050" rIns="38100" bIns="19050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uFillTx/>
                    <a:latin typeface="Arial" panose="020B0604020202020204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'REPORT ALL TESTWORK'!$AE$17:$AE$20</c:f>
              <c:strCache>
                <c:ptCount val="4"/>
                <c:pt idx="0">
                  <c:v>CIP 1</c:v>
                </c:pt>
                <c:pt idx="1">
                  <c:v>CIP 2</c:v>
                </c:pt>
                <c:pt idx="2">
                  <c:v>CIP 3</c:v>
                </c:pt>
                <c:pt idx="3">
                  <c:v>CIP 4</c:v>
                </c:pt>
              </c:strCache>
            </c:strRef>
          </c:cat>
          <c:val>
            <c:numRef>
              <c:f>'REPORT ALL TESTWORK'!$AG$17:$AG$20</c:f>
              <c:numCache>
                <c:formatCode>0.00</c:formatCode>
                <c:ptCount val="4"/>
                <c:pt idx="0">
                  <c:v>4.4466403162055341</c:v>
                </c:pt>
                <c:pt idx="1">
                  <c:v>5.0395256916996045</c:v>
                </c:pt>
                <c:pt idx="2">
                  <c:v>8.3992094861660078</c:v>
                </c:pt>
                <c:pt idx="3">
                  <c:v>8.3992094861660078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20B-4069-987D-92FAF3535F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1"/>
        </c:dLbls>
        <c:gapWidth val="100"/>
        <c:axId val="16709499"/>
        <c:axId val="81957358"/>
      </c:barChart>
      <c:catAx>
        <c:axId val="16709499"/>
        <c:scaling>
          <c:orientation val="minMax"/>
        </c:scaling>
        <c:delete val="0"/>
        <c:axPos val="b"/>
        <c:majorGridlines>
          <c:spPr>
            <a:ln w="0" cap="flat" cmpd="sng" algn="ctr">
              <a:solidFill>
                <a:srgbClr val="B3B3B3"/>
              </a:solidFill>
              <a:prstDash val="solid"/>
              <a:round/>
            </a:ln>
          </c:spPr>
        </c:majorGridlines>
        <c:minorGridlines>
          <c:spPr>
            <a:ln w="0" cap="flat" cmpd="sng" algn="ctr">
              <a:solidFill>
                <a:srgbClr val="DDDDDD"/>
              </a:solidFill>
              <a:prstDash val="solid"/>
              <a:round/>
            </a:ln>
          </c:spPr>
        </c:minorGridlines>
        <c:title>
          <c:tx>
            <c:rich>
              <a:bodyPr rot="0" spcFirstLastPara="0" vertOverflow="ellipsis" vert="horz" wrap="square" anchor="ctr" anchorCtr="1"/>
              <a:lstStyle/>
              <a:p>
                <a:pPr>
                  <a:defRPr lang="en-US" sz="1300" b="0" i="0" u="none" strike="noStrike" kern="1200" baseline="0">
                    <a:solidFill>
                      <a:schemeClr val="tx1"/>
                    </a:solidFill>
                    <a:uFillTx/>
                    <a:latin typeface="Arial" panose="020B0604020202020204"/>
                    <a:ea typeface="+mn-ea"/>
                    <a:cs typeface="+mn-cs"/>
                  </a:defRPr>
                </a:pPr>
                <a:r>
                  <a:rPr sz="900" b="0" u="none" strike="noStrike">
                    <a:uFillTx/>
                    <a:latin typeface="Arial" panose="020B0604020202020204"/>
                  </a:rPr>
                  <a:t>NAMA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0" cap="flat" cmpd="sng" algn="ctr">
            <a:solidFill>
              <a:srgbClr val="B3B3B3"/>
            </a:solidFill>
            <a:prstDash val="solid"/>
            <a:round/>
          </a:ln>
        </c:spPr>
        <c:txPr>
          <a:bodyPr rot="-60000000" spcFirstLastPara="0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uFillTx/>
                <a:latin typeface="Arial" panose="020B0604020202020204"/>
                <a:ea typeface="+mn-ea"/>
                <a:cs typeface="+mn-cs"/>
              </a:defRPr>
            </a:pPr>
            <a:endParaRPr lang="en-US"/>
          </a:p>
        </c:txPr>
        <c:crossAx val="81957358"/>
        <c:crosses val="autoZero"/>
        <c:auto val="1"/>
        <c:lblAlgn val="ctr"/>
        <c:lblOffset val="100"/>
        <c:noMultiLvlLbl val="0"/>
      </c:catAx>
      <c:valAx>
        <c:axId val="81957358"/>
        <c:scaling>
          <c:orientation val="minMax"/>
        </c:scaling>
        <c:delete val="0"/>
        <c:axPos val="l"/>
        <c:majorGridlines>
          <c:spPr>
            <a:ln w="0" cap="flat" cmpd="sng" algn="ctr">
              <a:solidFill>
                <a:srgbClr val="B3B3B3"/>
              </a:solidFill>
              <a:prstDash val="solid"/>
              <a:round/>
            </a:ln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>
                  <a:defRPr lang="en-US" sz="1300" b="0" i="0" u="none" strike="noStrike" kern="1200" baseline="0">
                    <a:solidFill>
                      <a:schemeClr val="tx1"/>
                    </a:solidFill>
                    <a:uFillTx/>
                    <a:latin typeface="Arial" panose="020B0604020202020204"/>
                    <a:ea typeface="+mn-ea"/>
                    <a:cs typeface="+mn-cs"/>
                  </a:defRPr>
                </a:pPr>
                <a:r>
                  <a:rPr sz="900" b="0" u="none" strike="noStrike">
                    <a:uFillTx/>
                    <a:latin typeface="Arial" panose="020B0604020202020204"/>
                  </a:rPr>
                  <a:t>TOTAL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0" cap="flat" cmpd="sng" algn="ctr">
            <a:solidFill>
              <a:srgbClr val="B3B3B3"/>
            </a:solidFill>
            <a:prstDash val="solid"/>
            <a:round/>
          </a:ln>
        </c:spPr>
        <c:txPr>
          <a:bodyPr rot="-60000000" spcFirstLastPara="0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uFillTx/>
                <a:latin typeface="Arial" panose="020B0604020202020204"/>
                <a:ea typeface="+mn-ea"/>
                <a:cs typeface="+mn-cs"/>
              </a:defRPr>
            </a:pPr>
            <a:endParaRPr lang="en-US"/>
          </a:p>
        </c:txPr>
        <c:crossAx val="16709499"/>
        <c:crosses val="autoZero"/>
        <c:crossBetween val="between"/>
      </c:valAx>
      <c:spPr>
        <a:noFill/>
        <a:ln w="0">
          <a:solidFill>
            <a:srgbClr val="B3B3B3"/>
          </a:solidFill>
        </a:ln>
        <a:effectLst/>
      </c:spPr>
    </c:plotArea>
    <c:legend>
      <c:legendPos val="r"/>
      <c:overlay val="0"/>
      <c:spPr>
        <a:noFill/>
        <a:ln w="0">
          <a:noFill/>
        </a:ln>
      </c:spPr>
      <c:txPr>
        <a:bodyPr rot="0" spcFirstLastPara="0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uFillTx/>
              <a:latin typeface="Arial" panose="020B0604020202020204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0" cap="flat" cmpd="sng" algn="ctr">
      <a:noFill/>
      <a:prstDash val="solid"/>
      <a:round/>
    </a:ln>
  </c:spPr>
  <c:txPr>
    <a:bodyPr/>
    <a:lstStyle/>
    <a:p>
      <a:pPr>
        <a:defRPr lang="en-US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>
              <a:defRPr lang="en-US" sz="1300" b="0" i="0" u="none" strike="noStrike" kern="1200" baseline="0">
                <a:solidFill>
                  <a:schemeClr val="tx1"/>
                </a:solidFill>
                <a:uFillTx/>
                <a:latin typeface="Arial" panose="020B0604020202020204"/>
                <a:ea typeface="+mn-ea"/>
                <a:cs typeface="+mn-cs"/>
              </a:defRPr>
            </a:pPr>
            <a:r>
              <a:rPr sz="1300" b="0" u="none" strike="noStrike">
                <a:uFillTx/>
                <a:latin typeface="Arial" panose="020B0604020202020204"/>
              </a:rPr>
              <a:t>REAGEN ADDITIONAL</a:t>
            </a:r>
          </a:p>
          <a:p>
            <a:pPr>
              <a:defRPr lang="en-US" sz="1300" b="0" i="0" u="none" strike="noStrike" kern="1200" baseline="0">
                <a:solidFill>
                  <a:schemeClr val="tx1"/>
                </a:solidFill>
                <a:uFillTx/>
                <a:latin typeface="Arial" panose="020B0604020202020204"/>
                <a:ea typeface="+mn-ea"/>
                <a:cs typeface="+mn-cs"/>
              </a:defRPr>
            </a:pPr>
            <a:r>
              <a:rPr sz="1300" b="0" u="none" strike="noStrike">
                <a:uFillTx/>
                <a:latin typeface="Arial" panose="020B0604020202020204"/>
              </a:rPr>
              <a:t>NORMAL PARAMETER
</a:t>
            </a:r>
          </a:p>
          <a:p>
            <a:pPr>
              <a:defRPr lang="en-US" sz="1300" b="0" i="0" u="none" strike="noStrike" kern="1200" baseline="0">
                <a:solidFill>
                  <a:schemeClr val="tx1"/>
                </a:solidFill>
                <a:uFillTx/>
                <a:latin typeface="Arial" panose="020B0604020202020204"/>
                <a:ea typeface="+mn-ea"/>
                <a:cs typeface="+mn-cs"/>
              </a:defRPr>
            </a:pPr>
            <a:r>
              <a:rPr sz="1100" b="0" u="none" strike="noStrike">
                <a:uFillTx/>
                <a:latin typeface="Arial" panose="020B0604020202020204"/>
              </a:rPr>
              <a:t>SS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'REPORT ALL TESTWORK'!$AL$16</c:f>
              <c:strCache>
                <c:ptCount val="1"/>
                <c:pt idx="0">
                  <c:v>SANDIOS (Kg/t)</c:v>
                </c:pt>
              </c:strCache>
            </c:strRef>
          </c:tx>
          <c:spPr>
            <a:solidFill>
              <a:srgbClr val="004586"/>
            </a:solidFill>
            <a:ln w="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none" lIns="38100" tIns="19050" rIns="38100" bIns="19050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uFillTx/>
                    <a:latin typeface="Arial" panose="020B0604020202020204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'REPORT ALL TESTWORK'!$AK$17:$AK$20</c:f>
              <c:strCache>
                <c:ptCount val="4"/>
                <c:pt idx="0">
                  <c:v>CIP 1</c:v>
                </c:pt>
                <c:pt idx="1">
                  <c:v>CIP 2</c:v>
                </c:pt>
                <c:pt idx="2">
                  <c:v>CIP 3</c:v>
                </c:pt>
                <c:pt idx="3">
                  <c:v>CIP 4</c:v>
                </c:pt>
              </c:strCache>
            </c:strRef>
          </c:cat>
          <c:val>
            <c:numRef>
              <c:f>'REPORT ALL TESTWORK'!$AL$17:$AL$20</c:f>
              <c:numCache>
                <c:formatCode>General</c:formatCode>
                <c:ptCount val="4"/>
                <c:pt idx="0">
                  <c:v>1.52</c:v>
                </c:pt>
                <c:pt idx="1">
                  <c:v>1.52</c:v>
                </c:pt>
                <c:pt idx="2">
                  <c:v>1.52</c:v>
                </c:pt>
                <c:pt idx="3">
                  <c:v>1.52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28-421A-9F70-F1B61C62EA5E}"/>
            </c:ext>
          </c:extLst>
        </c:ser>
        <c:ser>
          <c:idx val="1"/>
          <c:order val="1"/>
          <c:tx>
            <c:strRef>
              <c:f>'REPORT ALL TESTWORK'!$AM$16</c:f>
              <c:strCache>
                <c:ptCount val="1"/>
                <c:pt idx="0">
                  <c:v>LIMESTONE (kg/t)</c:v>
                </c:pt>
              </c:strCache>
            </c:strRef>
          </c:tx>
          <c:spPr>
            <a:solidFill>
              <a:srgbClr val="FF420E"/>
            </a:solidFill>
            <a:ln w="0">
              <a:noFill/>
            </a:ln>
          </c:spPr>
          <c:invertIfNegative val="0"/>
          <c:dLbls>
            <c:numFmt formatCode="0.00" sourceLinked="0"/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none" lIns="38100" tIns="19050" rIns="38100" bIns="19050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uFillTx/>
                    <a:latin typeface="Arial" panose="020B0604020202020204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trendline>
            <c:spPr>
              <a:ln w="0" cap="rnd" cmpd="sng" algn="ctr">
                <a:solidFill>
                  <a:srgbClr val="FF420E"/>
                </a:solidFill>
                <a:prstDash val="solid"/>
                <a:round/>
              </a:ln>
            </c:spPr>
            <c:trendlineType val="linear"/>
            <c:dispRSqr val="0"/>
            <c:dispEq val="0"/>
          </c:trendline>
          <c:cat>
            <c:strRef>
              <c:f>'REPORT ALL TESTWORK'!$AK$17:$AK$20</c:f>
              <c:strCache>
                <c:ptCount val="4"/>
                <c:pt idx="0">
                  <c:v>CIP 1</c:v>
                </c:pt>
                <c:pt idx="1">
                  <c:v>CIP 2</c:v>
                </c:pt>
                <c:pt idx="2">
                  <c:v>CIP 3</c:v>
                </c:pt>
                <c:pt idx="3">
                  <c:v>CIP 4</c:v>
                </c:pt>
              </c:strCache>
            </c:strRef>
          </c:cat>
          <c:val>
            <c:numRef>
              <c:f>'REPORT ALL TESTWORK'!$AM$17:$AM$20</c:f>
              <c:numCache>
                <c:formatCode>0.00</c:formatCode>
                <c:ptCount val="4"/>
                <c:pt idx="0">
                  <c:v>4.4466403162055341</c:v>
                </c:pt>
                <c:pt idx="1">
                  <c:v>5.0395256916996045</c:v>
                </c:pt>
                <c:pt idx="2">
                  <c:v>8.3992094861660078</c:v>
                </c:pt>
                <c:pt idx="3">
                  <c:v>8.3992094861660078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28-421A-9F70-F1B61C62EA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1"/>
        </c:dLbls>
        <c:gapWidth val="100"/>
        <c:axId val="58275789"/>
        <c:axId val="74250255"/>
      </c:barChart>
      <c:catAx>
        <c:axId val="58275789"/>
        <c:scaling>
          <c:orientation val="minMax"/>
        </c:scaling>
        <c:delete val="0"/>
        <c:axPos val="b"/>
        <c:majorGridlines>
          <c:spPr>
            <a:ln w="0" cap="flat" cmpd="sng" algn="ctr">
              <a:solidFill>
                <a:srgbClr val="B3B3B3"/>
              </a:solidFill>
              <a:prstDash val="solid"/>
              <a:round/>
            </a:ln>
          </c:spPr>
        </c:majorGridlines>
        <c:title>
          <c:tx>
            <c:rich>
              <a:bodyPr rot="0" spcFirstLastPara="0" vertOverflow="ellipsis" vert="horz" wrap="square" anchor="ctr" anchorCtr="1"/>
              <a:lstStyle/>
              <a:p>
                <a:pPr>
                  <a:defRPr lang="en-US" sz="1300" b="0" i="0" u="none" strike="noStrike" kern="1200" baseline="0">
                    <a:solidFill>
                      <a:schemeClr val="tx1"/>
                    </a:solidFill>
                    <a:uFillTx/>
                    <a:latin typeface="Arial" panose="020B0604020202020204"/>
                    <a:ea typeface="+mn-ea"/>
                    <a:cs typeface="+mn-cs"/>
                  </a:defRPr>
                </a:pPr>
                <a:r>
                  <a:rPr sz="900" b="0" u="none" strike="noStrike">
                    <a:uFillTx/>
                    <a:latin typeface="Arial" panose="020B0604020202020204"/>
                  </a:rPr>
                  <a:t>NAMA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0" cap="flat" cmpd="sng" algn="ctr">
            <a:solidFill>
              <a:srgbClr val="B3B3B3"/>
            </a:solidFill>
            <a:prstDash val="solid"/>
            <a:round/>
          </a:ln>
        </c:spPr>
        <c:txPr>
          <a:bodyPr rot="-60000000" spcFirstLastPara="0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uFillTx/>
                <a:latin typeface="Arial" panose="020B0604020202020204"/>
                <a:ea typeface="+mn-ea"/>
                <a:cs typeface="+mn-cs"/>
              </a:defRPr>
            </a:pPr>
            <a:endParaRPr lang="en-US"/>
          </a:p>
        </c:txPr>
        <c:crossAx val="74250255"/>
        <c:crosses val="autoZero"/>
        <c:auto val="1"/>
        <c:lblAlgn val="ctr"/>
        <c:lblOffset val="100"/>
        <c:noMultiLvlLbl val="0"/>
      </c:catAx>
      <c:valAx>
        <c:axId val="74250255"/>
        <c:scaling>
          <c:orientation val="minMax"/>
        </c:scaling>
        <c:delete val="0"/>
        <c:axPos val="l"/>
        <c:majorGridlines>
          <c:spPr>
            <a:ln w="0" cap="flat" cmpd="sng" algn="ctr">
              <a:solidFill>
                <a:srgbClr val="B3B3B3"/>
              </a:solidFill>
              <a:prstDash val="solid"/>
              <a:round/>
            </a:ln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>
                  <a:defRPr lang="en-US" sz="1300" b="0" i="0" u="none" strike="noStrike" kern="1200" baseline="0">
                    <a:solidFill>
                      <a:schemeClr val="tx1"/>
                    </a:solidFill>
                    <a:uFillTx/>
                    <a:latin typeface="Arial" panose="020B0604020202020204"/>
                    <a:ea typeface="+mn-ea"/>
                    <a:cs typeface="+mn-cs"/>
                  </a:defRPr>
                </a:pPr>
                <a:r>
                  <a:rPr sz="900" b="0" u="none" strike="noStrike">
                    <a:uFillTx/>
                    <a:latin typeface="Arial" panose="020B0604020202020204"/>
                  </a:rPr>
                  <a:t>TOTAL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0.00" sourceLinked="0"/>
        <c:majorTickMark val="out"/>
        <c:minorTickMark val="none"/>
        <c:tickLblPos val="nextTo"/>
        <c:spPr>
          <a:ln w="0" cap="flat" cmpd="sng" algn="ctr">
            <a:solidFill>
              <a:srgbClr val="B3B3B3"/>
            </a:solidFill>
            <a:prstDash val="solid"/>
            <a:round/>
          </a:ln>
        </c:spPr>
        <c:txPr>
          <a:bodyPr rot="-60000000" spcFirstLastPara="0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uFillTx/>
                <a:latin typeface="Arial" panose="020B0604020202020204"/>
                <a:ea typeface="+mn-ea"/>
                <a:cs typeface="+mn-cs"/>
              </a:defRPr>
            </a:pPr>
            <a:endParaRPr lang="en-US"/>
          </a:p>
        </c:txPr>
        <c:crossAx val="58275789"/>
        <c:crosses val="autoZero"/>
        <c:crossBetween val="between"/>
      </c:valAx>
      <c:spPr>
        <a:noFill/>
        <a:ln w="0">
          <a:solidFill>
            <a:srgbClr val="B3B3B3"/>
          </a:solidFill>
        </a:ln>
        <a:effectLst/>
      </c:spPr>
    </c:plotArea>
    <c:legend>
      <c:legendPos val="r"/>
      <c:overlay val="0"/>
      <c:spPr>
        <a:noFill/>
        <a:ln w="0">
          <a:noFill/>
        </a:ln>
      </c:spPr>
      <c:txPr>
        <a:bodyPr rot="0" spcFirstLastPara="0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uFillTx/>
              <a:latin typeface="Arial" panose="020B0604020202020204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0" cap="flat" cmpd="sng" algn="ctr">
      <a:noFill/>
      <a:prstDash val="solid"/>
      <a:round/>
    </a:ln>
  </c:spPr>
  <c:txPr>
    <a:bodyPr/>
    <a:lstStyle/>
    <a:p>
      <a:pPr>
        <a:defRPr lang="en-US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'REPORT ALL TESTWORK'!$AE$24</c:f>
              <c:strCache>
                <c:ptCount val="1"/>
                <c:pt idx="0">
                  <c:v>CIP PH 8-9 1</c:v>
                </c:pt>
              </c:strCache>
            </c:strRef>
          </c:tx>
          <c:spPr>
            <a:solidFill>
              <a:srgbClr val="004586"/>
            </a:solidFill>
            <a:ln w="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none" lIns="38100" tIns="19050" rIns="38100" bIns="19050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uFillTx/>
                    <a:latin typeface="Arial" panose="020B0604020202020204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'REPORT ALL TESTWORK'!$AF$23:$AG$23</c:f>
              <c:strCache>
                <c:ptCount val="2"/>
                <c:pt idx="0">
                  <c:v>SANDIOS (Kg/t)</c:v>
                </c:pt>
                <c:pt idx="1">
                  <c:v>LIMESTONE (kg/t)</c:v>
                </c:pt>
              </c:strCache>
            </c:strRef>
          </c:cat>
          <c:val>
            <c:numRef>
              <c:f>'REPORT ALL TESTWORK'!$AF$24:$AG$24</c:f>
              <c:numCache>
                <c:formatCode>0.00</c:formatCode>
                <c:ptCount val="2"/>
                <c:pt idx="0">
                  <c:v>1.4814634387351779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E7-433F-AFFB-AA01210CE71D}"/>
            </c:ext>
          </c:extLst>
        </c:ser>
        <c:ser>
          <c:idx val="1"/>
          <c:order val="1"/>
          <c:tx>
            <c:strRef>
              <c:f>'REPORT ALL TESTWORK'!$AE$25</c:f>
              <c:strCache>
                <c:ptCount val="1"/>
                <c:pt idx="0">
                  <c:v>CIP PH 8-9 2</c:v>
                </c:pt>
              </c:strCache>
            </c:strRef>
          </c:tx>
          <c:spPr>
            <a:solidFill>
              <a:srgbClr val="FF420E"/>
            </a:solidFill>
            <a:ln w="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none" lIns="38100" tIns="19050" rIns="38100" bIns="19050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uFillTx/>
                    <a:latin typeface="Arial" panose="020B0604020202020204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'REPORT ALL TESTWORK'!$AF$23:$AG$23</c:f>
              <c:strCache>
                <c:ptCount val="2"/>
                <c:pt idx="0">
                  <c:v>SANDIOS (Kg/t)</c:v>
                </c:pt>
                <c:pt idx="1">
                  <c:v>LIMESTONE (kg/t)</c:v>
                </c:pt>
              </c:strCache>
            </c:strRef>
          </c:cat>
          <c:val>
            <c:numRef>
              <c:f>'REPORT ALL TESTWORK'!$AF$25:$AG$25</c:f>
              <c:numCache>
                <c:formatCode>0.00</c:formatCode>
                <c:ptCount val="2"/>
                <c:pt idx="0">
                  <c:v>1.4762134387351777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E7-433F-AFFB-AA01210CE7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1"/>
        </c:dLbls>
        <c:gapWidth val="100"/>
        <c:axId val="64897339"/>
        <c:axId val="3573339"/>
      </c:barChart>
      <c:catAx>
        <c:axId val="6489733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0" cap="flat" cmpd="sng" algn="ctr">
            <a:solidFill>
              <a:srgbClr val="B3B3B3"/>
            </a:solidFill>
            <a:prstDash val="solid"/>
            <a:round/>
          </a:ln>
        </c:spPr>
        <c:txPr>
          <a:bodyPr rot="-60000000" spcFirstLastPara="0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uFillTx/>
                <a:latin typeface="Arial" panose="020B0604020202020204"/>
                <a:ea typeface="+mn-ea"/>
                <a:cs typeface="+mn-cs"/>
              </a:defRPr>
            </a:pPr>
            <a:endParaRPr lang="en-US"/>
          </a:p>
        </c:txPr>
        <c:crossAx val="3573339"/>
        <c:crosses val="autoZero"/>
        <c:auto val="1"/>
        <c:lblAlgn val="ctr"/>
        <c:lblOffset val="100"/>
        <c:noMultiLvlLbl val="0"/>
      </c:catAx>
      <c:valAx>
        <c:axId val="3573339"/>
        <c:scaling>
          <c:orientation val="minMax"/>
        </c:scaling>
        <c:delete val="0"/>
        <c:axPos val="l"/>
        <c:majorGridlines>
          <c:spPr>
            <a:ln w="0" cap="flat" cmpd="sng" algn="ctr">
              <a:solidFill>
                <a:srgbClr val="B3B3B3"/>
              </a:solidFill>
              <a:prstDash val="solid"/>
              <a:round/>
            </a:ln>
          </c:spPr>
        </c:majorGridlines>
        <c:numFmt formatCode="0.00" sourceLinked="1"/>
        <c:majorTickMark val="out"/>
        <c:minorTickMark val="none"/>
        <c:tickLblPos val="nextTo"/>
        <c:spPr>
          <a:ln w="0" cap="flat" cmpd="sng" algn="ctr">
            <a:solidFill>
              <a:srgbClr val="B3B3B3"/>
            </a:solidFill>
            <a:prstDash val="solid"/>
            <a:round/>
          </a:ln>
        </c:spPr>
        <c:txPr>
          <a:bodyPr rot="-60000000" spcFirstLastPara="0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uFillTx/>
                <a:latin typeface="Arial" panose="020B0604020202020204"/>
                <a:ea typeface="+mn-ea"/>
                <a:cs typeface="+mn-cs"/>
              </a:defRPr>
            </a:pPr>
            <a:endParaRPr lang="en-US"/>
          </a:p>
        </c:txPr>
        <c:crossAx val="64897339"/>
        <c:crosses val="autoZero"/>
        <c:crossBetween val="between"/>
      </c:valAx>
      <c:spPr>
        <a:noFill/>
        <a:ln w="0">
          <a:solidFill>
            <a:srgbClr val="B3B3B3"/>
          </a:solidFill>
        </a:ln>
        <a:effectLst/>
      </c:spPr>
    </c:plotArea>
    <c:legend>
      <c:legendPos val="r"/>
      <c:overlay val="0"/>
      <c:spPr>
        <a:noFill/>
        <a:ln w="0">
          <a:noFill/>
        </a:ln>
      </c:spPr>
      <c:txPr>
        <a:bodyPr rot="0" spcFirstLastPara="0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uFillTx/>
              <a:latin typeface="Arial" panose="020B0604020202020204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0" cap="flat" cmpd="sng" algn="ctr">
      <a:noFill/>
      <a:prstDash val="solid"/>
      <a:round/>
    </a:ln>
  </c:spPr>
  <c:txPr>
    <a:bodyPr/>
    <a:lstStyle/>
    <a:p>
      <a:pPr>
        <a:defRPr lang="en-US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'REPORT ALL TESTWORK'!$AK$24</c:f>
              <c:strCache>
                <c:ptCount val="1"/>
                <c:pt idx="0">
                  <c:v>CIP PH 8-9 1</c:v>
                </c:pt>
              </c:strCache>
            </c:strRef>
          </c:tx>
          <c:spPr>
            <a:solidFill>
              <a:srgbClr val="004586"/>
            </a:solidFill>
            <a:ln w="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none" lIns="38100" tIns="19050" rIns="38100" bIns="19050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uFillTx/>
                    <a:latin typeface="Arial" panose="020B0604020202020204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'REPORT ALL TESTWORK'!$AL$23:$AM$23</c:f>
              <c:strCache>
                <c:ptCount val="2"/>
                <c:pt idx="0">
                  <c:v>SANDIOS (Kg/t)</c:v>
                </c:pt>
                <c:pt idx="1">
                  <c:v>LIMESTONE (kg/t)</c:v>
                </c:pt>
              </c:strCache>
            </c:strRef>
          </c:cat>
          <c:val>
            <c:numRef>
              <c:f>'REPORT ALL TESTWORK'!$AL$24:$AM$24</c:f>
              <c:numCache>
                <c:formatCode>0.00</c:formatCode>
                <c:ptCount val="2"/>
                <c:pt idx="0">
                  <c:v>1.52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A5-4AC1-B1C9-C19941BE7217}"/>
            </c:ext>
          </c:extLst>
        </c:ser>
        <c:ser>
          <c:idx val="1"/>
          <c:order val="1"/>
          <c:tx>
            <c:strRef>
              <c:f>'REPORT ALL TESTWORK'!$AK$25</c:f>
              <c:strCache>
                <c:ptCount val="1"/>
                <c:pt idx="0">
                  <c:v>CIP PH 8-9 2</c:v>
                </c:pt>
              </c:strCache>
            </c:strRef>
          </c:tx>
          <c:spPr>
            <a:solidFill>
              <a:srgbClr val="FF420E"/>
            </a:solidFill>
            <a:ln w="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none" lIns="38100" tIns="19050" rIns="38100" bIns="19050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uFillTx/>
                    <a:latin typeface="Arial" panose="020B0604020202020204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'REPORT ALL TESTWORK'!$AL$23:$AM$23</c:f>
              <c:strCache>
                <c:ptCount val="2"/>
                <c:pt idx="0">
                  <c:v>SANDIOS (Kg/t)</c:v>
                </c:pt>
                <c:pt idx="1">
                  <c:v>LIMESTONE (kg/t)</c:v>
                </c:pt>
              </c:strCache>
            </c:strRef>
          </c:cat>
          <c:val>
            <c:numRef>
              <c:f>'REPORT ALL TESTWORK'!$AL$25:$AM$25</c:f>
              <c:numCache>
                <c:formatCode>0.00</c:formatCode>
                <c:ptCount val="2"/>
                <c:pt idx="0">
                  <c:v>1.52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2A5-4AC1-B1C9-C19941BE72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1"/>
        </c:dLbls>
        <c:gapWidth val="100"/>
        <c:axId val="13589449"/>
        <c:axId val="47901670"/>
      </c:barChart>
      <c:catAx>
        <c:axId val="1358944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0" cap="flat" cmpd="sng" algn="ctr">
            <a:solidFill>
              <a:srgbClr val="B3B3B3"/>
            </a:solidFill>
            <a:prstDash val="solid"/>
            <a:round/>
          </a:ln>
        </c:spPr>
        <c:txPr>
          <a:bodyPr rot="-60000000" spcFirstLastPara="0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uFillTx/>
                <a:latin typeface="Arial" panose="020B0604020202020204"/>
                <a:ea typeface="+mn-ea"/>
                <a:cs typeface="+mn-cs"/>
              </a:defRPr>
            </a:pPr>
            <a:endParaRPr lang="en-US"/>
          </a:p>
        </c:txPr>
        <c:crossAx val="47901670"/>
        <c:crosses val="autoZero"/>
        <c:auto val="1"/>
        <c:lblAlgn val="ctr"/>
        <c:lblOffset val="100"/>
        <c:noMultiLvlLbl val="0"/>
      </c:catAx>
      <c:valAx>
        <c:axId val="47901670"/>
        <c:scaling>
          <c:orientation val="minMax"/>
        </c:scaling>
        <c:delete val="0"/>
        <c:axPos val="l"/>
        <c:majorGridlines>
          <c:spPr>
            <a:ln w="0" cap="flat" cmpd="sng" algn="ctr">
              <a:solidFill>
                <a:srgbClr val="B3B3B3"/>
              </a:solidFill>
              <a:prstDash val="solid"/>
              <a:round/>
            </a:ln>
          </c:spPr>
        </c:majorGridlines>
        <c:numFmt formatCode="0.00" sourceLinked="1"/>
        <c:majorTickMark val="out"/>
        <c:minorTickMark val="none"/>
        <c:tickLblPos val="nextTo"/>
        <c:spPr>
          <a:ln w="0" cap="flat" cmpd="sng" algn="ctr">
            <a:solidFill>
              <a:srgbClr val="B3B3B3"/>
            </a:solidFill>
            <a:prstDash val="solid"/>
            <a:round/>
          </a:ln>
        </c:spPr>
        <c:txPr>
          <a:bodyPr rot="-60000000" spcFirstLastPara="0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uFillTx/>
                <a:latin typeface="Arial" panose="020B0604020202020204"/>
                <a:ea typeface="+mn-ea"/>
                <a:cs typeface="+mn-cs"/>
              </a:defRPr>
            </a:pPr>
            <a:endParaRPr lang="en-US"/>
          </a:p>
        </c:txPr>
        <c:crossAx val="13589449"/>
        <c:crosses val="autoZero"/>
        <c:crossBetween val="between"/>
      </c:valAx>
      <c:spPr>
        <a:noFill/>
        <a:ln w="0">
          <a:solidFill>
            <a:srgbClr val="B3B3B3"/>
          </a:solidFill>
        </a:ln>
        <a:effectLst/>
      </c:spPr>
    </c:plotArea>
    <c:legend>
      <c:legendPos val="r"/>
      <c:overlay val="0"/>
      <c:spPr>
        <a:noFill/>
        <a:ln w="0">
          <a:noFill/>
        </a:ln>
      </c:spPr>
      <c:txPr>
        <a:bodyPr rot="0" spcFirstLastPara="0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uFillTx/>
              <a:latin typeface="Arial" panose="020B0604020202020204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0" cap="flat" cmpd="sng" algn="ctr">
      <a:noFill/>
      <a:prstDash val="solid"/>
      <a:round/>
    </a:ln>
  </c:spPr>
  <c:txPr>
    <a:bodyPr/>
    <a:lstStyle/>
    <a:p>
      <a:pPr>
        <a:defRPr lang="en-US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>
              <a:defRPr lang="en-US" sz="1300" b="0" i="0" u="none" strike="noStrike" kern="1200" baseline="0">
                <a:solidFill>
                  <a:schemeClr val="tx1"/>
                </a:solidFill>
                <a:uFillTx/>
                <a:latin typeface="Arial" panose="020B0604020202020204"/>
                <a:ea typeface="+mn-ea"/>
                <a:cs typeface="+mn-cs"/>
              </a:defRPr>
            </a:pPr>
            <a:r>
              <a:rPr sz="1300" b="0" u="none" strike="noStrike">
                <a:uFillTx/>
                <a:latin typeface="Arial" panose="020B0604020202020204"/>
              </a:rPr>
              <a:t>METAL EXTRACTION
</a:t>
            </a:r>
          </a:p>
          <a:p>
            <a:pPr>
              <a:defRPr lang="en-US" sz="1300" b="0" i="0" u="none" strike="noStrike" kern="1200" baseline="0">
                <a:solidFill>
                  <a:schemeClr val="tx1"/>
                </a:solidFill>
                <a:uFillTx/>
                <a:latin typeface="Arial" panose="020B0604020202020204"/>
                <a:ea typeface="+mn-ea"/>
                <a:cs typeface="+mn-cs"/>
              </a:defRPr>
            </a:pPr>
            <a:r>
              <a:rPr sz="1100" b="0" u="none" strike="noStrike">
                <a:uFillTx/>
                <a:latin typeface="Arial" panose="020B0604020202020204"/>
              </a:rPr>
              <a:t>NORMAL PARAMETER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'REPORT ALL TESTWORK'!$AP$17</c:f>
              <c:strCache>
                <c:ptCount val="1"/>
                <c:pt idx="0">
                  <c:v>CIP 1</c:v>
                </c:pt>
              </c:strCache>
            </c:strRef>
          </c:tx>
          <c:spPr>
            <a:solidFill>
              <a:srgbClr val="004586"/>
            </a:solidFill>
            <a:ln w="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none" lIns="38100" tIns="19050" rIns="38100" bIns="19050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uFillTx/>
                    <a:latin typeface="Arial" panose="020B0604020202020204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'REPORT ALL TESTWORK'!$AQ$16</c:f>
              <c:strCache>
                <c:ptCount val="1"/>
                <c:pt idx="0">
                  <c:v>AU</c:v>
                </c:pt>
              </c:strCache>
            </c:strRef>
          </c:cat>
          <c:val>
            <c:numRef>
              <c:f>'REPORT ALL TESTWORK'!$AQ$17</c:f>
              <c:numCache>
                <c:formatCode>0%</c:formatCode>
                <c:ptCount val="1"/>
                <c:pt idx="0">
                  <c:v>0.86665098967751353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C8-4B9A-8B75-D1333247B71D}"/>
            </c:ext>
          </c:extLst>
        </c:ser>
        <c:ser>
          <c:idx val="1"/>
          <c:order val="1"/>
          <c:tx>
            <c:strRef>
              <c:f>'REPORT ALL TESTWORK'!$AP$18</c:f>
              <c:strCache>
                <c:ptCount val="1"/>
                <c:pt idx="0">
                  <c:v>CIP 2</c:v>
                </c:pt>
              </c:strCache>
            </c:strRef>
          </c:tx>
          <c:spPr>
            <a:solidFill>
              <a:srgbClr val="FF420E"/>
            </a:solidFill>
            <a:ln w="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none" lIns="38100" tIns="19050" rIns="38100" bIns="19050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uFillTx/>
                    <a:latin typeface="Arial" panose="020B0604020202020204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'REPORT ALL TESTWORK'!$AQ$16</c:f>
              <c:strCache>
                <c:ptCount val="1"/>
                <c:pt idx="0">
                  <c:v>AU</c:v>
                </c:pt>
              </c:strCache>
            </c:strRef>
          </c:cat>
          <c:val>
            <c:numRef>
              <c:f>'REPORT ALL TESTWORK'!$AQ$18</c:f>
              <c:numCache>
                <c:formatCode>0%</c:formatCode>
                <c:ptCount val="1"/>
                <c:pt idx="0">
                  <c:v>0.81736468477738256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C8-4B9A-8B75-D1333247B71D}"/>
            </c:ext>
          </c:extLst>
        </c:ser>
        <c:ser>
          <c:idx val="2"/>
          <c:order val="2"/>
          <c:tx>
            <c:strRef>
              <c:f>'REPORT ALL TESTWORK'!$AP$19</c:f>
              <c:strCache>
                <c:ptCount val="1"/>
                <c:pt idx="0">
                  <c:v>CIP 3</c:v>
                </c:pt>
              </c:strCache>
            </c:strRef>
          </c:tx>
          <c:spPr>
            <a:solidFill>
              <a:srgbClr val="FFD320"/>
            </a:solidFill>
            <a:ln w="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none" lIns="38100" tIns="19050" rIns="38100" bIns="19050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uFillTx/>
                    <a:latin typeface="Arial" panose="020B0604020202020204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'REPORT ALL TESTWORK'!$AQ$16</c:f>
              <c:strCache>
                <c:ptCount val="1"/>
                <c:pt idx="0">
                  <c:v>AU</c:v>
                </c:pt>
              </c:strCache>
            </c:strRef>
          </c:cat>
          <c:val>
            <c:numRef>
              <c:f>'REPORT ALL TESTWORK'!$AQ$19</c:f>
              <c:numCache>
                <c:formatCode>0%</c:formatCode>
                <c:ptCount val="1"/>
                <c:pt idx="0">
                  <c:v>0.84671473240275119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C8-4B9A-8B75-D1333247B71D}"/>
            </c:ext>
          </c:extLst>
        </c:ser>
        <c:ser>
          <c:idx val="3"/>
          <c:order val="3"/>
          <c:tx>
            <c:strRef>
              <c:f>'REPORT ALL TESTWORK'!$AP$20</c:f>
              <c:strCache>
                <c:ptCount val="1"/>
                <c:pt idx="0">
                  <c:v>CIP 4</c:v>
                </c:pt>
              </c:strCache>
            </c:strRef>
          </c:tx>
          <c:spPr>
            <a:solidFill>
              <a:srgbClr val="579D1C"/>
            </a:solidFill>
            <a:ln w="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none" lIns="38100" tIns="19050" rIns="38100" bIns="19050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uFillTx/>
                    <a:latin typeface="Arial" panose="020B0604020202020204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'REPORT ALL TESTWORK'!$AQ$16</c:f>
              <c:strCache>
                <c:ptCount val="1"/>
                <c:pt idx="0">
                  <c:v>AU</c:v>
                </c:pt>
              </c:strCache>
            </c:strRef>
          </c:cat>
          <c:val>
            <c:numRef>
              <c:f>'REPORT ALL TESTWORK'!$AQ$20</c:f>
              <c:numCache>
                <c:formatCode>0%</c:formatCode>
                <c:ptCount val="1"/>
                <c:pt idx="0">
                  <c:v>0.73631376851343944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C8-4B9A-8B75-D1333247B7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1"/>
        </c:dLbls>
        <c:gapWidth val="100"/>
        <c:axId val="20990166"/>
        <c:axId val="98568035"/>
      </c:barChart>
      <c:catAx>
        <c:axId val="2099016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0" cap="flat" cmpd="sng" algn="ctr">
            <a:solidFill>
              <a:srgbClr val="B3B3B3"/>
            </a:solidFill>
            <a:prstDash val="solid"/>
            <a:round/>
          </a:ln>
        </c:spPr>
        <c:txPr>
          <a:bodyPr rot="-60000000" spcFirstLastPara="0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uFillTx/>
                <a:latin typeface="Arial" panose="020B0604020202020204"/>
                <a:ea typeface="+mn-ea"/>
                <a:cs typeface="+mn-cs"/>
              </a:defRPr>
            </a:pPr>
            <a:endParaRPr lang="en-US"/>
          </a:p>
        </c:txPr>
        <c:crossAx val="98568035"/>
        <c:crosses val="autoZero"/>
        <c:auto val="1"/>
        <c:lblAlgn val="ctr"/>
        <c:lblOffset val="100"/>
        <c:noMultiLvlLbl val="0"/>
      </c:catAx>
      <c:valAx>
        <c:axId val="98568035"/>
        <c:scaling>
          <c:orientation val="minMax"/>
        </c:scaling>
        <c:delete val="0"/>
        <c:axPos val="l"/>
        <c:majorGridlines>
          <c:spPr>
            <a:ln w="0" cap="flat" cmpd="sng" algn="ctr">
              <a:solidFill>
                <a:srgbClr val="B3B3B3"/>
              </a:solidFill>
              <a:prstDash val="solid"/>
              <a:round/>
            </a:ln>
          </c:spPr>
        </c:majorGridlines>
        <c:numFmt formatCode="0%" sourceLinked="1"/>
        <c:majorTickMark val="out"/>
        <c:minorTickMark val="none"/>
        <c:tickLblPos val="nextTo"/>
        <c:spPr>
          <a:ln w="0" cap="flat" cmpd="sng" algn="ctr">
            <a:solidFill>
              <a:srgbClr val="B3B3B3"/>
            </a:solidFill>
            <a:prstDash val="solid"/>
            <a:round/>
          </a:ln>
        </c:spPr>
        <c:txPr>
          <a:bodyPr rot="-60000000" spcFirstLastPara="0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uFillTx/>
                <a:latin typeface="Arial" panose="020B0604020202020204"/>
                <a:ea typeface="+mn-ea"/>
                <a:cs typeface="+mn-cs"/>
              </a:defRPr>
            </a:pPr>
            <a:endParaRPr lang="en-US"/>
          </a:p>
        </c:txPr>
        <c:crossAx val="20990166"/>
        <c:crosses val="autoZero"/>
        <c:crossBetween val="between"/>
      </c:valAx>
      <c:spPr>
        <a:noFill/>
        <a:ln w="0">
          <a:solidFill>
            <a:srgbClr val="B3B3B3"/>
          </a:solidFill>
        </a:ln>
      </c:spPr>
    </c:plotArea>
    <c:legend>
      <c:legendPos val="r"/>
      <c:overlay val="0"/>
      <c:spPr>
        <a:noFill/>
        <a:ln w="0">
          <a:noFill/>
        </a:ln>
      </c:spPr>
      <c:txPr>
        <a:bodyPr rot="0" spcFirstLastPara="0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uFillTx/>
              <a:latin typeface="Arial" panose="020B0604020202020204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>
        <a:alpha val="60000"/>
      </a:srgbClr>
    </a:solidFill>
    <a:ln w="0" cap="flat" cmpd="sng" algn="ctr">
      <a:noFill/>
      <a:prstDash val="solid"/>
      <a:round/>
    </a:ln>
  </c:spPr>
  <c:txPr>
    <a:bodyPr/>
    <a:lstStyle/>
    <a:p>
      <a:pPr>
        <a:defRPr lang="en-US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>
              <a:defRPr lang="en-US" sz="1300" b="0" i="0" u="none" strike="noStrike" kern="1200" baseline="0">
                <a:solidFill>
                  <a:schemeClr val="tx1"/>
                </a:solidFill>
                <a:uFillTx/>
                <a:latin typeface="Arial" panose="020B0604020202020204"/>
                <a:ea typeface="+mn-ea"/>
                <a:cs typeface="+mn-cs"/>
              </a:defRPr>
            </a:pPr>
            <a:r>
              <a:rPr sz="1300" b="0" u="none" strike="noStrike">
                <a:uFillTx/>
                <a:latin typeface="Arial" panose="020B0604020202020204"/>
              </a:rPr>
              <a:t>METAL EXTRACTION</a:t>
            </a:r>
          </a:p>
          <a:p>
            <a:pPr>
              <a:defRPr lang="en-US" sz="1300" b="0" i="0" u="none" strike="noStrike" kern="1200" baseline="0">
                <a:solidFill>
                  <a:schemeClr val="tx1"/>
                </a:solidFill>
                <a:uFillTx/>
                <a:latin typeface="Arial" panose="020B0604020202020204"/>
                <a:ea typeface="+mn-ea"/>
                <a:cs typeface="+mn-cs"/>
              </a:defRPr>
            </a:pPr>
            <a:r>
              <a:rPr sz="1300" b="0" u="none" strike="noStrike">
                <a:uFillTx/>
                <a:latin typeface="Arial" panose="020B0604020202020204"/>
              </a:rPr>
              <a:t>pH 8-9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'REPORT ALL TESTWORK'!$AP$24</c:f>
              <c:strCache>
                <c:ptCount val="1"/>
                <c:pt idx="0">
                  <c:v>CIP PH 8-9 1</c:v>
                </c:pt>
              </c:strCache>
            </c:strRef>
          </c:tx>
          <c:spPr>
            <a:solidFill>
              <a:srgbClr val="004586"/>
            </a:solidFill>
            <a:ln w="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none" lIns="38100" tIns="19050" rIns="38100" bIns="19050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uFillTx/>
                    <a:latin typeface="Arial" panose="020B0604020202020204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'REPORT ALL TESTWORK'!$AQ$23</c:f>
              <c:strCache>
                <c:ptCount val="1"/>
                <c:pt idx="0">
                  <c:v>AU</c:v>
                </c:pt>
              </c:strCache>
            </c:strRef>
          </c:cat>
          <c:val>
            <c:numRef>
              <c:f>'REPORT ALL TESTWORK'!$AQ$24</c:f>
              <c:numCache>
                <c:formatCode>0%</c:formatCode>
                <c:ptCount val="1"/>
                <c:pt idx="0">
                  <c:v>0.81691150125403078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37-4CBE-8B4B-9C7FA052D3E1}"/>
            </c:ext>
          </c:extLst>
        </c:ser>
        <c:ser>
          <c:idx val="1"/>
          <c:order val="1"/>
          <c:tx>
            <c:strRef>
              <c:f>'REPORT ALL TESTWORK'!$AP$25</c:f>
              <c:strCache>
                <c:ptCount val="1"/>
                <c:pt idx="0">
                  <c:v>CIP PH 8-9 1</c:v>
                </c:pt>
              </c:strCache>
            </c:strRef>
          </c:tx>
          <c:spPr>
            <a:solidFill>
              <a:srgbClr val="FF420E"/>
            </a:solidFill>
            <a:ln w="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none" lIns="38100" tIns="19050" rIns="38100" bIns="19050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uFillTx/>
                    <a:latin typeface="Arial" panose="020B0604020202020204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'REPORT ALL TESTWORK'!$AQ$23</c:f>
              <c:strCache>
                <c:ptCount val="1"/>
                <c:pt idx="0">
                  <c:v>AU</c:v>
                </c:pt>
              </c:strCache>
            </c:strRef>
          </c:cat>
          <c:val>
            <c:numRef>
              <c:f>'REPORT ALL TESTWORK'!$AQ$25</c:f>
              <c:numCache>
                <c:formatCode>0%</c:formatCode>
                <c:ptCount val="1"/>
                <c:pt idx="0">
                  <c:v>0.8900986797173126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637-4CBE-8B4B-9C7FA052D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1"/>
        </c:dLbls>
        <c:gapWidth val="100"/>
        <c:axId val="78012842"/>
        <c:axId val="11069162"/>
      </c:barChart>
      <c:catAx>
        <c:axId val="7801284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0" cap="flat" cmpd="sng" algn="ctr">
            <a:solidFill>
              <a:srgbClr val="B3B3B3"/>
            </a:solidFill>
            <a:prstDash val="solid"/>
            <a:round/>
          </a:ln>
        </c:spPr>
        <c:txPr>
          <a:bodyPr rot="-60000000" spcFirstLastPara="0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uFillTx/>
                <a:latin typeface="Arial" panose="020B0604020202020204"/>
                <a:ea typeface="+mn-ea"/>
                <a:cs typeface="+mn-cs"/>
              </a:defRPr>
            </a:pPr>
            <a:endParaRPr lang="en-US"/>
          </a:p>
        </c:txPr>
        <c:crossAx val="11069162"/>
        <c:crosses val="autoZero"/>
        <c:auto val="1"/>
        <c:lblAlgn val="ctr"/>
        <c:lblOffset val="100"/>
        <c:noMultiLvlLbl val="0"/>
      </c:catAx>
      <c:valAx>
        <c:axId val="11069162"/>
        <c:scaling>
          <c:orientation val="minMax"/>
        </c:scaling>
        <c:delete val="0"/>
        <c:axPos val="l"/>
        <c:majorGridlines>
          <c:spPr>
            <a:ln w="0" cap="flat" cmpd="sng" algn="ctr">
              <a:solidFill>
                <a:srgbClr val="B3B3B3"/>
              </a:solidFill>
              <a:prstDash val="solid"/>
              <a:round/>
            </a:ln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>
                  <a:defRPr lang="en-US" sz="1300" b="0" i="0" u="none" strike="noStrike" kern="1200" baseline="0">
                    <a:solidFill>
                      <a:schemeClr val="tx1"/>
                    </a:solidFill>
                    <a:uFillTx/>
                    <a:latin typeface="Arial" panose="020B0604020202020204"/>
                    <a:ea typeface="+mn-ea"/>
                    <a:cs typeface="+mn-cs"/>
                  </a:defRPr>
                </a:pPr>
                <a:r>
                  <a:rPr sz="900" b="0" u="none" strike="noStrike">
                    <a:uFillTx/>
                    <a:latin typeface="Arial" panose="020B0604020202020204"/>
                  </a:rPr>
                  <a:t>Y Axis Title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0" cap="flat" cmpd="sng" algn="ctr">
            <a:solidFill>
              <a:srgbClr val="B3B3B3"/>
            </a:solidFill>
            <a:prstDash val="solid"/>
            <a:round/>
          </a:ln>
        </c:spPr>
        <c:txPr>
          <a:bodyPr rot="-60000000" spcFirstLastPara="0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uFillTx/>
                <a:latin typeface="Arial" panose="020B0604020202020204"/>
                <a:ea typeface="+mn-ea"/>
                <a:cs typeface="+mn-cs"/>
              </a:defRPr>
            </a:pPr>
            <a:endParaRPr lang="en-US"/>
          </a:p>
        </c:txPr>
        <c:crossAx val="78012842"/>
        <c:crosses val="autoZero"/>
        <c:crossBetween val="between"/>
      </c:valAx>
      <c:spPr>
        <a:noFill/>
        <a:ln w="0">
          <a:solidFill>
            <a:srgbClr val="B3B3B3"/>
          </a:solidFill>
        </a:ln>
      </c:spPr>
    </c:plotArea>
    <c:legend>
      <c:legendPos val="r"/>
      <c:overlay val="0"/>
      <c:spPr>
        <a:noFill/>
        <a:ln w="0">
          <a:noFill/>
        </a:ln>
      </c:spPr>
      <c:txPr>
        <a:bodyPr rot="0" spcFirstLastPara="0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uFillTx/>
              <a:latin typeface="Arial" panose="020B0604020202020204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>
        <a:alpha val="60000"/>
      </a:srgbClr>
    </a:solidFill>
    <a:ln w="0" cap="flat" cmpd="sng" algn="ctr">
      <a:noFill/>
      <a:prstDash val="solid"/>
      <a:round/>
    </a:ln>
  </c:spPr>
  <c:txPr>
    <a:bodyPr/>
    <a:lstStyle/>
    <a:p>
      <a:pPr>
        <a:defRPr lang="en-US"/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jpe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#'INFORMATION TESTWORK'!A1"/><Relationship Id="rId1" Type="http://schemas.openxmlformats.org/officeDocument/2006/relationships/image" Target="../media/image9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'INFORMATION TESTWORK'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'INFORMATION TESTWORK'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'INFORMATION TESTWORK'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'INFORMATION TESTWORK'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'INFORMATION TESTWORK'!A1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hyperlink" Target="#'INFORMATION TESTWORK'!A1"/><Relationship Id="rId1" Type="http://schemas.openxmlformats.org/officeDocument/2006/relationships/chart" Target="../charts/chart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'INFORMATION TESTWORK'!A1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hyperlink" Target="#'INFORMATION TESTWORK'!A1"/><Relationship Id="rId1" Type="http://schemas.openxmlformats.org/officeDocument/2006/relationships/image" Target="../media/image10.pn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hyperlink" Target="#'INFORMATION TESTWORK'!A1"/><Relationship Id="rId1" Type="http://schemas.openxmlformats.org/officeDocument/2006/relationships/image" Target="../media/image11.pn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hyperlink" Target="#'INFORMATION TESTWORK'!A1"/><Relationship Id="rId1" Type="http://schemas.openxmlformats.org/officeDocument/2006/relationships/image" Target="../media/image12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'INFORMATION TESTWORK'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hyperlink" Target="#'INFORMATION TESTWORK'!A1"/><Relationship Id="rId1" Type="http://schemas.openxmlformats.org/officeDocument/2006/relationships/image" Target="../media/image14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'INFORMATION TESTWORK'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hyperlink" Target="#'INFORMATION TESTWORK'!A1"/><Relationship Id="rId1" Type="http://schemas.openxmlformats.org/officeDocument/2006/relationships/image" Target="../media/image15.png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hyperlink" Target="#'INFORMATION TESTWORK'!A1"/><Relationship Id="rId1" Type="http://schemas.openxmlformats.org/officeDocument/2006/relationships/image" Target="../media/image16.png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png"/><Relationship Id="rId1" Type="http://schemas.openxmlformats.org/officeDocument/2006/relationships/hyperlink" Target="#'INFORMATION TESTWORK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6840</xdr:colOff>
      <xdr:row>53</xdr:row>
      <xdr:rowOff>97200</xdr:rowOff>
    </xdr:from>
    <xdr:to>
      <xdr:col>29</xdr:col>
      <xdr:colOff>196560</xdr:colOff>
      <xdr:row>68</xdr:row>
      <xdr:rowOff>86040</xdr:rowOff>
    </xdr:to>
    <xdr:pic>
      <xdr:nvPicPr>
        <xdr:cNvPr id="2" name=" " descr=" 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294350" y="10631805"/>
          <a:ext cx="4152265" cy="2903220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18</xdr:col>
      <xdr:colOff>348120</xdr:colOff>
      <xdr:row>59</xdr:row>
      <xdr:rowOff>86400</xdr:rowOff>
    </xdr:from>
    <xdr:to>
      <xdr:col>22</xdr:col>
      <xdr:colOff>554760</xdr:colOff>
      <xdr:row>68</xdr:row>
      <xdr:rowOff>86040</xdr:rowOff>
    </xdr:to>
    <xdr:pic>
      <xdr:nvPicPr>
        <xdr:cNvPr id="3" name=" " descr=" 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063980" y="11906885"/>
          <a:ext cx="3254375" cy="1628140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22</xdr:col>
      <xdr:colOff>403560</xdr:colOff>
      <xdr:row>63</xdr:row>
      <xdr:rowOff>86040</xdr:rowOff>
    </xdr:from>
    <xdr:to>
      <xdr:col>24</xdr:col>
      <xdr:colOff>534960</xdr:colOff>
      <xdr:row>64</xdr:row>
      <xdr:rowOff>86400</xdr:rowOff>
    </xdr:to>
    <xdr:cxnSp macro="">
      <xdr:nvCxnSpPr>
        <xdr:cNvPr id="4" name="bentConnector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>
        <a:xfrm rot="10800000" flipV="1">
          <a:off x="17167225" y="12630150"/>
          <a:ext cx="1655445" cy="181610"/>
        </a:xfrm>
        <a:prstGeom prst="bentConnector3">
          <a:avLst>
            <a:gd name="adj1" fmla="val 49989"/>
          </a:avLst>
        </a:prstGeom>
        <a:ln w="12700">
          <a:solidFill>
            <a:srgbClr val="666666"/>
          </a:solidFill>
          <a:round/>
          <a:tailEnd type="triangle" w="med" len="med"/>
        </a:ln>
      </xdr:spPr>
    </xdr:cxnSp>
    <xdr:clientData/>
  </xdr:twoCellAnchor>
  <xdr:twoCellAnchor>
    <xdr:from>
      <xdr:col>12</xdr:col>
      <xdr:colOff>555120</xdr:colOff>
      <xdr:row>53</xdr:row>
      <xdr:rowOff>97200</xdr:rowOff>
    </xdr:from>
    <xdr:to>
      <xdr:col>16</xdr:col>
      <xdr:colOff>358560</xdr:colOff>
      <xdr:row>71</xdr:row>
      <xdr:rowOff>86040</xdr:rowOff>
    </xdr:to>
    <xdr:pic>
      <xdr:nvPicPr>
        <xdr:cNvPr id="5" name=" " descr=" 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698990" y="10631805"/>
          <a:ext cx="2851150" cy="344614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16</xdr:col>
      <xdr:colOff>554760</xdr:colOff>
      <xdr:row>62</xdr:row>
      <xdr:rowOff>86400</xdr:rowOff>
    </xdr:from>
    <xdr:to>
      <xdr:col>18</xdr:col>
      <xdr:colOff>751680</xdr:colOff>
      <xdr:row>65</xdr:row>
      <xdr:rowOff>86400</xdr:rowOff>
    </xdr:to>
    <xdr:cxnSp macro="">
      <xdr:nvCxnSpPr>
        <xdr:cNvPr id="6" name="bentConnector3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CxnSpPr/>
      </xdr:nvCxnSpPr>
      <xdr:spPr>
        <a:xfrm rot="10800000" flipV="1">
          <a:off x="12746355" y="12449810"/>
          <a:ext cx="1720850" cy="542925"/>
        </a:xfrm>
        <a:prstGeom prst="bentConnector3">
          <a:avLst>
            <a:gd name="adj1" fmla="val 49989"/>
          </a:avLst>
        </a:prstGeom>
        <a:ln w="12700">
          <a:solidFill>
            <a:srgbClr val="666666"/>
          </a:solidFill>
          <a:round/>
          <a:tailEnd type="triangle" w="med" len="med"/>
        </a:ln>
      </xdr:spPr>
    </xdr:cxnSp>
    <xdr:clientData/>
  </xdr:twoCellAnchor>
  <xdr:twoCellAnchor>
    <xdr:from>
      <xdr:col>37</xdr:col>
      <xdr:colOff>403560</xdr:colOff>
      <xdr:row>47</xdr:row>
      <xdr:rowOff>21600</xdr:rowOff>
    </xdr:from>
    <xdr:to>
      <xdr:col>42</xdr:col>
      <xdr:colOff>19440</xdr:colOff>
      <xdr:row>64</xdr:row>
      <xdr:rowOff>86040</xdr:rowOff>
    </xdr:to>
    <xdr:pic>
      <xdr:nvPicPr>
        <xdr:cNvPr id="7" name=" " descr=" 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/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8749625" y="9241790"/>
          <a:ext cx="3425825" cy="356933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6</xdr:col>
      <xdr:colOff>635760</xdr:colOff>
      <xdr:row>54</xdr:row>
      <xdr:rowOff>97200</xdr:rowOff>
    </xdr:from>
    <xdr:to>
      <xdr:col>10</xdr:col>
      <xdr:colOff>544680</xdr:colOff>
      <xdr:row>68</xdr:row>
      <xdr:rowOff>86040</xdr:rowOff>
    </xdr:to>
    <xdr:pic>
      <xdr:nvPicPr>
        <xdr:cNvPr id="8" name=" " descr=" 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/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207635" y="10812780"/>
          <a:ext cx="2956560" cy="272224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10</xdr:col>
      <xdr:colOff>358200</xdr:colOff>
      <xdr:row>63</xdr:row>
      <xdr:rowOff>86040</xdr:rowOff>
    </xdr:from>
    <xdr:to>
      <xdr:col>12</xdr:col>
      <xdr:colOff>635760</xdr:colOff>
      <xdr:row>65</xdr:row>
      <xdr:rowOff>86400</xdr:rowOff>
    </xdr:to>
    <xdr:cxnSp macro="">
      <xdr:nvCxnSpPr>
        <xdr:cNvPr id="9" name="bentConnector3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CxnSpPr/>
      </xdr:nvCxnSpPr>
      <xdr:spPr>
        <a:xfrm rot="10800000" flipV="1">
          <a:off x="7978140" y="12630150"/>
          <a:ext cx="1801495" cy="362585"/>
        </a:xfrm>
        <a:prstGeom prst="bentConnector3">
          <a:avLst>
            <a:gd name="adj1" fmla="val 49990"/>
          </a:avLst>
        </a:prstGeom>
        <a:ln w="12700">
          <a:solidFill>
            <a:srgbClr val="666666"/>
          </a:solidFill>
          <a:round/>
          <a:tailEnd type="triangle" w="med" len="med"/>
        </a:ln>
      </xdr:spPr>
    </xdr:cxnSp>
    <xdr:clientData/>
  </xdr:twoCellAnchor>
  <xdr:twoCellAnchor>
    <xdr:from>
      <xdr:col>6</xdr:col>
      <xdr:colOff>681120</xdr:colOff>
      <xdr:row>22</xdr:row>
      <xdr:rowOff>0</xdr:rowOff>
    </xdr:from>
    <xdr:to>
      <xdr:col>12</xdr:col>
      <xdr:colOff>68760</xdr:colOff>
      <xdr:row>37</xdr:row>
      <xdr:rowOff>21240</xdr:rowOff>
    </xdr:to>
    <xdr:pic>
      <xdr:nvPicPr>
        <xdr:cNvPr id="10" name=" " descr=" 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/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252720" y="3981450"/>
          <a:ext cx="3959860" cy="3249930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15</xdr:col>
      <xdr:colOff>53640</xdr:colOff>
      <xdr:row>25</xdr:row>
      <xdr:rowOff>0</xdr:rowOff>
    </xdr:from>
    <xdr:to>
      <xdr:col>20</xdr:col>
      <xdr:colOff>579960</xdr:colOff>
      <xdr:row>32</xdr:row>
      <xdr:rowOff>362160</xdr:rowOff>
    </xdr:to>
    <xdr:pic>
      <xdr:nvPicPr>
        <xdr:cNvPr id="11" name=" " descr=" 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/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483340" y="4524375"/>
          <a:ext cx="4336415" cy="19431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8</xdr:col>
      <xdr:colOff>439200</xdr:colOff>
      <xdr:row>40</xdr:row>
      <xdr:rowOff>21960</xdr:rowOff>
    </xdr:from>
    <xdr:to>
      <xdr:col>9</xdr:col>
      <xdr:colOff>279720</xdr:colOff>
      <xdr:row>47</xdr:row>
      <xdr:rowOff>21600</xdr:rowOff>
    </xdr:to>
    <xdr:sp macro="" textlink="">
      <xdr:nvSpPr>
        <xdr:cNvPr id="12" name="rightArrow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 rot="16232400">
          <a:off x="6202680" y="8307070"/>
          <a:ext cx="1266825" cy="602615"/>
        </a:xfrm>
        <a:prstGeom prst="rightArrow">
          <a:avLst>
            <a:gd name="adj1" fmla="val 50000"/>
            <a:gd name="adj2" fmla="val 50000"/>
          </a:avLst>
        </a:prstGeom>
        <a:solidFill>
          <a:srgbClr val="FFFFFF"/>
        </a:solidFill>
        <a:ln w="12700">
          <a:solidFill>
            <a:srgbClr val="666666"/>
          </a:solidFill>
          <a:round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</xdr:sp>
    <xdr:clientData/>
  </xdr:twoCellAnchor>
  <xdr:twoCellAnchor>
    <xdr:from>
      <xdr:col>22</xdr:col>
      <xdr:colOff>484200</xdr:colOff>
      <xdr:row>23</xdr:row>
      <xdr:rowOff>0</xdr:rowOff>
    </xdr:from>
    <xdr:to>
      <xdr:col>27</xdr:col>
      <xdr:colOff>599760</xdr:colOff>
      <xdr:row>38</xdr:row>
      <xdr:rowOff>21240</xdr:rowOff>
    </xdr:to>
    <xdr:pic>
      <xdr:nvPicPr>
        <xdr:cNvPr id="13" name="rect" descr=" 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/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7247870" y="4162425"/>
          <a:ext cx="4077970" cy="3249930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29</xdr:col>
      <xdr:colOff>681120</xdr:colOff>
      <xdr:row>26</xdr:row>
      <xdr:rowOff>0</xdr:rowOff>
    </xdr:from>
    <xdr:to>
      <xdr:col>35</xdr:col>
      <xdr:colOff>483840</xdr:colOff>
      <xdr:row>36</xdr:row>
      <xdr:rowOff>21240</xdr:rowOff>
    </xdr:to>
    <xdr:pic>
      <xdr:nvPicPr>
        <xdr:cNvPr id="14" name="rect" descr=" 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/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2931120" y="4705350"/>
          <a:ext cx="4374515" cy="234505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37</xdr:col>
      <xdr:colOff>196920</xdr:colOff>
      <xdr:row>22</xdr:row>
      <xdr:rowOff>0</xdr:rowOff>
    </xdr:from>
    <xdr:to>
      <xdr:col>42</xdr:col>
      <xdr:colOff>544680</xdr:colOff>
      <xdr:row>38</xdr:row>
      <xdr:rowOff>21240</xdr:rowOff>
    </xdr:to>
    <xdr:pic>
      <xdr:nvPicPr>
        <xdr:cNvPr id="15" name="rect" descr=" 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/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8543250" y="3981450"/>
          <a:ext cx="4157345" cy="343090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12</xdr:col>
      <xdr:colOff>358200</xdr:colOff>
      <xdr:row>29</xdr:row>
      <xdr:rowOff>0</xdr:rowOff>
    </xdr:from>
    <xdr:to>
      <xdr:col>14</xdr:col>
      <xdr:colOff>115560</xdr:colOff>
      <xdr:row>31</xdr:row>
      <xdr:rowOff>495000</xdr:rowOff>
    </xdr:to>
    <xdr:sp macro="" textlink="">
      <xdr:nvSpPr>
        <xdr:cNvPr id="16" name="rightArrow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 rot="82200">
          <a:off x="9502140" y="5248275"/>
          <a:ext cx="1280795" cy="856615"/>
        </a:xfrm>
        <a:prstGeom prst="rightArrow">
          <a:avLst>
            <a:gd name="adj1" fmla="val 50000"/>
            <a:gd name="adj2" fmla="val 50000"/>
          </a:avLst>
        </a:prstGeom>
        <a:solidFill>
          <a:srgbClr val="FFFFFF"/>
        </a:solidFill>
        <a:ln w="12700">
          <a:solidFill>
            <a:srgbClr val="666666"/>
          </a:solidFill>
          <a:round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</xdr:sp>
    <xdr:clientData/>
  </xdr:twoCellAnchor>
  <xdr:twoCellAnchor>
    <xdr:from>
      <xdr:col>20</xdr:col>
      <xdr:colOff>484200</xdr:colOff>
      <xdr:row>28</xdr:row>
      <xdr:rowOff>360</xdr:rowOff>
    </xdr:from>
    <xdr:to>
      <xdr:col>22</xdr:col>
      <xdr:colOff>283320</xdr:colOff>
      <xdr:row>31</xdr:row>
      <xdr:rowOff>495360</xdr:rowOff>
    </xdr:to>
    <xdr:sp macro="" textlink="">
      <xdr:nvSpPr>
        <xdr:cNvPr id="17" name="rightArrow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 rot="82200">
          <a:off x="15723870" y="5067300"/>
          <a:ext cx="1323340" cy="1038225"/>
        </a:xfrm>
        <a:prstGeom prst="rightArrow">
          <a:avLst>
            <a:gd name="adj1" fmla="val 50000"/>
            <a:gd name="adj2" fmla="val 50000"/>
          </a:avLst>
        </a:prstGeom>
        <a:solidFill>
          <a:srgbClr val="FFFFFF"/>
        </a:solidFill>
        <a:ln w="12700">
          <a:solidFill>
            <a:srgbClr val="666666"/>
          </a:solidFill>
          <a:round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</xdr:sp>
    <xdr:clientData/>
  </xdr:twoCellAnchor>
  <xdr:twoCellAnchor>
    <xdr:from>
      <xdr:col>8</xdr:col>
      <xdr:colOff>752400</xdr:colOff>
      <xdr:row>11</xdr:row>
      <xdr:rowOff>0</xdr:rowOff>
    </xdr:from>
    <xdr:to>
      <xdr:col>9</xdr:col>
      <xdr:colOff>752040</xdr:colOff>
      <xdr:row>22</xdr:row>
      <xdr:rowOff>180360</xdr:rowOff>
    </xdr:to>
    <xdr:sp macro="" textlink="">
      <xdr:nvSpPr>
        <xdr:cNvPr id="18" name="rightArrow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 rot="5450400">
          <a:off x="6143625" y="2694940"/>
          <a:ext cx="2171065" cy="762000"/>
        </a:xfrm>
        <a:prstGeom prst="rightArrow">
          <a:avLst>
            <a:gd name="adj1" fmla="val 50000"/>
            <a:gd name="adj2" fmla="val 50000"/>
          </a:avLst>
        </a:prstGeom>
        <a:solidFill>
          <a:srgbClr val="FFFFFF"/>
        </a:solidFill>
        <a:ln w="12700">
          <a:solidFill>
            <a:srgbClr val="666666"/>
          </a:solidFill>
          <a:round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</xdr:sp>
    <xdr:clientData/>
  </xdr:twoCellAnchor>
  <xdr:twoCellAnchor>
    <xdr:from>
      <xdr:col>9</xdr:col>
      <xdr:colOff>132840</xdr:colOff>
      <xdr:row>11</xdr:row>
      <xdr:rowOff>0</xdr:rowOff>
    </xdr:from>
    <xdr:to>
      <xdr:col>17</xdr:col>
      <xdr:colOff>705960</xdr:colOff>
      <xdr:row>13</xdr:row>
      <xdr:rowOff>180720</xdr:rowOff>
    </xdr:to>
    <xdr:sp macro="" textlink="">
      <xdr:nvSpPr>
        <xdr:cNvPr id="19" name="rect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6990715" y="1990725"/>
          <a:ext cx="6668770" cy="542290"/>
        </a:xfrm>
        <a:prstGeom prst="rect">
          <a:avLst/>
        </a:prstGeom>
        <a:solidFill>
          <a:srgbClr val="FFFFFF"/>
        </a:solidFill>
        <a:ln w="12700">
          <a:solidFill>
            <a:srgbClr val="666666"/>
          </a:solidFill>
          <a:round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</xdr:sp>
    <xdr:clientData/>
  </xdr:twoCellAnchor>
  <xdr:twoCellAnchor>
    <xdr:from>
      <xdr:col>17</xdr:col>
      <xdr:colOff>116640</xdr:colOff>
      <xdr:row>11</xdr:row>
      <xdr:rowOff>0</xdr:rowOff>
    </xdr:from>
    <xdr:to>
      <xdr:col>17</xdr:col>
      <xdr:colOff>706680</xdr:colOff>
      <xdr:row>26</xdr:row>
      <xdr:rowOff>180720</xdr:rowOff>
    </xdr:to>
    <xdr:sp macro="" textlink="">
      <xdr:nvSpPr>
        <xdr:cNvPr id="20" name="rect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 rot="5423400">
          <a:off x="11917680" y="3143250"/>
          <a:ext cx="2895600" cy="589915"/>
        </a:xfrm>
        <a:prstGeom prst="rect">
          <a:avLst/>
        </a:prstGeom>
        <a:solidFill>
          <a:srgbClr val="FFFFFF"/>
        </a:solidFill>
        <a:ln w="12700">
          <a:solidFill>
            <a:srgbClr val="666666"/>
          </a:solidFill>
          <a:round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</xdr:sp>
    <xdr:clientData/>
  </xdr:twoCellAnchor>
  <xdr:twoCellAnchor>
    <xdr:from>
      <xdr:col>27</xdr:col>
      <xdr:colOff>590400</xdr:colOff>
      <xdr:row>31</xdr:row>
      <xdr:rowOff>0</xdr:rowOff>
    </xdr:from>
    <xdr:to>
      <xdr:col>29</xdr:col>
      <xdr:colOff>625320</xdr:colOff>
      <xdr:row>32</xdr:row>
      <xdr:rowOff>362160</xdr:rowOff>
    </xdr:to>
    <xdr:sp macro="" textlink="">
      <xdr:nvSpPr>
        <xdr:cNvPr id="21" name="rightArrow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 rot="82200">
          <a:off x="21316315" y="5610225"/>
          <a:ext cx="1558925" cy="857250"/>
        </a:xfrm>
        <a:prstGeom prst="rightArrow">
          <a:avLst>
            <a:gd name="adj1" fmla="val 50000"/>
            <a:gd name="adj2" fmla="val 50000"/>
          </a:avLst>
        </a:prstGeom>
        <a:solidFill>
          <a:srgbClr val="FFFFFF"/>
        </a:solidFill>
        <a:ln w="12700">
          <a:solidFill>
            <a:srgbClr val="666666"/>
          </a:solidFill>
          <a:round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</xdr:sp>
    <xdr:clientData/>
  </xdr:twoCellAnchor>
  <xdr:twoCellAnchor>
    <xdr:from>
      <xdr:col>32</xdr:col>
      <xdr:colOff>600840</xdr:colOff>
      <xdr:row>11</xdr:row>
      <xdr:rowOff>360</xdr:rowOff>
    </xdr:from>
    <xdr:to>
      <xdr:col>33</xdr:col>
      <xdr:colOff>403560</xdr:colOff>
      <xdr:row>25</xdr:row>
      <xdr:rowOff>180720</xdr:rowOff>
    </xdr:to>
    <xdr:sp macro="" textlink="">
      <xdr:nvSpPr>
        <xdr:cNvPr id="22" name="rect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 rot="5423400">
          <a:off x="24062055" y="3065145"/>
          <a:ext cx="2713990" cy="565150"/>
        </a:xfrm>
        <a:prstGeom prst="rect">
          <a:avLst/>
        </a:prstGeom>
        <a:solidFill>
          <a:srgbClr val="FFFFFF"/>
        </a:solidFill>
        <a:ln w="12700">
          <a:solidFill>
            <a:srgbClr val="666666"/>
          </a:solidFill>
          <a:round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</xdr:sp>
    <xdr:clientData/>
  </xdr:twoCellAnchor>
  <xdr:twoCellAnchor>
    <xdr:from>
      <xdr:col>25</xdr:col>
      <xdr:colOff>0</xdr:colOff>
      <xdr:row>11</xdr:row>
      <xdr:rowOff>0</xdr:rowOff>
    </xdr:from>
    <xdr:to>
      <xdr:col>33</xdr:col>
      <xdr:colOff>403200</xdr:colOff>
      <xdr:row>13</xdr:row>
      <xdr:rowOff>180720</xdr:rowOff>
    </xdr:to>
    <xdr:sp macro="" textlink="">
      <xdr:nvSpPr>
        <xdr:cNvPr id="23" name="rect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19050000" y="1990725"/>
          <a:ext cx="6650990" cy="542290"/>
        </a:xfrm>
        <a:prstGeom prst="rect">
          <a:avLst/>
        </a:prstGeom>
        <a:solidFill>
          <a:srgbClr val="FFFFFF"/>
        </a:solidFill>
        <a:ln w="12700">
          <a:solidFill>
            <a:srgbClr val="666666"/>
          </a:solidFill>
          <a:round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</xdr:sp>
    <xdr:clientData/>
  </xdr:twoCellAnchor>
  <xdr:twoCellAnchor>
    <xdr:from>
      <xdr:col>24</xdr:col>
      <xdr:colOff>601200</xdr:colOff>
      <xdr:row>11</xdr:row>
      <xdr:rowOff>0</xdr:rowOff>
    </xdr:from>
    <xdr:to>
      <xdr:col>25</xdr:col>
      <xdr:colOff>590760</xdr:colOff>
      <xdr:row>22</xdr:row>
      <xdr:rowOff>180360</xdr:rowOff>
    </xdr:to>
    <xdr:sp macro="" textlink="">
      <xdr:nvSpPr>
        <xdr:cNvPr id="24" name="rightArrow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 rot="5450400">
          <a:off x="18179415" y="2700020"/>
          <a:ext cx="2171065" cy="751840"/>
        </a:xfrm>
        <a:prstGeom prst="rightArrow">
          <a:avLst>
            <a:gd name="adj1" fmla="val 50000"/>
            <a:gd name="adj2" fmla="val 50000"/>
          </a:avLst>
        </a:prstGeom>
        <a:solidFill>
          <a:srgbClr val="FFFFFF"/>
        </a:solidFill>
        <a:ln w="12700">
          <a:solidFill>
            <a:srgbClr val="666666"/>
          </a:solidFill>
          <a:round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</xdr:sp>
    <xdr:clientData/>
  </xdr:twoCellAnchor>
  <xdr:twoCellAnchor>
    <xdr:from>
      <xdr:col>35</xdr:col>
      <xdr:colOff>358200</xdr:colOff>
      <xdr:row>29</xdr:row>
      <xdr:rowOff>0</xdr:rowOff>
    </xdr:from>
    <xdr:to>
      <xdr:col>37</xdr:col>
      <xdr:colOff>241920</xdr:colOff>
      <xdr:row>31</xdr:row>
      <xdr:rowOff>495000</xdr:rowOff>
    </xdr:to>
    <xdr:sp macro="" textlink="">
      <xdr:nvSpPr>
        <xdr:cNvPr id="25" name="rightArrow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 rot="82200">
          <a:off x="27180540" y="5248275"/>
          <a:ext cx="1407160" cy="856615"/>
        </a:xfrm>
        <a:prstGeom prst="rightArrow">
          <a:avLst>
            <a:gd name="adj1" fmla="val 50000"/>
            <a:gd name="adj2" fmla="val 50000"/>
          </a:avLst>
        </a:prstGeom>
        <a:solidFill>
          <a:srgbClr val="FFFFFF"/>
        </a:solidFill>
        <a:ln w="12700">
          <a:solidFill>
            <a:srgbClr val="666666"/>
          </a:solidFill>
          <a:round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</xdr:sp>
    <xdr:clientData/>
  </xdr:twoCellAnchor>
  <xdr:twoCellAnchor>
    <xdr:from>
      <xdr:col>39</xdr:col>
      <xdr:colOff>429480</xdr:colOff>
      <xdr:row>38</xdr:row>
      <xdr:rowOff>21600</xdr:rowOff>
    </xdr:from>
    <xdr:to>
      <xdr:col>40</xdr:col>
      <xdr:colOff>731880</xdr:colOff>
      <xdr:row>46</xdr:row>
      <xdr:rowOff>21240</xdr:rowOff>
    </xdr:to>
    <xdr:sp macro="" textlink="">
      <xdr:nvSpPr>
        <xdr:cNvPr id="26" name="rightArrow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 rot="5361600">
          <a:off x="30008195" y="7704455"/>
          <a:ext cx="1647190" cy="1064260"/>
        </a:xfrm>
        <a:prstGeom prst="rightArrow">
          <a:avLst>
            <a:gd name="adj1" fmla="val 50000"/>
            <a:gd name="adj2" fmla="val 50000"/>
          </a:avLst>
        </a:prstGeom>
        <a:solidFill>
          <a:srgbClr val="FFFFFF"/>
        </a:solidFill>
        <a:ln w="12700">
          <a:solidFill>
            <a:srgbClr val="666666"/>
          </a:solidFill>
          <a:round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115920</xdr:colOff>
      <xdr:row>6</xdr:row>
      <xdr:rowOff>0</xdr:rowOff>
    </xdr:from>
    <xdr:to>
      <xdr:col>13</xdr:col>
      <xdr:colOff>403200</xdr:colOff>
      <xdr:row>11</xdr:row>
      <xdr:rowOff>45360</xdr:rowOff>
    </xdr:to>
    <xdr:pic>
      <xdr:nvPicPr>
        <xdr:cNvPr id="27" name=" " descr=" 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88325" y="1085850"/>
          <a:ext cx="2573020" cy="949960"/>
        </a:xfrm>
        <a:prstGeom prst="rect">
          <a:avLst/>
        </a:prstGeom>
        <a:noFill/>
        <a:ln w="9525"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153720</xdr:colOff>
      <xdr:row>6</xdr:row>
      <xdr:rowOff>0</xdr:rowOff>
    </xdr:from>
    <xdr:to>
      <xdr:col>4</xdr:col>
      <xdr:colOff>323280</xdr:colOff>
      <xdr:row>8</xdr:row>
      <xdr:rowOff>75600</xdr:rowOff>
    </xdr:to>
    <xdr:sp macro="" textlink="">
      <xdr:nvSpPr>
        <xdr:cNvPr id="2" name=" 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677670" y="1085850"/>
          <a:ext cx="1939925" cy="437515"/>
        </a:xfrm>
        <a:prstGeom prst="rect">
          <a:avLst/>
        </a:prstGeom>
        <a:solidFill>
          <a:srgbClr val="FFFFFF"/>
        </a:solidFill>
        <a:ln w="9525">
          <a:solidFill>
            <a:srgbClr val="888888"/>
          </a:solidFill>
          <a:round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0" tIns="0" rIns="0" bIns="0" anchor="t">
          <a:noAutofit/>
        </a:bodyPr>
        <a:lstStyle/>
        <a:p>
          <a:pPr>
            <a:lnSpc>
              <a:spcPts val="1350"/>
            </a:lnSpc>
          </a:pPr>
          <a:r>
            <a:rPr lang="en-US" sz="1100" b="0" u="none" strike="noStrike">
              <a:solidFill>
                <a:srgbClr val="000000"/>
              </a:solidFill>
              <a:effectLst/>
              <a:uFillTx/>
              <a:latin typeface="Arial" panose="020B0604020202020204"/>
              <a:ea typeface="Arial" panose="020B0604020202020204"/>
            </a:rPr>
            <a:t>Rumus Penentuan gram sandios:</a:t>
          </a:r>
          <a:endParaRPr lang="en-US" sz="1100" b="0" u="none" strike="noStrike">
            <a:effectLst/>
            <a:uFillTx/>
            <a:latin typeface="Times New Roman" panose="02020603050405020304" pitchFamily="12"/>
          </a:endParaRPr>
        </a:p>
      </xdr:txBody>
    </xdr:sp>
    <xdr:clientData/>
  </xdr:twoCellAnchor>
  <xdr:twoCellAnchor>
    <xdr:from>
      <xdr:col>2</xdr:col>
      <xdr:colOff>153720</xdr:colOff>
      <xdr:row>8</xdr:row>
      <xdr:rowOff>75960</xdr:rowOff>
    </xdr:from>
    <xdr:to>
      <xdr:col>5</xdr:col>
      <xdr:colOff>87480</xdr:colOff>
      <xdr:row>14</xdr:row>
      <xdr:rowOff>132840</xdr:rowOff>
    </xdr:to>
    <xdr:pic>
      <xdr:nvPicPr>
        <xdr:cNvPr id="3" name=" " descr=" 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77670" y="1523365"/>
          <a:ext cx="2465705" cy="1143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7</xdr:col>
      <xdr:colOff>200660</xdr:colOff>
      <xdr:row>3</xdr:row>
      <xdr:rowOff>67945</xdr:rowOff>
    </xdr:from>
    <xdr:to>
      <xdr:col>7</xdr:col>
      <xdr:colOff>1996440</xdr:colOff>
      <xdr:row>10</xdr:row>
      <xdr:rowOff>142875</xdr:rowOff>
    </xdr:to>
    <xdr:sp macro="" textlink="">
      <xdr:nvSpPr>
        <xdr:cNvPr id="4" name="Rounded Rectangle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6543040" y="610870"/>
          <a:ext cx="1795780" cy="134175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 anchorCtr="0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800"/>
            <a:t>BACK TO MAIN 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27</xdr:row>
      <xdr:rowOff>0</xdr:rowOff>
    </xdr:from>
    <xdr:to>
      <xdr:col>1</xdr:col>
      <xdr:colOff>1795780</xdr:colOff>
      <xdr:row>34</xdr:row>
      <xdr:rowOff>74930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762000" y="5280025"/>
          <a:ext cx="1795780" cy="134175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 anchorCtr="0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800"/>
            <a:t>BACK TO MAIN 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31750</xdr:colOff>
      <xdr:row>25</xdr:row>
      <xdr:rowOff>165100</xdr:rowOff>
    </xdr:from>
    <xdr:to>
      <xdr:col>2</xdr:col>
      <xdr:colOff>3175</xdr:colOff>
      <xdr:row>33</xdr:row>
      <xdr:rowOff>24130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793750" y="5038725"/>
          <a:ext cx="1795780" cy="134175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 anchorCtr="0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800"/>
            <a:t>BACK TO MAIN 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26</xdr:row>
      <xdr:rowOff>0</xdr:rowOff>
    </xdr:from>
    <xdr:to>
      <xdr:col>1</xdr:col>
      <xdr:colOff>1795780</xdr:colOff>
      <xdr:row>33</xdr:row>
      <xdr:rowOff>65405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762000" y="5089525"/>
          <a:ext cx="1795780" cy="134175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 anchorCtr="0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800"/>
            <a:t>BACK TO MAIN 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26</xdr:row>
      <xdr:rowOff>0</xdr:rowOff>
    </xdr:from>
    <xdr:to>
      <xdr:col>1</xdr:col>
      <xdr:colOff>1795780</xdr:colOff>
      <xdr:row>33</xdr:row>
      <xdr:rowOff>65405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762000" y="5114925"/>
          <a:ext cx="1795780" cy="134175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 anchorCtr="0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800"/>
            <a:t>BACK TO MAIN 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26</xdr:row>
      <xdr:rowOff>0</xdr:rowOff>
    </xdr:from>
    <xdr:to>
      <xdr:col>1</xdr:col>
      <xdr:colOff>1795780</xdr:colOff>
      <xdr:row>33</xdr:row>
      <xdr:rowOff>65405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762000" y="5114925"/>
          <a:ext cx="1795780" cy="134175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 anchorCtr="0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800"/>
            <a:t>BACK TO MAIN 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1485360</xdr:colOff>
      <xdr:row>51</xdr:row>
      <xdr:rowOff>158400</xdr:rowOff>
    </xdr:from>
    <xdr:to>
      <xdr:col>7</xdr:col>
      <xdr:colOff>847080</xdr:colOff>
      <xdr:row>67</xdr:row>
      <xdr:rowOff>93960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900-00001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730250</xdr:colOff>
      <xdr:row>25</xdr:row>
      <xdr:rowOff>174625</xdr:rowOff>
    </xdr:from>
    <xdr:to>
      <xdr:col>1</xdr:col>
      <xdr:colOff>1764030</xdr:colOff>
      <xdr:row>32</xdr:row>
      <xdr:rowOff>138430</xdr:rowOff>
    </xdr:to>
    <xdr:sp macro="" textlink="">
      <xdr:nvSpPr>
        <xdr:cNvPr id="2" name="Rounded Rectangle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730250" y="5083175"/>
          <a:ext cx="1795780" cy="126555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 anchorCtr="0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800"/>
            <a:t>BACK TO MAIN 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</xdr:row>
      <xdr:rowOff>0</xdr:rowOff>
    </xdr:from>
    <xdr:to>
      <xdr:col>3</xdr:col>
      <xdr:colOff>707390</xdr:colOff>
      <xdr:row>29</xdr:row>
      <xdr:rowOff>103505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1524000" y="4746625"/>
          <a:ext cx="1795780" cy="134175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 anchorCtr="0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800"/>
            <a:t>BACK TO MAIN 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30</xdr:col>
      <xdr:colOff>51840</xdr:colOff>
      <xdr:row>29</xdr:row>
      <xdr:rowOff>10800</xdr:rowOff>
    </xdr:from>
    <xdr:to>
      <xdr:col>33</xdr:col>
      <xdr:colOff>2127960</xdr:colOff>
      <xdr:row>47</xdr:row>
      <xdr:rowOff>98280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B00-00001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35</xdr:col>
      <xdr:colOff>115560</xdr:colOff>
      <xdr:row>29</xdr:row>
      <xdr:rowOff>360</xdr:rowOff>
    </xdr:from>
    <xdr:to>
      <xdr:col>38</xdr:col>
      <xdr:colOff>1511560</xdr:colOff>
      <xdr:row>47</xdr:row>
      <xdr:rowOff>87840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B00-00001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30</xdr:col>
      <xdr:colOff>6480</xdr:colOff>
      <xdr:row>49</xdr:row>
      <xdr:rowOff>147960</xdr:rowOff>
    </xdr:from>
    <xdr:to>
      <xdr:col>33</xdr:col>
      <xdr:colOff>2082240</xdr:colOff>
      <xdr:row>68</xdr:row>
      <xdr:rowOff>53640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B00-00001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35</xdr:col>
      <xdr:colOff>231480</xdr:colOff>
      <xdr:row>50</xdr:row>
      <xdr:rowOff>53640</xdr:rowOff>
    </xdr:from>
    <xdr:to>
      <xdr:col>38</xdr:col>
      <xdr:colOff>1627120</xdr:colOff>
      <xdr:row>68</xdr:row>
      <xdr:rowOff>134280</xdr:rowOff>
    </xdr:to>
    <xdr:graphicFrame macro="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B00-00002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40</xdr:col>
      <xdr:colOff>75600</xdr:colOff>
      <xdr:row>29</xdr:row>
      <xdr:rowOff>40320</xdr:rowOff>
    </xdr:from>
    <xdr:to>
      <xdr:col>45</xdr:col>
      <xdr:colOff>267120</xdr:colOff>
      <xdr:row>47</xdr:row>
      <xdr:rowOff>120960</xdr:rowOff>
    </xdr:to>
    <xdr:graphicFrame macro="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B00-00002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40</xdr:col>
      <xdr:colOff>207720</xdr:colOff>
      <xdr:row>49</xdr:row>
      <xdr:rowOff>108000</xdr:rowOff>
    </xdr:from>
    <xdr:to>
      <xdr:col>45</xdr:col>
      <xdr:colOff>399240</xdr:colOff>
      <xdr:row>68</xdr:row>
      <xdr:rowOff>13320</xdr:rowOff>
    </xdr:to>
    <xdr:graphicFrame macro="">
      <xdr:nvGraphicFramePr>
        <xdr:cNvPr id="34" name="Chart 33">
          <a:extLst>
            <a:ext uri="{FF2B5EF4-FFF2-40B4-BE49-F238E27FC236}">
              <a16:creationId xmlns:a16="http://schemas.microsoft.com/office/drawing/2014/main" id="{00000000-0008-0000-0B00-00002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108585</xdr:colOff>
      <xdr:row>39</xdr:row>
      <xdr:rowOff>173990</xdr:rowOff>
    </xdr:from>
    <xdr:to>
      <xdr:col>22</xdr:col>
      <xdr:colOff>299720</xdr:colOff>
      <xdr:row>85</xdr:row>
      <xdr:rowOff>44450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75900" y="7955915"/>
          <a:ext cx="9812020" cy="9154160"/>
        </a:xfrm>
        <a:prstGeom prst="rect">
          <a:avLst/>
        </a:prstGeom>
      </xdr:spPr>
    </xdr:pic>
    <xdr:clientData/>
  </xdr:twoCellAnchor>
  <xdr:twoCellAnchor>
    <xdr:from>
      <xdr:col>0</xdr:col>
      <xdr:colOff>758190</xdr:colOff>
      <xdr:row>26</xdr:row>
      <xdr:rowOff>144780</xdr:rowOff>
    </xdr:from>
    <xdr:to>
      <xdr:col>1</xdr:col>
      <xdr:colOff>1791970</xdr:colOff>
      <xdr:row>33</xdr:row>
      <xdr:rowOff>172085</xdr:rowOff>
    </xdr:to>
    <xdr:sp macro="" textlink="">
      <xdr:nvSpPr>
        <xdr:cNvPr id="3" name="Rounded Rectangl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758190" y="5497830"/>
          <a:ext cx="1795780" cy="134175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en-US" sz="1800"/>
            <a:t>BACK TO MAIN 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756285</xdr:colOff>
      <xdr:row>40</xdr:row>
      <xdr:rowOff>15875</xdr:rowOff>
    </xdr:from>
    <xdr:to>
      <xdr:col>28</xdr:col>
      <xdr:colOff>358775</xdr:colOff>
      <xdr:row>94</xdr:row>
      <xdr:rowOff>39370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309600" y="7740650"/>
          <a:ext cx="11509375" cy="10958195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27</xdr:row>
      <xdr:rowOff>0</xdr:rowOff>
    </xdr:from>
    <xdr:to>
      <xdr:col>1</xdr:col>
      <xdr:colOff>1795780</xdr:colOff>
      <xdr:row>34</xdr:row>
      <xdr:rowOff>27305</xdr:rowOff>
    </xdr:to>
    <xdr:sp macro="" textlink="">
      <xdr:nvSpPr>
        <xdr:cNvPr id="4" name="Rounded Rectangle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SpPr/>
      </xdr:nvSpPr>
      <xdr:spPr>
        <a:xfrm>
          <a:off x="762000" y="5270500"/>
          <a:ext cx="1795780" cy="134175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 anchorCtr="0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800"/>
            <a:t>BACK TO MAIN 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713740</xdr:colOff>
      <xdr:row>38</xdr:row>
      <xdr:rowOff>151130</xdr:rowOff>
    </xdr:from>
    <xdr:to>
      <xdr:col>33</xdr:col>
      <xdr:colOff>76200</xdr:colOff>
      <xdr:row>83</xdr:row>
      <xdr:rowOff>33020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077940" y="7479030"/>
          <a:ext cx="9268460" cy="8943340"/>
        </a:xfrm>
        <a:prstGeom prst="rect">
          <a:avLst/>
        </a:prstGeom>
      </xdr:spPr>
    </xdr:pic>
    <xdr:clientData/>
  </xdr:twoCellAnchor>
  <xdr:twoCellAnchor>
    <xdr:from>
      <xdr:col>1</xdr:col>
      <xdr:colOff>26035</xdr:colOff>
      <xdr:row>26</xdr:row>
      <xdr:rowOff>188595</xdr:rowOff>
    </xdr:from>
    <xdr:to>
      <xdr:col>1</xdr:col>
      <xdr:colOff>1821815</xdr:colOff>
      <xdr:row>34</xdr:row>
      <xdr:rowOff>25400</xdr:rowOff>
    </xdr:to>
    <xdr:sp macro="" textlink="">
      <xdr:nvSpPr>
        <xdr:cNvPr id="3" name="Rounded Rectangl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788035" y="5268595"/>
          <a:ext cx="1795780" cy="134175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 anchorCtr="0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800"/>
            <a:t>BACK TO MAIN 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27</xdr:row>
      <xdr:rowOff>0</xdr:rowOff>
    </xdr:from>
    <xdr:to>
      <xdr:col>1</xdr:col>
      <xdr:colOff>1795780</xdr:colOff>
      <xdr:row>34</xdr:row>
      <xdr:rowOff>27305</xdr:rowOff>
    </xdr:to>
    <xdr:sp macro="" textlink="">
      <xdr:nvSpPr>
        <xdr:cNvPr id="3" name="Rounded Rectangl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/>
      </xdr:nvSpPr>
      <xdr:spPr>
        <a:xfrm>
          <a:off x="762000" y="5435600"/>
          <a:ext cx="1795780" cy="134175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 anchorCtr="0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800"/>
            <a:t>BACK TO MAIN </a:t>
          </a:r>
        </a:p>
      </xdr:txBody>
    </xdr:sp>
    <xdr:clientData/>
  </xdr:twoCellAnchor>
  <xdr:twoCellAnchor>
    <xdr:from>
      <xdr:col>21</xdr:col>
      <xdr:colOff>96781</xdr:colOff>
      <xdr:row>40</xdr:row>
      <xdr:rowOff>86323</xdr:rowOff>
    </xdr:from>
    <xdr:to>
      <xdr:col>29</xdr:col>
      <xdr:colOff>698761</xdr:colOff>
      <xdr:row>69</xdr:row>
      <xdr:rowOff>138243</xdr:rowOff>
    </xdr:to>
    <xdr:pic>
      <xdr:nvPicPr>
        <xdr:cNvPr id="2" name="Picture 1" descr=" 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/>
      </xdr:nvPicPr>
      <xdr:blipFill>
        <a:blip xmlns:r="http://schemas.openxmlformats.org/officeDocument/2006/relationships" r:embed="rId2"/>
        <a:srcRect/>
        <a:stretch>
          <a:fillRect/>
        </a:stretch>
      </xdr:blipFill>
      <xdr:spPr>
        <a:xfrm>
          <a:off x="19612946" y="7419452"/>
          <a:ext cx="6697980" cy="5789332"/>
        </a:xfrm>
        <a:prstGeom prst="rect">
          <a:avLst/>
        </a:prstGeom>
        <a:noFill/>
        <a:ln>
          <a:noFill/>
        </a:ln>
        <a:effectLst/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748030</xdr:colOff>
      <xdr:row>40</xdr:row>
      <xdr:rowOff>46990</xdr:rowOff>
    </xdr:from>
    <xdr:to>
      <xdr:col>23</xdr:col>
      <xdr:colOff>265430</xdr:colOff>
      <xdr:row>85</xdr:row>
      <xdr:rowOff>146685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777345" y="7771765"/>
          <a:ext cx="9138285" cy="917702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27</xdr:row>
      <xdr:rowOff>0</xdr:rowOff>
    </xdr:from>
    <xdr:to>
      <xdr:col>1</xdr:col>
      <xdr:colOff>1795780</xdr:colOff>
      <xdr:row>34</xdr:row>
      <xdr:rowOff>27305</xdr:rowOff>
    </xdr:to>
    <xdr:sp macro="" textlink="">
      <xdr:nvSpPr>
        <xdr:cNvPr id="4" name="Rounded Rectangle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SpPr/>
      </xdr:nvSpPr>
      <xdr:spPr>
        <a:xfrm>
          <a:off x="762000" y="5270500"/>
          <a:ext cx="1795780" cy="134175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 anchorCtr="0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800"/>
            <a:t>BACK TO MAIN 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26</xdr:row>
      <xdr:rowOff>0</xdr:rowOff>
    </xdr:from>
    <xdr:to>
      <xdr:col>1</xdr:col>
      <xdr:colOff>1795780</xdr:colOff>
      <xdr:row>33</xdr:row>
      <xdr:rowOff>65405</xdr:rowOff>
    </xdr:to>
    <xdr:sp macro="" textlink="">
      <xdr:nvSpPr>
        <xdr:cNvPr id="3" name="Rounded Rectangl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/>
      </xdr:nvSpPr>
      <xdr:spPr>
        <a:xfrm>
          <a:off x="762000" y="5080000"/>
          <a:ext cx="1795780" cy="134175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 anchorCtr="0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800"/>
            <a:t>BACK TO MAIN 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381635</xdr:colOff>
      <xdr:row>21</xdr:row>
      <xdr:rowOff>22225</xdr:rowOff>
    </xdr:from>
    <xdr:to>
      <xdr:col>28</xdr:col>
      <xdr:colOff>29210</xdr:colOff>
      <xdr:row>67</xdr:row>
      <xdr:rowOff>50165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220950" y="4127500"/>
          <a:ext cx="9268460" cy="8943340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294640</xdr:colOff>
      <xdr:row>41</xdr:row>
      <xdr:rowOff>171450</xdr:rowOff>
    </xdr:from>
    <xdr:to>
      <xdr:col>25</xdr:col>
      <xdr:colOff>732155</xdr:colOff>
      <xdr:row>63</xdr:row>
      <xdr:rowOff>72390</xdr:rowOff>
    </xdr:to>
    <xdr:pic>
      <xdr:nvPicPr>
        <xdr:cNvPr id="3" name="Picture 2" descr="Screenshot_2026-08-11-20-24-30-712_com.fct.tc4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47980" y="8035925"/>
          <a:ext cx="10058400" cy="423164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27</xdr:row>
      <xdr:rowOff>0</xdr:rowOff>
    </xdr:from>
    <xdr:to>
      <xdr:col>1</xdr:col>
      <xdr:colOff>1795780</xdr:colOff>
      <xdr:row>34</xdr:row>
      <xdr:rowOff>74930</xdr:rowOff>
    </xdr:to>
    <xdr:sp macro="" textlink="">
      <xdr:nvSpPr>
        <xdr:cNvPr id="4" name="Rounded Rectangle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SpPr/>
      </xdr:nvSpPr>
      <xdr:spPr>
        <a:xfrm>
          <a:off x="762000" y="5270500"/>
          <a:ext cx="1795780" cy="134175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 anchorCtr="0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800"/>
            <a:t>BACK TO MAIN 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415925</xdr:colOff>
      <xdr:row>39</xdr:row>
      <xdr:rowOff>149860</xdr:rowOff>
    </xdr:from>
    <xdr:to>
      <xdr:col>9</xdr:col>
      <xdr:colOff>1804035</xdr:colOff>
      <xdr:row>86</xdr:row>
      <xdr:rowOff>150495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15925" y="7312660"/>
          <a:ext cx="9659620" cy="850646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</xdr:col>
      <xdr:colOff>0</xdr:colOff>
      <xdr:row>32</xdr:row>
      <xdr:rowOff>0</xdr:rowOff>
    </xdr:from>
    <xdr:to>
      <xdr:col>2</xdr:col>
      <xdr:colOff>372745</xdr:colOff>
      <xdr:row>39</xdr:row>
      <xdr:rowOff>65405</xdr:rowOff>
    </xdr:to>
    <xdr:sp macro="" textlink="">
      <xdr:nvSpPr>
        <xdr:cNvPr id="3" name="Rounded Rectangl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SpPr/>
      </xdr:nvSpPr>
      <xdr:spPr>
        <a:xfrm>
          <a:off x="685800" y="5867400"/>
          <a:ext cx="1795780" cy="136080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 anchorCtr="0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800"/>
            <a:t>BACK TO MAIN 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32</xdr:row>
      <xdr:rowOff>0</xdr:rowOff>
    </xdr:from>
    <xdr:to>
      <xdr:col>2</xdr:col>
      <xdr:colOff>372745</xdr:colOff>
      <xdr:row>39</xdr:row>
      <xdr:rowOff>65405</xdr:rowOff>
    </xdr:to>
    <xdr:sp macro="" textlink="">
      <xdr:nvSpPr>
        <xdr:cNvPr id="3" name="Rounded Rectangl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SpPr/>
      </xdr:nvSpPr>
      <xdr:spPr>
        <a:xfrm>
          <a:off x="685800" y="5867400"/>
          <a:ext cx="1795780" cy="136080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 anchorCtr="0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800"/>
            <a:t>BACK TO MAIN </a:t>
          </a:r>
        </a:p>
      </xdr:txBody>
    </xdr:sp>
    <xdr:clientData/>
  </xdr:twoCellAnchor>
  <xdr:twoCellAnchor editAs="oneCell">
    <xdr:from>
      <xdr:col>1</xdr:col>
      <xdr:colOff>0</xdr:colOff>
      <xdr:row>41</xdr:row>
      <xdr:rowOff>0</xdr:rowOff>
    </xdr:from>
    <xdr:to>
      <xdr:col>9</xdr:col>
      <xdr:colOff>1596390</xdr:colOff>
      <xdr:row>88</xdr:row>
      <xdr:rowOff>135255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85800" y="7524750"/>
          <a:ext cx="9859645" cy="864108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rgbClr val="000000"/>
      </a:dk1>
      <a:lt1>
        <a:srgbClr val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/>
        </a:gradFill>
      </a:fillStyleLst>
      <a:lnStyleLst>
        <a:ln w="6350" cap="flat" cmpd="sng" algn="ctr">
          <a:prstDash val="solid"/>
          <a:miter lim="800000"/>
        </a:ln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30A0"/>
  </sheetPr>
  <dimension ref="B3:M39"/>
  <sheetViews>
    <sheetView tabSelected="1" topLeftCell="A4" zoomScale="70" zoomScaleNormal="70" workbookViewId="0">
      <selection activeCell="F9" sqref="F9"/>
    </sheetView>
  </sheetViews>
  <sheetFormatPr defaultColWidth="9" defaultRowHeight="13.8"/>
  <cols>
    <col min="1" max="2" width="9" style="192"/>
    <col min="3" max="3" width="57.5" style="192" customWidth="1"/>
    <col min="4" max="4" width="21" style="192" customWidth="1"/>
    <col min="5" max="5" width="22" style="192" customWidth="1"/>
    <col min="6" max="6" width="34.5" style="192" customWidth="1"/>
    <col min="7" max="7" width="45.19921875" style="192" customWidth="1"/>
    <col min="8" max="9" width="9" style="192"/>
    <col min="10" max="10" width="17.8984375" style="192" customWidth="1"/>
    <col min="11" max="16384" width="9" style="192"/>
  </cols>
  <sheetData>
    <row r="3" spans="2:13">
      <c r="B3" s="390" t="s">
        <v>0</v>
      </c>
      <c r="C3" s="391"/>
      <c r="D3" s="391"/>
      <c r="E3" s="391"/>
      <c r="F3" s="391"/>
      <c r="G3" s="391"/>
      <c r="H3" s="391"/>
      <c r="I3" s="391"/>
      <c r="J3" s="392"/>
    </row>
    <row r="4" spans="2:13" ht="37.950000000000003" customHeight="1">
      <c r="B4" s="304" t="s">
        <v>1</v>
      </c>
      <c r="C4" s="305" t="s">
        <v>2</v>
      </c>
      <c r="D4" s="305" t="s">
        <v>3</v>
      </c>
      <c r="E4" s="305" t="s">
        <v>4</v>
      </c>
      <c r="F4" s="305" t="s">
        <v>5</v>
      </c>
      <c r="G4" s="305" t="s">
        <v>6</v>
      </c>
      <c r="H4" s="393" t="s">
        <v>7</v>
      </c>
      <c r="I4" s="393"/>
      <c r="J4" s="394"/>
    </row>
    <row r="5" spans="2:13" ht="39" customHeight="1">
      <c r="B5" s="196">
        <v>1</v>
      </c>
      <c r="C5" s="306" t="s">
        <v>8</v>
      </c>
      <c r="D5" s="307" t="s">
        <v>9</v>
      </c>
      <c r="E5" s="314" t="s">
        <v>10</v>
      </c>
      <c r="F5" s="307" t="s">
        <v>11</v>
      </c>
      <c r="G5" s="315" t="s">
        <v>12</v>
      </c>
      <c r="H5" s="395" t="s">
        <v>13</v>
      </c>
      <c r="I5" s="395"/>
      <c r="J5" s="396"/>
    </row>
    <row r="6" spans="2:13" ht="52.95" customHeight="1">
      <c r="B6" s="196">
        <v>2</v>
      </c>
      <c r="C6" s="308" t="s">
        <v>14</v>
      </c>
      <c r="D6" s="307" t="s">
        <v>15</v>
      </c>
      <c r="E6" s="314" t="s">
        <v>16</v>
      </c>
      <c r="F6" s="307" t="s">
        <v>17</v>
      </c>
      <c r="G6" s="315" t="s">
        <v>18</v>
      </c>
      <c r="H6" s="385" t="s">
        <v>19</v>
      </c>
      <c r="I6" s="385"/>
      <c r="J6" s="386"/>
    </row>
    <row r="7" spans="2:13" ht="37.049999999999997" customHeight="1">
      <c r="B7" s="196">
        <v>3</v>
      </c>
      <c r="C7" s="306" t="s">
        <v>20</v>
      </c>
      <c r="D7" s="307" t="s">
        <v>9</v>
      </c>
      <c r="E7" s="197" t="s">
        <v>21</v>
      </c>
      <c r="F7" s="307" t="s">
        <v>22</v>
      </c>
      <c r="G7" s="315" t="s">
        <v>23</v>
      </c>
      <c r="H7" s="375" t="s">
        <v>24</v>
      </c>
      <c r="I7" s="375"/>
      <c r="J7" s="376"/>
      <c r="M7" s="192" t="s">
        <v>25</v>
      </c>
    </row>
    <row r="8" spans="2:13" ht="46.05" customHeight="1">
      <c r="B8" s="196">
        <v>4</v>
      </c>
      <c r="C8" s="306" t="s">
        <v>26</v>
      </c>
      <c r="D8" s="307" t="s">
        <v>9</v>
      </c>
      <c r="E8" s="197" t="s">
        <v>27</v>
      </c>
      <c r="F8" s="307" t="s">
        <v>28</v>
      </c>
      <c r="G8" s="315" t="s">
        <v>29</v>
      </c>
      <c r="H8" s="375" t="s">
        <v>30</v>
      </c>
      <c r="I8" s="375"/>
      <c r="J8" s="376"/>
    </row>
    <row r="9" spans="2:13" ht="48" customHeight="1">
      <c r="B9" s="196">
        <v>5</v>
      </c>
      <c r="C9" s="197" t="s">
        <v>31</v>
      </c>
      <c r="D9" s="307" t="s">
        <v>9</v>
      </c>
      <c r="E9" s="197" t="s">
        <v>32</v>
      </c>
      <c r="F9" s="316" t="s">
        <v>33</v>
      </c>
      <c r="G9" s="315" t="s">
        <v>34</v>
      </c>
      <c r="H9" s="375" t="s">
        <v>35</v>
      </c>
      <c r="I9" s="375"/>
      <c r="J9" s="376"/>
    </row>
    <row r="10" spans="2:13" ht="48" customHeight="1">
      <c r="B10" s="196">
        <v>6</v>
      </c>
      <c r="C10" s="306" t="s">
        <v>36</v>
      </c>
      <c r="D10" s="307" t="s">
        <v>9</v>
      </c>
      <c r="E10" s="197" t="s">
        <v>37</v>
      </c>
      <c r="F10" s="307" t="s">
        <v>38</v>
      </c>
      <c r="G10" s="315" t="s">
        <v>39</v>
      </c>
      <c r="H10" s="375" t="s">
        <v>40</v>
      </c>
      <c r="I10" s="375"/>
      <c r="J10" s="376"/>
    </row>
    <row r="11" spans="2:13" ht="27.6">
      <c r="B11" s="196">
        <v>7</v>
      </c>
      <c r="C11" s="197" t="s">
        <v>41</v>
      </c>
      <c r="D11" s="307" t="s">
        <v>9</v>
      </c>
      <c r="E11" s="317">
        <v>46224</v>
      </c>
      <c r="F11" s="316" t="s">
        <v>42</v>
      </c>
      <c r="G11" s="197" t="s">
        <v>43</v>
      </c>
      <c r="H11" s="384" t="s">
        <v>44</v>
      </c>
      <c r="I11" s="385"/>
      <c r="J11" s="386"/>
    </row>
    <row r="12" spans="2:13" ht="27.6">
      <c r="B12" s="199">
        <v>8</v>
      </c>
      <c r="C12" s="202" t="s">
        <v>41</v>
      </c>
      <c r="D12" s="309" t="s">
        <v>9</v>
      </c>
      <c r="E12" s="318">
        <v>46224</v>
      </c>
      <c r="F12" s="319" t="s">
        <v>45</v>
      </c>
      <c r="G12" s="202" t="s">
        <v>46</v>
      </c>
      <c r="H12" s="387" t="s">
        <v>47</v>
      </c>
      <c r="I12" s="388"/>
      <c r="J12" s="389"/>
    </row>
    <row r="13" spans="2:13">
      <c r="B13" s="197"/>
      <c r="C13" s="197"/>
      <c r="D13" s="197"/>
      <c r="E13" s="197"/>
      <c r="F13" s="197"/>
    </row>
    <row r="14" spans="2:13">
      <c r="B14" s="197"/>
      <c r="C14" s="197"/>
      <c r="D14" s="197"/>
      <c r="E14" s="197"/>
      <c r="F14" s="197"/>
    </row>
    <row r="16" spans="2:13" ht="28.05" customHeight="1"/>
    <row r="17" spans="2:10" ht="24" customHeight="1">
      <c r="B17" s="379" t="s">
        <v>0</v>
      </c>
      <c r="C17" s="380"/>
      <c r="D17" s="380"/>
      <c r="E17" s="380"/>
      <c r="F17" s="380"/>
      <c r="G17" s="380"/>
      <c r="H17" s="380"/>
      <c r="I17" s="380"/>
      <c r="J17" s="381"/>
    </row>
    <row r="18" spans="2:10" ht="24" customHeight="1">
      <c r="B18" s="310" t="s">
        <v>1</v>
      </c>
      <c r="C18" s="311" t="s">
        <v>2</v>
      </c>
      <c r="D18" s="311" t="s">
        <v>3</v>
      </c>
      <c r="E18" s="311" t="s">
        <v>4</v>
      </c>
      <c r="F18" s="311" t="s">
        <v>5</v>
      </c>
      <c r="G18" s="311" t="s">
        <v>6</v>
      </c>
      <c r="H18" s="382" t="s">
        <v>7</v>
      </c>
      <c r="I18" s="382"/>
      <c r="J18" s="383"/>
    </row>
    <row r="19" spans="2:10" ht="37.049999999999997" customHeight="1">
      <c r="B19" s="196">
        <v>1</v>
      </c>
      <c r="C19" s="197" t="s">
        <v>48</v>
      </c>
      <c r="D19" s="307" t="s">
        <v>15</v>
      </c>
      <c r="E19" s="320">
        <v>46197</v>
      </c>
      <c r="F19" s="307"/>
      <c r="G19" s="321" t="s">
        <v>49</v>
      </c>
      <c r="H19" s="377" t="s">
        <v>50</v>
      </c>
      <c r="I19" s="378"/>
      <c r="J19" s="376"/>
    </row>
    <row r="20" spans="2:10" ht="46.95" customHeight="1">
      <c r="B20" s="196">
        <v>2</v>
      </c>
      <c r="C20" s="197" t="s">
        <v>48</v>
      </c>
      <c r="D20" s="307" t="s">
        <v>51</v>
      </c>
      <c r="E20" s="320">
        <v>46197</v>
      </c>
      <c r="F20" s="307"/>
      <c r="G20" s="321" t="s">
        <v>49</v>
      </c>
      <c r="H20" s="377" t="s">
        <v>52</v>
      </c>
      <c r="I20" s="378"/>
      <c r="J20" s="376"/>
    </row>
    <row r="21" spans="2:10" ht="42" customHeight="1">
      <c r="B21" s="196">
        <v>3</v>
      </c>
      <c r="C21" s="197" t="s">
        <v>53</v>
      </c>
      <c r="D21" s="307" t="s">
        <v>15</v>
      </c>
      <c r="E21" s="320">
        <v>46204</v>
      </c>
      <c r="F21" s="307" t="s">
        <v>54</v>
      </c>
      <c r="G21" s="315" t="s">
        <v>55</v>
      </c>
      <c r="H21" s="377" t="s">
        <v>56</v>
      </c>
      <c r="I21" s="378"/>
      <c r="J21" s="376"/>
    </row>
    <row r="22" spans="2:10" ht="42" customHeight="1">
      <c r="B22" s="196">
        <v>4</v>
      </c>
      <c r="C22" s="197" t="s">
        <v>57</v>
      </c>
      <c r="D22" s="307" t="s">
        <v>9</v>
      </c>
      <c r="E22" s="320">
        <v>46200</v>
      </c>
      <c r="F22" s="307" t="s">
        <v>58</v>
      </c>
      <c r="G22" s="315" t="s">
        <v>59</v>
      </c>
      <c r="H22" s="377" t="s">
        <v>60</v>
      </c>
      <c r="I22" s="378"/>
      <c r="J22" s="376"/>
    </row>
    <row r="23" spans="2:10" ht="42" customHeight="1">
      <c r="B23" s="196">
        <v>5</v>
      </c>
      <c r="C23" s="197" t="s">
        <v>57</v>
      </c>
      <c r="D23" s="307" t="s">
        <v>51</v>
      </c>
      <c r="E23" s="320">
        <v>46200</v>
      </c>
      <c r="F23" s="307" t="s">
        <v>58</v>
      </c>
      <c r="G23" s="315" t="s">
        <v>59</v>
      </c>
      <c r="H23" s="377" t="s">
        <v>61</v>
      </c>
      <c r="I23" s="378"/>
      <c r="J23" s="376"/>
    </row>
    <row r="24" spans="2:10" ht="52.05" customHeight="1">
      <c r="B24" s="196">
        <v>6</v>
      </c>
      <c r="C24" s="197" t="s">
        <v>62</v>
      </c>
      <c r="D24" s="307" t="s">
        <v>9</v>
      </c>
      <c r="E24" s="320">
        <v>46206</v>
      </c>
      <c r="F24" s="307" t="s">
        <v>54</v>
      </c>
      <c r="G24" s="315" t="s">
        <v>63</v>
      </c>
      <c r="H24" s="377" t="s">
        <v>64</v>
      </c>
      <c r="I24" s="378"/>
      <c r="J24" s="376"/>
    </row>
    <row r="25" spans="2:10" ht="51" customHeight="1">
      <c r="B25" s="196">
        <v>7</v>
      </c>
      <c r="C25" s="197" t="s">
        <v>65</v>
      </c>
      <c r="D25" s="307" t="s">
        <v>15</v>
      </c>
      <c r="E25" s="197"/>
      <c r="F25" s="307" t="s">
        <v>66</v>
      </c>
      <c r="G25" s="315" t="s">
        <v>67</v>
      </c>
      <c r="H25" s="377" t="s">
        <v>68</v>
      </c>
      <c r="I25" s="378"/>
      <c r="J25" s="376"/>
    </row>
    <row r="26" spans="2:10" ht="34.950000000000003" customHeight="1">
      <c r="B26" s="196">
        <v>8</v>
      </c>
      <c r="C26" s="197" t="s">
        <v>69</v>
      </c>
      <c r="D26" s="307" t="s">
        <v>15</v>
      </c>
      <c r="E26" s="197"/>
      <c r="F26" s="307" t="s">
        <v>70</v>
      </c>
      <c r="G26" s="315" t="s">
        <v>71</v>
      </c>
      <c r="H26" s="378" t="s">
        <v>72</v>
      </c>
      <c r="I26" s="378"/>
      <c r="J26" s="376"/>
    </row>
    <row r="27" spans="2:10" ht="40.049999999999997" customHeight="1">
      <c r="B27" s="199">
        <v>9</v>
      </c>
      <c r="C27" s="202" t="s">
        <v>73</v>
      </c>
      <c r="D27" s="202"/>
      <c r="E27" s="202"/>
      <c r="F27" s="202"/>
      <c r="G27" s="202" t="s">
        <v>74</v>
      </c>
      <c r="H27" s="368" t="s">
        <v>75</v>
      </c>
      <c r="I27" s="368"/>
      <c r="J27" s="369"/>
    </row>
    <row r="31" spans="2:10">
      <c r="B31" s="370" t="s">
        <v>76</v>
      </c>
      <c r="C31" s="371"/>
      <c r="D31" s="371"/>
      <c r="E31" s="371"/>
      <c r="F31" s="371"/>
      <c r="G31" s="371"/>
      <c r="H31" s="371"/>
      <c r="I31" s="371"/>
      <c r="J31" s="38"/>
    </row>
    <row r="32" spans="2:10">
      <c r="B32" s="312" t="s">
        <v>77</v>
      </c>
      <c r="C32" s="313" t="s">
        <v>2</v>
      </c>
      <c r="D32" s="313" t="s">
        <v>78</v>
      </c>
      <c r="E32" s="313" t="s">
        <v>4</v>
      </c>
      <c r="F32" s="313" t="s">
        <v>5</v>
      </c>
      <c r="G32" s="313" t="s">
        <v>6</v>
      </c>
      <c r="H32" s="372" t="s">
        <v>7</v>
      </c>
      <c r="I32" s="372"/>
      <c r="J32" s="373"/>
    </row>
    <row r="33" spans="2:10" ht="14.4">
      <c r="B33" s="196">
        <v>1</v>
      </c>
      <c r="C33" s="197" t="s">
        <v>79</v>
      </c>
      <c r="D33" s="197" t="s">
        <v>80</v>
      </c>
      <c r="E33" s="197"/>
      <c r="F33" s="197" t="s">
        <v>81</v>
      </c>
      <c r="G33" s="197"/>
      <c r="H33" s="374" t="s">
        <v>82</v>
      </c>
      <c r="I33" s="375"/>
      <c r="J33" s="376"/>
    </row>
    <row r="34" spans="2:10">
      <c r="B34" s="196"/>
      <c r="C34" s="197"/>
      <c r="D34" s="197"/>
      <c r="E34" s="197"/>
      <c r="F34" s="197"/>
      <c r="G34" s="197"/>
      <c r="H34" s="364"/>
      <c r="I34" s="364"/>
      <c r="J34" s="365"/>
    </row>
    <row r="35" spans="2:10">
      <c r="B35" s="196"/>
      <c r="C35" s="197"/>
      <c r="D35" s="197"/>
      <c r="E35" s="197"/>
      <c r="F35" s="197"/>
      <c r="G35" s="197"/>
      <c r="H35" s="364"/>
      <c r="I35" s="364"/>
      <c r="J35" s="365"/>
    </row>
    <row r="36" spans="2:10">
      <c r="B36" s="196"/>
      <c r="C36" s="197"/>
      <c r="D36" s="197"/>
      <c r="E36" s="197"/>
      <c r="F36" s="197"/>
      <c r="G36" s="197"/>
      <c r="H36" s="364"/>
      <c r="I36" s="364"/>
      <c r="J36" s="365"/>
    </row>
    <row r="37" spans="2:10">
      <c r="B37" s="196"/>
      <c r="C37" s="197"/>
      <c r="D37" s="197"/>
      <c r="E37" s="197"/>
      <c r="F37" s="197"/>
      <c r="G37" s="197"/>
      <c r="H37" s="364"/>
      <c r="I37" s="364"/>
      <c r="J37" s="365"/>
    </row>
    <row r="38" spans="2:10">
      <c r="B38" s="196"/>
      <c r="C38" s="197"/>
      <c r="D38" s="197"/>
      <c r="E38" s="197"/>
      <c r="F38" s="197"/>
      <c r="G38" s="197"/>
      <c r="H38" s="364"/>
      <c r="I38" s="364"/>
      <c r="J38" s="365"/>
    </row>
    <row r="39" spans="2:10">
      <c r="B39" s="199"/>
      <c r="C39" s="202"/>
      <c r="D39" s="202"/>
      <c r="E39" s="202"/>
      <c r="F39" s="202"/>
      <c r="G39" s="202"/>
      <c r="H39" s="366"/>
      <c r="I39" s="366"/>
      <c r="J39" s="367"/>
    </row>
  </sheetData>
  <mergeCells count="30">
    <mergeCell ref="B3:J3"/>
    <mergeCell ref="H4:J4"/>
    <mergeCell ref="H5:J5"/>
    <mergeCell ref="H6:J6"/>
    <mergeCell ref="H7:J7"/>
    <mergeCell ref="H8:J8"/>
    <mergeCell ref="H9:J9"/>
    <mergeCell ref="H10:J10"/>
    <mergeCell ref="H11:J11"/>
    <mergeCell ref="H12:J12"/>
    <mergeCell ref="B17:J17"/>
    <mergeCell ref="H18:J18"/>
    <mergeCell ref="H19:J19"/>
    <mergeCell ref="H20:J20"/>
    <mergeCell ref="H21:J21"/>
    <mergeCell ref="H22:J22"/>
    <mergeCell ref="H23:J23"/>
    <mergeCell ref="H24:J24"/>
    <mergeCell ref="H25:J25"/>
    <mergeCell ref="H26:J26"/>
    <mergeCell ref="H27:J27"/>
    <mergeCell ref="B31:I31"/>
    <mergeCell ref="H32:J32"/>
    <mergeCell ref="H33:J33"/>
    <mergeCell ref="H34:J34"/>
    <mergeCell ref="H35:J35"/>
    <mergeCell ref="H36:J36"/>
    <mergeCell ref="H37:J37"/>
    <mergeCell ref="H38:J38"/>
    <mergeCell ref="H39:J39"/>
  </mergeCells>
  <hyperlinks>
    <hyperlink ref="H5:J5" location="'CARBON 1200 C - 2 GPL'!A1" display="CARBON 1200 C - 2 GPL" xr:uid="{00000000-0004-0000-0000-000000000000}"/>
    <hyperlink ref="H6:J6" location="'TW P60'!A1" display="TW P60" xr:uid="{00000000-0004-0000-0000-000001000000}"/>
    <hyperlink ref="H7:J7" location="'CARBON 1200 C - 3 GPL'!A1" display="CARBON 1200 C - 3 GPL" xr:uid="{00000000-0004-0000-0000-000002000000}"/>
    <hyperlink ref="H8:J8" location="'CARBON 1200 C - 2 GPL (RETEST)'!A1" display="CARBON 1200 C - 2 GPL (RETEST)" xr:uid="{00000000-0004-0000-0000-000003000000}"/>
    <hyperlink ref="H9:J9" location="'TW P70'!A1" display="TW P70" xr:uid="{00000000-0004-0000-0000-000004000000}"/>
    <hyperlink ref="H10:J10" location="'CARBON 1200 C - 3 GPL (RETEST)'!A1" display="CARBON 1200 C - 3 GPL (RETEST)" xr:uid="{00000000-0004-0000-0000-000005000000}"/>
    <hyperlink ref="H20:J20" location="'TESTWORK LEACHING &amp; CIP (2)'!A1" display="TESTWORK LEACHING &amp; CIP - 2" xr:uid="{00000000-0004-0000-0000-000006000000}"/>
    <hyperlink ref="H21:J21" location="'CIP VARIASI PH 8-9'!A1" display="CIP VARIASI PH 8-9" xr:uid="{00000000-0004-0000-0000-000007000000}"/>
    <hyperlink ref="H22:J22" location="'TW CIP SMBS-1'!A1" display="TW CIP SMBS-1" xr:uid="{00000000-0004-0000-0000-000008000000}"/>
    <hyperlink ref="H23:J23" location="'TW CIP SMBS-2'!A1" display="TW CIP SMBS-2" xr:uid="{00000000-0004-0000-0000-000009000000}"/>
    <hyperlink ref="H24:J24" location="'CIP VARIASI PH 8-9 (RETEST)'!A1" display="CIP VARIASI PH 8-9 (RETEST)" xr:uid="{00000000-0004-0000-0000-00000A000000}"/>
    <hyperlink ref="H19:J19" location="'TESTWORK LEACHING &amp; CIP'!A1" display="TESTWORK LEACHING &amp; CIP'" xr:uid="{00000000-0004-0000-0000-00000B000000}"/>
    <hyperlink ref="H25:J25" location="'UJI COBA SANDIOS'!A1" display="UJI COBA TITRASI SANDIOS" xr:uid="{00000000-0004-0000-0000-00000C000000}"/>
    <hyperlink ref="H26:J26" location="'PERSEN PASSING'!A1" display="PERSEN PASSING" xr:uid="{00000000-0004-0000-0000-00000D000000}"/>
    <hyperlink ref="H12:J12" location="'COLD ELUTION 10000 PPM'!A1" display="COLD ELUTION 10000 PPM" xr:uid="{00000000-0004-0000-0000-00000E000000}"/>
    <hyperlink ref="H11:J11" location="'COLD ELUTION 5000 PPM'!A1" display="COLD ELUTION 5000 PPM" xr:uid="{00000000-0004-0000-0000-00000F000000}"/>
    <hyperlink ref="H27" location="'REPORT ALL TESTWORK'!A1" display="REPORT ALL TESTWORK" xr:uid="{00000000-0004-0000-0000-000010000000}"/>
    <hyperlink ref="H33:J33" location="'BOTTLE ROLL TEST'!A1" display="BOTTLE ROLL TEST 1500 PPM SANDIOS" xr:uid="{00000000-0004-0000-0000-000011000000}"/>
  </hyperlink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I32:AB63"/>
  <sheetViews>
    <sheetView zoomScale="60" zoomScaleNormal="60" workbookViewId="0">
      <selection activeCell="AJ69" sqref="AJ69"/>
    </sheetView>
  </sheetViews>
  <sheetFormatPr defaultColWidth="10" defaultRowHeight="14.25" customHeight="1"/>
  <cols>
    <col min="27" max="27" width="12" customWidth="1"/>
  </cols>
  <sheetData>
    <row r="32" ht="39" customHeight="1"/>
    <row r="33" spans="9:16" ht="30">
      <c r="I33" s="303"/>
      <c r="J33" s="303"/>
      <c r="K33" s="303"/>
    </row>
    <row r="39" spans="9:16" ht="30">
      <c r="O39" s="303"/>
      <c r="P39" s="303"/>
    </row>
    <row r="51" spans="9:28" ht="32.4">
      <c r="I51" s="303" t="s">
        <v>83</v>
      </c>
      <c r="N51" s="303" t="s">
        <v>84</v>
      </c>
      <c r="Z51" s="397" t="s">
        <v>85</v>
      </c>
      <c r="AA51" s="397"/>
      <c r="AB51" s="397"/>
    </row>
    <row r="57" spans="9:28" ht="30">
      <c r="T57" s="303" t="s">
        <v>86</v>
      </c>
    </row>
    <row r="63" spans="9:28" ht="13.8">
      <c r="L63" t="s">
        <v>87</v>
      </c>
    </row>
  </sheetData>
  <mergeCells count="1">
    <mergeCell ref="Z51:AB51"/>
  </mergeCells>
  <pageMargins left="0.7" right="0.7" top="0.75" bottom="0.75" header="0.511811023622047" footer="0.511811023622047"/>
  <pageSetup orientation="portrait" horizontalDpi="300" verticalDpi="30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D4:K18"/>
  <sheetViews>
    <sheetView topLeftCell="B1" zoomScale="60" zoomScaleNormal="60" workbookViewId="0">
      <selection activeCell="F2" sqref="F2"/>
    </sheetView>
  </sheetViews>
  <sheetFormatPr defaultColWidth="10" defaultRowHeight="14.25" customHeight="1"/>
  <cols>
    <col min="1" max="5" width="10" style="45"/>
    <col min="6" max="6" width="11.59765625" style="45" customWidth="1"/>
    <col min="7" max="8" width="10" style="45"/>
    <col min="9" max="9" width="11.796875" style="45" customWidth="1"/>
    <col min="10" max="10" width="12.5" style="45" customWidth="1"/>
    <col min="11" max="16384" width="10" style="45"/>
  </cols>
  <sheetData>
    <row r="4" spans="4:11" ht="14.25" customHeight="1">
      <c r="D4" s="398" t="s">
        <v>88</v>
      </c>
      <c r="E4" s="398"/>
      <c r="F4" s="398"/>
      <c r="G4" s="398"/>
      <c r="H4" s="398"/>
      <c r="I4" s="398"/>
      <c r="J4" s="398"/>
    </row>
    <row r="7" spans="4:11" ht="14.25" customHeight="1">
      <c r="D7" s="298" t="s">
        <v>1</v>
      </c>
      <c r="E7" s="299" t="s">
        <v>89</v>
      </c>
      <c r="F7" s="299" t="s">
        <v>90</v>
      </c>
      <c r="G7" s="299" t="s">
        <v>91</v>
      </c>
      <c r="H7" s="299" t="s">
        <v>92</v>
      </c>
      <c r="I7" s="299" t="s">
        <v>93</v>
      </c>
      <c r="J7" s="302" t="s">
        <v>94</v>
      </c>
      <c r="K7" s="50"/>
    </row>
    <row r="8" spans="4:11" ht="14.25" customHeight="1">
      <c r="D8" s="63"/>
      <c r="E8" s="80" t="s">
        <v>95</v>
      </c>
      <c r="F8" s="80">
        <v>0.185</v>
      </c>
      <c r="G8" s="144">
        <v>3.19</v>
      </c>
      <c r="H8" s="80">
        <v>2.9550000000000001</v>
      </c>
      <c r="I8" s="144">
        <f t="shared" ref="I8:I18" si="0">((G8-H8)/G8)*100</f>
        <v>7.3667711598746051</v>
      </c>
      <c r="J8" s="100" t="s">
        <v>96</v>
      </c>
    </row>
    <row r="9" spans="4:11" ht="14.25" customHeight="1">
      <c r="D9" s="63"/>
      <c r="E9" s="80"/>
      <c r="F9" s="80">
        <v>0.185</v>
      </c>
      <c r="G9" s="144">
        <v>1.73</v>
      </c>
      <c r="H9" s="144">
        <v>1.63</v>
      </c>
      <c r="I9" s="144">
        <f t="shared" si="0"/>
        <v>5.7803468208092541</v>
      </c>
      <c r="J9" s="100" t="s">
        <v>96</v>
      </c>
    </row>
    <row r="10" spans="4:11" ht="14.25" customHeight="1">
      <c r="D10" s="63"/>
      <c r="E10" s="80"/>
      <c r="F10" s="80">
        <v>0.185</v>
      </c>
      <c r="G10" s="144">
        <v>1.35</v>
      </c>
      <c r="H10" s="80">
        <v>1.2749999999999999</v>
      </c>
      <c r="I10" s="144">
        <f t="shared" si="0"/>
        <v>5.5555555555555687</v>
      </c>
      <c r="J10" s="100" t="s">
        <v>96</v>
      </c>
    </row>
    <row r="11" spans="4:11" ht="14.25" customHeight="1">
      <c r="D11" s="63"/>
      <c r="E11" s="300">
        <v>46270</v>
      </c>
      <c r="F11" s="80"/>
      <c r="G11" s="144">
        <v>5.35</v>
      </c>
      <c r="H11" s="80">
        <v>4.2949999999999999</v>
      </c>
      <c r="I11" s="144">
        <f t="shared" si="0"/>
        <v>19.719626168224295</v>
      </c>
      <c r="J11" s="100" t="s">
        <v>97</v>
      </c>
    </row>
    <row r="12" spans="4:11" ht="14.25" customHeight="1">
      <c r="D12" s="63"/>
      <c r="E12" s="80"/>
      <c r="F12" s="80"/>
      <c r="G12" s="144">
        <v>5.52</v>
      </c>
      <c r="H12" s="80">
        <v>4.4249999999999998</v>
      </c>
      <c r="I12" s="144">
        <f t="shared" si="0"/>
        <v>19.836956521739125</v>
      </c>
      <c r="J12" s="100" t="s">
        <v>97</v>
      </c>
    </row>
    <row r="13" spans="4:11" ht="14.25" customHeight="1">
      <c r="D13" s="63"/>
      <c r="E13" s="80"/>
      <c r="F13" s="80"/>
      <c r="G13" s="144">
        <v>4.9800000000000004</v>
      </c>
      <c r="H13" s="144">
        <v>4</v>
      </c>
      <c r="I13" s="144">
        <f t="shared" si="0"/>
        <v>19.678714859437758</v>
      </c>
      <c r="J13" s="100" t="s">
        <v>97</v>
      </c>
    </row>
    <row r="14" spans="4:11" ht="14.25" customHeight="1">
      <c r="D14" s="63"/>
      <c r="E14" s="80" t="s">
        <v>98</v>
      </c>
      <c r="F14" s="80">
        <v>0.255</v>
      </c>
      <c r="G14" s="80">
        <v>2.5750000000000002</v>
      </c>
      <c r="H14" s="80">
        <v>2.3250000000000002</v>
      </c>
      <c r="I14" s="144">
        <f t="shared" si="0"/>
        <v>9.7087378640776691</v>
      </c>
      <c r="J14" s="100"/>
    </row>
    <row r="15" spans="4:11" ht="14.25" customHeight="1">
      <c r="D15" s="63"/>
      <c r="E15" s="80"/>
      <c r="F15" s="144">
        <v>0.26</v>
      </c>
      <c r="G15" s="80">
        <v>2.9649999999999999</v>
      </c>
      <c r="H15" s="80">
        <v>2.6749999999999998</v>
      </c>
      <c r="I15" s="144">
        <f t="shared" si="0"/>
        <v>9.7807757166947749</v>
      </c>
      <c r="J15" s="100"/>
    </row>
    <row r="16" spans="4:11" ht="14.25" customHeight="1">
      <c r="D16" s="63"/>
      <c r="E16" s="80"/>
      <c r="F16" s="80">
        <v>0.255</v>
      </c>
      <c r="G16" s="144">
        <v>2.72</v>
      </c>
      <c r="H16" s="144">
        <v>2.46</v>
      </c>
      <c r="I16" s="144">
        <f t="shared" si="0"/>
        <v>9.5588235294117716</v>
      </c>
      <c r="J16" s="100"/>
    </row>
    <row r="17" spans="4:10" ht="14.25" customHeight="1">
      <c r="D17" s="63"/>
      <c r="E17" s="80"/>
      <c r="F17" s="80">
        <v>0.26500000000000001</v>
      </c>
      <c r="G17" s="80">
        <v>2.6349999999999998</v>
      </c>
      <c r="H17" s="80">
        <v>2.4249999999999998</v>
      </c>
      <c r="I17" s="144">
        <f t="shared" si="0"/>
        <v>7.9696394686907004</v>
      </c>
      <c r="J17" s="100"/>
    </row>
    <row r="18" spans="4:10" ht="14.25" customHeight="1">
      <c r="D18" s="65"/>
      <c r="E18" s="81"/>
      <c r="F18" s="81">
        <v>0.255</v>
      </c>
      <c r="G18" s="301">
        <v>2.7</v>
      </c>
      <c r="H18" s="81">
        <v>2.5150000000000001</v>
      </c>
      <c r="I18" s="301">
        <f t="shared" si="0"/>
        <v>6.851851851851853</v>
      </c>
      <c r="J18" s="101"/>
    </row>
  </sheetData>
  <mergeCells count="1">
    <mergeCell ref="D4:J4"/>
  </mergeCells>
  <pageMargins left="0.7" right="0.7" top="0.75" bottom="0.75" header="0.511811023622047" footer="0.511811023622047"/>
  <pageSetup orientation="portrait" horizontalDpi="300" verticalDpi="30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theme="7"/>
  </sheetPr>
  <dimension ref="C2:N33"/>
  <sheetViews>
    <sheetView zoomScale="85" zoomScaleNormal="85" workbookViewId="0">
      <selection activeCell="J36" sqref="J36"/>
    </sheetView>
  </sheetViews>
  <sheetFormatPr defaultColWidth="10" defaultRowHeight="14.25" customHeight="1"/>
  <cols>
    <col min="1" max="2" width="10" style="45"/>
    <col min="3" max="3" width="13.19921875" style="45" customWidth="1"/>
    <col min="4" max="5" width="10" style="45"/>
    <col min="6" max="6" width="20" style="45" customWidth="1"/>
    <col min="7" max="7" width="10" style="45"/>
    <col min="8" max="8" width="26.3984375" style="45" customWidth="1"/>
    <col min="9" max="9" width="22.19921875" style="45" customWidth="1"/>
    <col min="10" max="10" width="22.5" style="45" customWidth="1"/>
    <col min="11" max="11" width="10" style="45"/>
    <col min="12" max="12" width="16" style="45" customWidth="1"/>
    <col min="13" max="13" width="15.09765625" style="45" customWidth="1"/>
    <col min="14" max="14" width="11.296875" style="45" customWidth="1"/>
    <col min="15" max="16384" width="10" style="45"/>
  </cols>
  <sheetData>
    <row r="2" spans="3:14" ht="14.25" customHeight="1">
      <c r="C2" s="361" t="s">
        <v>99</v>
      </c>
      <c r="D2" s="361"/>
      <c r="E2" s="361"/>
      <c r="F2" s="361"/>
      <c r="G2" s="361"/>
      <c r="H2" s="361"/>
      <c r="I2" s="361"/>
      <c r="J2" s="361"/>
      <c r="K2" s="361"/>
      <c r="L2" s="361"/>
      <c r="M2" s="361"/>
      <c r="N2" s="361"/>
    </row>
    <row r="3" spans="3:14" ht="14.25" customHeight="1">
      <c r="C3" s="186" t="s">
        <v>100</v>
      </c>
      <c r="N3" s="190"/>
    </row>
    <row r="4" spans="3:14" ht="14.25" customHeight="1">
      <c r="C4" s="186" t="s">
        <v>101</v>
      </c>
      <c r="D4" s="45" t="s">
        <v>102</v>
      </c>
      <c r="N4" s="190"/>
    </row>
    <row r="5" spans="3:14" ht="14.25" customHeight="1">
      <c r="C5" s="186" t="s">
        <v>103</v>
      </c>
      <c r="D5" s="45" t="s">
        <v>104</v>
      </c>
      <c r="N5" s="190"/>
    </row>
    <row r="6" spans="3:14" ht="14.25" customHeight="1">
      <c r="C6" s="186"/>
      <c r="D6" s="292"/>
      <c r="N6" s="190"/>
    </row>
    <row r="7" spans="3:14" ht="14.25" customHeight="1">
      <c r="C7" s="186"/>
      <c r="N7" s="190"/>
    </row>
    <row r="8" spans="3:14" ht="14.25" customHeight="1">
      <c r="C8" s="186"/>
      <c r="N8" s="190"/>
    </row>
    <row r="9" spans="3:14" ht="14.25" customHeight="1">
      <c r="C9" s="186"/>
      <c r="N9" s="190"/>
    </row>
    <row r="10" spans="3:14" ht="14.25" customHeight="1">
      <c r="C10" s="186"/>
      <c r="N10" s="190"/>
    </row>
    <row r="11" spans="3:14" ht="14.25" customHeight="1">
      <c r="C11" s="186"/>
      <c r="N11" s="190"/>
    </row>
    <row r="12" spans="3:14" ht="14.25" customHeight="1">
      <c r="C12" s="186"/>
      <c r="N12" s="190"/>
    </row>
    <row r="13" spans="3:14" ht="14.25" customHeight="1">
      <c r="C13" s="186"/>
      <c r="N13" s="190"/>
    </row>
    <row r="14" spans="3:14" ht="14.25" customHeight="1">
      <c r="C14" s="186"/>
      <c r="N14" s="190"/>
    </row>
    <row r="15" spans="3:14" ht="14.25" customHeight="1">
      <c r="C15" s="186"/>
      <c r="N15" s="190"/>
    </row>
    <row r="16" spans="3:14" ht="14.25" customHeight="1">
      <c r="C16" s="293" t="s">
        <v>77</v>
      </c>
      <c r="D16" s="294" t="s">
        <v>105</v>
      </c>
      <c r="E16" s="294" t="s">
        <v>106</v>
      </c>
      <c r="F16" s="294" t="s">
        <v>107</v>
      </c>
      <c r="G16" s="294" t="s">
        <v>108</v>
      </c>
      <c r="H16" s="294" t="s">
        <v>109</v>
      </c>
      <c r="I16" s="294" t="s">
        <v>110</v>
      </c>
      <c r="J16" s="294" t="s">
        <v>111</v>
      </c>
      <c r="K16" s="294" t="s">
        <v>112</v>
      </c>
      <c r="L16" s="294" t="s">
        <v>113</v>
      </c>
      <c r="M16" s="294" t="s">
        <v>114</v>
      </c>
      <c r="N16" s="297" t="s">
        <v>115</v>
      </c>
    </row>
    <row r="17" spans="3:14" ht="14.25" customHeight="1">
      <c r="C17" s="213">
        <v>1</v>
      </c>
      <c r="D17" s="124">
        <v>250</v>
      </c>
      <c r="E17" s="124">
        <v>200</v>
      </c>
      <c r="F17" s="214">
        <v>0.05</v>
      </c>
      <c r="G17" s="124">
        <v>12</v>
      </c>
      <c r="H17" s="124">
        <v>0.5</v>
      </c>
      <c r="I17" s="124">
        <v>50</v>
      </c>
      <c r="J17" s="124">
        <v>150</v>
      </c>
      <c r="K17" s="124">
        <f>I17*4</f>
        <v>200</v>
      </c>
      <c r="L17" s="124">
        <f>(I17/E17)*100</f>
        <v>25</v>
      </c>
      <c r="M17" s="124">
        <f>J17*3</f>
        <v>450</v>
      </c>
      <c r="N17" s="125">
        <f>J17*4</f>
        <v>600</v>
      </c>
    </row>
    <row r="18" spans="3:14" ht="14.25" customHeight="1">
      <c r="C18" s="213">
        <v>2</v>
      </c>
      <c r="D18" s="124">
        <v>250</v>
      </c>
      <c r="E18" s="124">
        <v>400</v>
      </c>
      <c r="F18" s="214">
        <v>0.1</v>
      </c>
      <c r="G18" s="124">
        <v>12</v>
      </c>
      <c r="H18" s="124">
        <v>1</v>
      </c>
      <c r="I18" s="296">
        <v>100</v>
      </c>
      <c r="J18" s="124">
        <v>300</v>
      </c>
      <c r="K18" s="124">
        <f>I18*4</f>
        <v>400</v>
      </c>
      <c r="L18" s="124">
        <f>(I18/E18)*100</f>
        <v>25</v>
      </c>
      <c r="M18" s="124">
        <f>J18*3</f>
        <v>900</v>
      </c>
      <c r="N18" s="125">
        <f>J18*4</f>
        <v>1200</v>
      </c>
    </row>
    <row r="19" spans="3:14" ht="14.25" customHeight="1">
      <c r="C19" s="213">
        <v>3</v>
      </c>
      <c r="D19" s="124">
        <v>250</v>
      </c>
      <c r="E19" s="124">
        <v>600</v>
      </c>
      <c r="F19" s="214">
        <v>0.15</v>
      </c>
      <c r="G19" s="124">
        <v>12</v>
      </c>
      <c r="H19" s="124">
        <v>1.5</v>
      </c>
      <c r="I19" s="124">
        <v>150</v>
      </c>
      <c r="J19" s="124">
        <v>450</v>
      </c>
      <c r="K19" s="124">
        <f>I19*4</f>
        <v>600</v>
      </c>
      <c r="L19" s="124">
        <f>(I19/E19)*100</f>
        <v>25</v>
      </c>
      <c r="M19" s="124">
        <f>J19*3</f>
        <v>1350</v>
      </c>
      <c r="N19" s="125">
        <f>J19*4</f>
        <v>1800</v>
      </c>
    </row>
    <row r="20" spans="3:14" ht="14.25" customHeight="1">
      <c r="C20" s="213">
        <v>4</v>
      </c>
      <c r="D20" s="124">
        <v>250</v>
      </c>
      <c r="E20" s="124">
        <v>800</v>
      </c>
      <c r="F20" s="214">
        <v>0.2</v>
      </c>
      <c r="G20" s="124">
        <v>12</v>
      </c>
      <c r="H20" s="124">
        <v>1.8</v>
      </c>
      <c r="I20" s="296">
        <v>180</v>
      </c>
      <c r="J20" s="124">
        <v>540</v>
      </c>
      <c r="K20" s="124">
        <f>I20*4</f>
        <v>720</v>
      </c>
      <c r="L20" s="124">
        <f>(I20/E20)*100</f>
        <v>22.5</v>
      </c>
      <c r="M20" s="124">
        <f>J20*3</f>
        <v>1620</v>
      </c>
      <c r="N20" s="125">
        <f>J20*4</f>
        <v>2160</v>
      </c>
    </row>
    <row r="21" spans="3:14" ht="14.25" customHeight="1">
      <c r="C21" s="213">
        <v>5</v>
      </c>
      <c r="D21" s="124">
        <v>250</v>
      </c>
      <c r="E21" s="124">
        <v>1000</v>
      </c>
      <c r="F21" s="214">
        <v>0.25</v>
      </c>
      <c r="G21" s="124">
        <v>12</v>
      </c>
      <c r="H21" s="124">
        <v>2.5</v>
      </c>
      <c r="I21" s="124">
        <v>250</v>
      </c>
      <c r="J21" s="124">
        <v>750</v>
      </c>
      <c r="K21" s="124">
        <f>I21*4</f>
        <v>1000</v>
      </c>
      <c r="L21" s="124">
        <f>(I21/E21)*100</f>
        <v>25</v>
      </c>
      <c r="M21" s="124">
        <f>J21*3</f>
        <v>2250</v>
      </c>
      <c r="N21" s="125">
        <f>J21*4</f>
        <v>3000</v>
      </c>
    </row>
    <row r="22" spans="3:14" ht="14.25" customHeight="1">
      <c r="C22" s="186"/>
      <c r="N22" s="190"/>
    </row>
    <row r="23" spans="3:14" ht="14.25" customHeight="1">
      <c r="C23" s="186"/>
      <c r="N23" s="190"/>
    </row>
    <row r="24" spans="3:14" ht="14.25" customHeight="1">
      <c r="C24" s="186"/>
      <c r="N24" s="190"/>
    </row>
    <row r="25" spans="3:14" ht="14.25" customHeight="1">
      <c r="C25" s="186"/>
      <c r="N25" s="190"/>
    </row>
    <row r="26" spans="3:14" ht="14.25" customHeight="1">
      <c r="C26" s="186"/>
      <c r="N26" s="190"/>
    </row>
    <row r="27" spans="3:14" ht="14.25" customHeight="1">
      <c r="C27" s="186"/>
      <c r="N27" s="190"/>
    </row>
    <row r="28" spans="3:14" ht="14.25" customHeight="1">
      <c r="C28" s="293" t="s">
        <v>77</v>
      </c>
      <c r="D28" s="294" t="s">
        <v>105</v>
      </c>
      <c r="E28" s="294" t="s">
        <v>106</v>
      </c>
      <c r="F28" s="294" t="s">
        <v>107</v>
      </c>
      <c r="G28" s="294" t="s">
        <v>108</v>
      </c>
      <c r="H28" s="294" t="s">
        <v>109</v>
      </c>
      <c r="I28" s="294" t="s">
        <v>110</v>
      </c>
      <c r="J28" s="294" t="s">
        <v>111</v>
      </c>
      <c r="K28" s="294" t="s">
        <v>112</v>
      </c>
      <c r="L28" s="294" t="s">
        <v>113</v>
      </c>
      <c r="M28" s="294" t="s">
        <v>114</v>
      </c>
      <c r="N28" s="297" t="s">
        <v>115</v>
      </c>
    </row>
    <row r="29" spans="3:14" ht="14.25" customHeight="1">
      <c r="C29" s="213">
        <v>1</v>
      </c>
      <c r="D29" s="124">
        <v>250</v>
      </c>
      <c r="E29" s="124">
        <v>100</v>
      </c>
      <c r="F29" s="214">
        <f>((D29*E29)/1000000)*4</f>
        <v>0.1</v>
      </c>
      <c r="G29" s="124">
        <v>12</v>
      </c>
      <c r="H29" s="124"/>
      <c r="I29" s="124">
        <v>90</v>
      </c>
      <c r="J29" s="124">
        <f>E29*75%</f>
        <v>75</v>
      </c>
      <c r="K29" s="124">
        <f>I29*4</f>
        <v>360</v>
      </c>
      <c r="L29" s="124">
        <f>(I29/E29)*100</f>
        <v>90</v>
      </c>
      <c r="M29" s="124">
        <f>J29*3</f>
        <v>225</v>
      </c>
      <c r="N29" s="125">
        <f>J29*4</f>
        <v>300</v>
      </c>
    </row>
    <row r="30" spans="3:14" ht="14.25" customHeight="1">
      <c r="C30" s="213">
        <v>2</v>
      </c>
      <c r="D30" s="124">
        <v>250</v>
      </c>
      <c r="E30" s="124">
        <v>200</v>
      </c>
      <c r="F30" s="214">
        <f>((D30*E30)/1000000)*4</f>
        <v>0.2</v>
      </c>
      <c r="G30" s="124">
        <v>12</v>
      </c>
      <c r="H30" s="124"/>
      <c r="I30" s="296">
        <v>180</v>
      </c>
      <c r="J30" s="124">
        <f>E30*75%</f>
        <v>150</v>
      </c>
      <c r="K30" s="124">
        <f>I30*4</f>
        <v>720</v>
      </c>
      <c r="L30" s="124">
        <f>(I30/E30)*100</f>
        <v>90</v>
      </c>
      <c r="M30" s="124">
        <f>J30*3</f>
        <v>450</v>
      </c>
      <c r="N30" s="125">
        <f>J30*4</f>
        <v>600</v>
      </c>
    </row>
    <row r="31" spans="3:14" ht="14.25" customHeight="1">
      <c r="C31" s="213">
        <v>3</v>
      </c>
      <c r="D31" s="124">
        <v>250</v>
      </c>
      <c r="E31" s="124">
        <v>300</v>
      </c>
      <c r="F31" s="214">
        <f>((D31*E31)/1000000)*4</f>
        <v>0.3</v>
      </c>
      <c r="G31" s="124">
        <v>12</v>
      </c>
      <c r="H31" s="124"/>
      <c r="I31" s="124">
        <v>250</v>
      </c>
      <c r="J31" s="124">
        <f>E31*75%</f>
        <v>225</v>
      </c>
      <c r="K31" s="124">
        <f>I31*4</f>
        <v>1000</v>
      </c>
      <c r="L31" s="124">
        <f>(I31/E31)*100</f>
        <v>83.333333333333343</v>
      </c>
      <c r="M31" s="124">
        <f>J31*3</f>
        <v>675</v>
      </c>
      <c r="N31" s="125">
        <f>J31*4</f>
        <v>900</v>
      </c>
    </row>
    <row r="32" spans="3:14" ht="14.25" customHeight="1">
      <c r="C32" s="213">
        <v>4</v>
      </c>
      <c r="D32" s="124">
        <v>250</v>
      </c>
      <c r="E32" s="124">
        <v>400</v>
      </c>
      <c r="F32" s="214">
        <f>((D32*E32)/1000000)*4</f>
        <v>0.4</v>
      </c>
      <c r="G32" s="124">
        <v>12</v>
      </c>
      <c r="H32" s="124"/>
      <c r="I32" s="296">
        <v>350</v>
      </c>
      <c r="J32" s="124">
        <f>E32*75%</f>
        <v>300</v>
      </c>
      <c r="K32" s="124">
        <f>I32*4</f>
        <v>1400</v>
      </c>
      <c r="L32" s="124">
        <f>(I32/E32)*100</f>
        <v>87.5</v>
      </c>
      <c r="M32" s="124">
        <f>J32*3</f>
        <v>900</v>
      </c>
      <c r="N32" s="125">
        <f>J32*4</f>
        <v>1200</v>
      </c>
    </row>
    <row r="33" spans="3:14" ht="14.25" customHeight="1">
      <c r="C33" s="215">
        <v>5</v>
      </c>
      <c r="D33" s="216">
        <v>250</v>
      </c>
      <c r="E33" s="216">
        <v>500</v>
      </c>
      <c r="F33" s="295">
        <f>((D33*E33)/1000000)*4</f>
        <v>0.5</v>
      </c>
      <c r="G33" s="216">
        <v>12</v>
      </c>
      <c r="H33" s="216"/>
      <c r="I33" s="216">
        <v>400</v>
      </c>
      <c r="J33" s="216">
        <f>E33*75%</f>
        <v>375</v>
      </c>
      <c r="K33" s="216">
        <f>I33*4</f>
        <v>1600</v>
      </c>
      <c r="L33" s="216">
        <f>(I33/E33)*100</f>
        <v>80</v>
      </c>
      <c r="M33" s="216">
        <f>J33*3</f>
        <v>1125</v>
      </c>
      <c r="N33" s="222">
        <f>J33*4</f>
        <v>1500</v>
      </c>
    </row>
  </sheetData>
  <mergeCells count="1">
    <mergeCell ref="C2:N2"/>
  </mergeCells>
  <pageMargins left="0.7" right="0.7" top="0.75" bottom="0.75" header="0.511811023622047" footer="0.511811023622047"/>
  <pageSetup orientation="portrait" horizontalDpi="300" verticalDpi="30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theme="7"/>
  </sheetPr>
  <dimension ref="B2:BE50"/>
  <sheetViews>
    <sheetView topLeftCell="A11" zoomScale="85" zoomScaleNormal="85" workbookViewId="0"/>
  </sheetViews>
  <sheetFormatPr defaultColWidth="10" defaultRowHeight="16.2" customHeight="1"/>
  <cols>
    <col min="1" max="1" width="10" style="45"/>
    <col min="2" max="2" width="23.8984375" style="45" customWidth="1"/>
    <col min="3" max="3" width="2.3984375" style="45" customWidth="1"/>
    <col min="4" max="4" width="19.5" style="45" customWidth="1"/>
    <col min="5" max="5" width="10" style="45"/>
    <col min="6" max="6" width="16.69921875" style="45" customWidth="1"/>
    <col min="7" max="8" width="11.09765625" style="45" customWidth="1"/>
    <col min="9" max="19" width="10" style="45"/>
    <col min="20" max="20" width="26.296875" style="45" customWidth="1"/>
    <col min="21" max="16384" width="10" style="45"/>
  </cols>
  <sheetData>
    <row r="2" spans="2:28" ht="13.8">
      <c r="B2" s="356" t="s">
        <v>116</v>
      </c>
      <c r="C2" s="356"/>
      <c r="D2" s="356"/>
      <c r="E2" s="356"/>
      <c r="F2" s="356"/>
    </row>
    <row r="3" spans="2:28" ht="13.8">
      <c r="S3" s="357" t="s">
        <v>117</v>
      </c>
      <c r="T3" s="103" t="s">
        <v>118</v>
      </c>
      <c r="U3" s="358" t="s">
        <v>119</v>
      </c>
      <c r="V3" s="358"/>
      <c r="W3" s="358"/>
      <c r="X3" s="358"/>
      <c r="Y3" s="359" t="s">
        <v>120</v>
      </c>
      <c r="Z3" s="359"/>
      <c r="AA3" s="359"/>
      <c r="AB3" s="359"/>
    </row>
    <row r="4" spans="2:28" ht="13.8">
      <c r="B4" s="183" t="s">
        <v>121</v>
      </c>
      <c r="C4" s="184" t="s">
        <v>122</v>
      </c>
      <c r="D4" s="185" t="s">
        <v>123</v>
      </c>
      <c r="E4" s="185"/>
      <c r="F4" s="189"/>
      <c r="S4" s="357"/>
      <c r="T4" s="360" t="s">
        <v>124</v>
      </c>
      <c r="U4" s="104" t="s">
        <v>125</v>
      </c>
      <c r="V4" s="104" t="s">
        <v>126</v>
      </c>
      <c r="W4" s="104" t="s">
        <v>127</v>
      </c>
      <c r="X4" s="104" t="s">
        <v>128</v>
      </c>
      <c r="Y4" s="104" t="s">
        <v>125</v>
      </c>
      <c r="Z4" s="104" t="s">
        <v>126</v>
      </c>
      <c r="AA4" s="104" t="s">
        <v>127</v>
      </c>
      <c r="AB4" s="122" t="s">
        <v>128</v>
      </c>
    </row>
    <row r="5" spans="2:28" ht="13.8">
      <c r="B5" s="186" t="s">
        <v>129</v>
      </c>
      <c r="C5" s="50" t="s">
        <v>122</v>
      </c>
      <c r="D5" s="45" t="s">
        <v>130</v>
      </c>
      <c r="F5" s="190"/>
      <c r="S5" s="357"/>
      <c r="T5" s="360"/>
      <c r="U5" s="104" t="s">
        <v>131</v>
      </c>
      <c r="V5" s="104" t="s">
        <v>106</v>
      </c>
      <c r="W5" s="104" t="s">
        <v>106</v>
      </c>
      <c r="X5" s="104" t="s">
        <v>106</v>
      </c>
      <c r="Y5" s="104" t="s">
        <v>131</v>
      </c>
      <c r="Z5" s="104" t="s">
        <v>106</v>
      </c>
      <c r="AA5" s="104" t="s">
        <v>106</v>
      </c>
      <c r="AB5" s="122" t="s">
        <v>106</v>
      </c>
    </row>
    <row r="6" spans="2:28" ht="13.8">
      <c r="B6" s="186" t="s">
        <v>132</v>
      </c>
      <c r="C6" s="50" t="s">
        <v>122</v>
      </c>
      <c r="D6" s="45" t="s">
        <v>133</v>
      </c>
      <c r="F6" s="190"/>
      <c r="S6" s="105">
        <v>1</v>
      </c>
      <c r="T6" s="34" t="s">
        <v>134</v>
      </c>
      <c r="U6" s="112">
        <v>30.012</v>
      </c>
      <c r="V6" s="34">
        <v>1.175</v>
      </c>
      <c r="W6" s="34">
        <v>0.9</v>
      </c>
      <c r="X6" s="34">
        <v>10.26</v>
      </c>
      <c r="Y6" s="34"/>
      <c r="Z6" s="34"/>
      <c r="AA6" s="34"/>
      <c r="AB6" s="120"/>
    </row>
    <row r="7" spans="2:28" ht="13.8">
      <c r="B7" s="187" t="s">
        <v>135</v>
      </c>
      <c r="C7" s="60" t="s">
        <v>122</v>
      </c>
      <c r="D7" s="188" t="s">
        <v>136</v>
      </c>
      <c r="E7" s="188"/>
      <c r="F7" s="191"/>
      <c r="S7" s="105">
        <v>2</v>
      </c>
      <c r="T7" s="34" t="s">
        <v>137</v>
      </c>
      <c r="U7" s="34">
        <v>30.015999999999998</v>
      </c>
      <c r="V7" s="112">
        <v>1.24</v>
      </c>
      <c r="W7" s="112">
        <v>0.93</v>
      </c>
      <c r="X7" s="34">
        <v>10.31</v>
      </c>
      <c r="Y7" s="34"/>
      <c r="Z7" s="34"/>
      <c r="AA7" s="34"/>
      <c r="AB7" s="120"/>
    </row>
    <row r="8" spans="2:28" ht="13.8">
      <c r="S8" s="105">
        <v>3</v>
      </c>
      <c r="T8" s="34" t="s">
        <v>138</v>
      </c>
      <c r="U8" s="34">
        <v>30.018999999999998</v>
      </c>
      <c r="V8" s="112">
        <v>1.1839999999999999</v>
      </c>
      <c r="W8" s="34">
        <v>0.98</v>
      </c>
      <c r="X8" s="34">
        <v>10.15</v>
      </c>
      <c r="Y8" s="34"/>
      <c r="Z8" s="34"/>
      <c r="AA8" s="34"/>
      <c r="AB8" s="120"/>
    </row>
    <row r="9" spans="2:28" ht="13.8">
      <c r="B9" s="361" t="s">
        <v>139</v>
      </c>
      <c r="C9" s="361"/>
      <c r="D9" s="361"/>
      <c r="F9" s="362" t="s">
        <v>140</v>
      </c>
      <c r="G9" s="362"/>
      <c r="H9" s="362"/>
      <c r="I9" s="362"/>
      <c r="K9" s="363" t="s">
        <v>141</v>
      </c>
      <c r="L9" s="363"/>
      <c r="M9" s="363"/>
      <c r="S9" s="105">
        <v>4</v>
      </c>
      <c r="T9" s="106" t="s">
        <v>142</v>
      </c>
      <c r="U9" s="112">
        <v>30.018000000000001</v>
      </c>
      <c r="V9" s="34">
        <v>1.2170000000000001</v>
      </c>
      <c r="W9" s="34">
        <v>0.93</v>
      </c>
      <c r="X9" s="34">
        <v>10.33</v>
      </c>
      <c r="Y9" s="34"/>
      <c r="Z9" s="34"/>
      <c r="AA9" s="34"/>
      <c r="AB9" s="120"/>
    </row>
    <row r="10" spans="2:28" ht="13.8">
      <c r="B10" s="55" t="s">
        <v>108</v>
      </c>
      <c r="C10" s="50" t="s">
        <v>122</v>
      </c>
      <c r="D10" s="56" t="s">
        <v>143</v>
      </c>
      <c r="F10" s="69"/>
      <c r="G10" s="70" t="s">
        <v>126</v>
      </c>
      <c r="H10" s="70" t="s">
        <v>127</v>
      </c>
      <c r="I10" s="90" t="s">
        <v>128</v>
      </c>
      <c r="K10" s="62" t="s">
        <v>144</v>
      </c>
      <c r="L10" s="91">
        <f>(4.5/1012)*1000</f>
        <v>4.4466403162055341</v>
      </c>
      <c r="M10" s="100" t="s">
        <v>145</v>
      </c>
      <c r="S10" s="105">
        <v>5</v>
      </c>
      <c r="T10" s="34" t="s">
        <v>146</v>
      </c>
      <c r="U10" s="112">
        <v>30.039000000000001</v>
      </c>
      <c r="V10" s="34">
        <v>0.11799999999999999</v>
      </c>
      <c r="W10" s="113">
        <v>0.3</v>
      </c>
      <c r="X10" s="34">
        <v>9.17</v>
      </c>
      <c r="Y10" s="34"/>
      <c r="Z10" s="34"/>
      <c r="AA10" s="34"/>
      <c r="AB10" s="120"/>
    </row>
    <row r="11" spans="2:28" ht="13.8">
      <c r="B11" s="55" t="s">
        <v>147</v>
      </c>
      <c r="C11" s="50" t="s">
        <v>122</v>
      </c>
      <c r="D11" s="56">
        <v>1000</v>
      </c>
      <c r="F11" s="71" t="s">
        <v>148</v>
      </c>
      <c r="G11" s="72">
        <f>AVERAGE(V6:V9)</f>
        <v>1.2040000000000002</v>
      </c>
      <c r="H11" s="72">
        <f>AVERAGE(W6:W8)</f>
        <v>0.93666666666666665</v>
      </c>
      <c r="I11" s="92">
        <f>AVERAGE(X6:X8)</f>
        <v>10.24</v>
      </c>
      <c r="K11" s="62" t="s">
        <v>149</v>
      </c>
      <c r="L11" s="91">
        <f>((1.5-(($J37*1518)/10000000))/1012)*1000</f>
        <v>1.470213438735178</v>
      </c>
      <c r="M11" s="100" t="s">
        <v>145</v>
      </c>
      <c r="S11" s="105">
        <v>6</v>
      </c>
      <c r="T11" s="34" t="s">
        <v>150</v>
      </c>
      <c r="U11" s="34">
        <v>30.015000000000001</v>
      </c>
      <c r="V11" s="34">
        <v>0.13600000000000001</v>
      </c>
      <c r="W11" s="34">
        <v>0.37</v>
      </c>
      <c r="X11" s="112">
        <v>9.1910000000000007</v>
      </c>
      <c r="Y11" s="34"/>
      <c r="Z11" s="34"/>
      <c r="AA11" s="34"/>
      <c r="AB11" s="120"/>
    </row>
    <row r="12" spans="2:28" ht="13.8">
      <c r="B12" s="55" t="s">
        <v>151</v>
      </c>
      <c r="C12" s="50" t="s">
        <v>122</v>
      </c>
      <c r="D12" s="57">
        <v>0.4</v>
      </c>
      <c r="F12" s="73" t="s">
        <v>152</v>
      </c>
      <c r="G12" s="74">
        <f>AVERAGE(V10:V13)</f>
        <v>0.13</v>
      </c>
      <c r="H12" s="74">
        <f>AVERAGE(W10:W13)</f>
        <v>0.32750000000000001</v>
      </c>
      <c r="I12" s="93">
        <f>AVERAGE(X10:X13)</f>
        <v>9.1477500000000003</v>
      </c>
      <c r="K12" s="94" t="s">
        <v>153</v>
      </c>
      <c r="L12" s="81"/>
      <c r="M12" s="101"/>
      <c r="S12" s="107">
        <v>7</v>
      </c>
      <c r="T12" s="34" t="s">
        <v>154</v>
      </c>
      <c r="U12" s="114">
        <v>30.050999999999998</v>
      </c>
      <c r="V12" s="114">
        <v>0.14599999999999999</v>
      </c>
      <c r="W12" s="114">
        <v>0.34</v>
      </c>
      <c r="X12" s="114">
        <v>9.1199999999999992</v>
      </c>
      <c r="Y12" s="114"/>
      <c r="Z12" s="114"/>
      <c r="AA12" s="114"/>
      <c r="AB12" s="123"/>
    </row>
    <row r="13" spans="2:28" ht="13.8">
      <c r="B13" s="55" t="s">
        <v>155</v>
      </c>
      <c r="C13" s="50" t="s">
        <v>122</v>
      </c>
      <c r="D13" s="57">
        <v>0.8</v>
      </c>
      <c r="S13" s="105">
        <v>8</v>
      </c>
      <c r="T13" s="34" t="s">
        <v>156</v>
      </c>
      <c r="U13" s="34">
        <v>30.021000000000001</v>
      </c>
      <c r="V13" s="112">
        <v>0.12</v>
      </c>
      <c r="W13" s="113">
        <v>0.3</v>
      </c>
      <c r="X13" s="34">
        <v>9.11</v>
      </c>
      <c r="Y13" s="34"/>
      <c r="Z13" s="34"/>
      <c r="AA13" s="34"/>
      <c r="AB13" s="120"/>
    </row>
    <row r="14" spans="2:28" ht="13.8">
      <c r="B14" s="55" t="s">
        <v>157</v>
      </c>
      <c r="C14" s="50" t="s">
        <v>122</v>
      </c>
      <c r="D14" s="56" t="s">
        <v>158</v>
      </c>
      <c r="F14" s="75" t="s">
        <v>159</v>
      </c>
      <c r="G14" s="76">
        <f>G12*D20</f>
        <v>131.56</v>
      </c>
      <c r="H14" s="76"/>
      <c r="I14" s="95"/>
      <c r="S14" s="105">
        <v>9</v>
      </c>
      <c r="T14" s="34" t="s">
        <v>160</v>
      </c>
      <c r="U14" s="34"/>
      <c r="V14" s="34"/>
      <c r="W14" s="34"/>
      <c r="X14" s="34"/>
      <c r="Y14" s="34"/>
      <c r="Z14" s="34">
        <v>0.21299999999999999</v>
      </c>
      <c r="AA14" s="34"/>
      <c r="AB14" s="120"/>
    </row>
    <row r="15" spans="2:28" ht="16.2" customHeight="1">
      <c r="B15" s="55" t="s">
        <v>161</v>
      </c>
      <c r="C15" s="50" t="s">
        <v>122</v>
      </c>
      <c r="D15" s="56">
        <v>2.1</v>
      </c>
      <c r="F15" s="351" t="s">
        <v>162</v>
      </c>
      <c r="G15" s="77">
        <f>G14+D50</f>
        <v>986.58399999999983</v>
      </c>
      <c r="H15" s="77"/>
      <c r="I15" s="96"/>
      <c r="S15" s="105">
        <v>10</v>
      </c>
      <c r="T15" s="34" t="s">
        <v>163</v>
      </c>
      <c r="U15" s="34"/>
      <c r="V15" s="34"/>
      <c r="W15" s="34"/>
      <c r="X15" s="34"/>
      <c r="Y15" s="34"/>
      <c r="Z15" s="34">
        <v>0.38500000000000001</v>
      </c>
      <c r="AA15" s="34"/>
      <c r="AB15" s="120"/>
    </row>
    <row r="16" spans="2:28" ht="13.8">
      <c r="B16" s="55" t="s">
        <v>164</v>
      </c>
      <c r="C16" s="50" t="s">
        <v>122</v>
      </c>
      <c r="D16" s="56">
        <v>1.27</v>
      </c>
      <c r="F16" s="351"/>
      <c r="G16" s="78"/>
      <c r="H16" s="78"/>
      <c r="I16" s="97"/>
      <c r="J16" s="45">
        <f>G15/D23</f>
        <v>0.97488537549407095</v>
      </c>
      <c r="S16" s="105">
        <v>11</v>
      </c>
      <c r="T16" s="34" t="s">
        <v>165</v>
      </c>
      <c r="U16" s="34"/>
      <c r="V16" s="34"/>
      <c r="W16" s="34"/>
      <c r="X16" s="34"/>
      <c r="Y16" s="34"/>
      <c r="Z16" s="34">
        <v>0.434</v>
      </c>
      <c r="AA16" s="34"/>
      <c r="AB16" s="120"/>
    </row>
    <row r="17" spans="2:57" ht="13.8">
      <c r="B17" s="55" t="s">
        <v>166</v>
      </c>
      <c r="C17" s="50" t="s">
        <v>122</v>
      </c>
      <c r="D17" s="56">
        <v>2</v>
      </c>
      <c r="S17" s="105">
        <v>12</v>
      </c>
      <c r="T17" s="34" t="s">
        <v>167</v>
      </c>
      <c r="Z17" s="124">
        <v>0.47899999999999998</v>
      </c>
      <c r="AA17" s="114"/>
      <c r="AB17" s="123"/>
    </row>
    <row r="18" spans="2:57" ht="13.8">
      <c r="B18" s="55" t="s">
        <v>168</v>
      </c>
      <c r="C18" s="50" t="s">
        <v>122</v>
      </c>
      <c r="D18" s="56">
        <v>48</v>
      </c>
      <c r="F18" s="75" t="s">
        <v>169</v>
      </c>
      <c r="G18" s="76"/>
      <c r="H18" s="76"/>
      <c r="I18" s="95"/>
      <c r="O18" s="45">
        <v>4</v>
      </c>
      <c r="S18" s="105">
        <v>13</v>
      </c>
      <c r="T18" s="34" t="s">
        <v>170</v>
      </c>
      <c r="U18" s="34"/>
      <c r="V18" s="34"/>
      <c r="W18" s="34"/>
      <c r="X18" s="34"/>
      <c r="Y18" s="34"/>
      <c r="Z18" s="145">
        <v>3.1E-2</v>
      </c>
      <c r="AA18" s="124"/>
      <c r="AB18" s="125"/>
    </row>
    <row r="19" spans="2:57" ht="16.2" customHeight="1">
      <c r="B19" s="55" t="s">
        <v>171</v>
      </c>
      <c r="C19" s="50" t="s">
        <v>122</v>
      </c>
      <c r="D19" s="291">
        <v>1290</v>
      </c>
      <c r="F19" s="351" t="s">
        <v>172</v>
      </c>
      <c r="G19" s="77"/>
      <c r="H19" s="77"/>
      <c r="I19" s="96"/>
      <c r="S19" s="108">
        <v>14</v>
      </c>
      <c r="T19" s="109" t="s">
        <v>173</v>
      </c>
      <c r="U19" s="109"/>
      <c r="V19" s="109"/>
      <c r="W19" s="109"/>
      <c r="X19" s="109"/>
      <c r="Y19" s="109"/>
      <c r="Z19" s="146">
        <v>2.5999999999999999E-2</v>
      </c>
      <c r="AA19" s="126"/>
      <c r="AB19" s="127"/>
    </row>
    <row r="20" spans="2:57" ht="13.8">
      <c r="B20" s="55" t="s">
        <v>174</v>
      </c>
      <c r="C20" s="50" t="s">
        <v>122</v>
      </c>
      <c r="D20" s="56">
        <v>1012</v>
      </c>
      <c r="F20" s="351"/>
      <c r="G20" s="78"/>
      <c r="H20" s="78"/>
      <c r="I20" s="97"/>
    </row>
    <row r="21" spans="2:57" ht="13.8">
      <c r="B21" s="55" t="s">
        <v>175</v>
      </c>
      <c r="C21" s="50" t="s">
        <v>122</v>
      </c>
      <c r="D21" s="56">
        <v>1518</v>
      </c>
    </row>
    <row r="22" spans="2:57" ht="13.8">
      <c r="B22" s="55" t="s">
        <v>176</v>
      </c>
      <c r="C22" s="50" t="s">
        <v>122</v>
      </c>
      <c r="D22" s="56">
        <v>2000</v>
      </c>
    </row>
    <row r="23" spans="2:57" ht="13.8">
      <c r="B23" s="59" t="s">
        <v>177</v>
      </c>
      <c r="C23" s="60" t="s">
        <v>122</v>
      </c>
      <c r="D23" s="61">
        <v>1012</v>
      </c>
    </row>
    <row r="24" spans="2:57" ht="13.8">
      <c r="B24" s="50"/>
      <c r="C24" s="50"/>
      <c r="D24" s="50"/>
    </row>
    <row r="27" spans="2:57" ht="13.8">
      <c r="D27" s="352" t="s">
        <v>178</v>
      </c>
      <c r="E27" s="352"/>
      <c r="F27" s="352"/>
      <c r="G27" s="352"/>
      <c r="H27" s="352"/>
      <c r="I27" s="352"/>
      <c r="J27" s="352"/>
      <c r="K27" s="352"/>
      <c r="L27" s="352"/>
      <c r="M27" s="352"/>
      <c r="N27" s="352"/>
      <c r="O27" s="352"/>
      <c r="P27" s="352"/>
      <c r="Q27" s="352"/>
      <c r="R27" s="352"/>
      <c r="T27" s="353" t="s">
        <v>179</v>
      </c>
      <c r="U27" s="353"/>
      <c r="V27" s="353"/>
      <c r="X27" s="354" t="s">
        <v>180</v>
      </c>
      <c r="Y27" s="354"/>
      <c r="Z27" s="354"/>
      <c r="AA27"/>
      <c r="AB27" s="355" t="s">
        <v>181</v>
      </c>
      <c r="AC27" s="355"/>
      <c r="AD27" s="355"/>
      <c r="AE27" s="355"/>
      <c r="AF27" s="355"/>
      <c r="AG27" s="355"/>
      <c r="AH27" s="355"/>
      <c r="AI27" s="355"/>
      <c r="AJ27" s="355"/>
      <c r="AK27"/>
      <c r="AL27" s="346" t="s">
        <v>182</v>
      </c>
      <c r="AM27" s="346"/>
      <c r="AN27" s="346"/>
      <c r="AO27" s="346"/>
      <c r="AP27" s="346"/>
      <c r="AQ27" s="346"/>
      <c r="AS27" s="347" t="s">
        <v>183</v>
      </c>
      <c r="AT27" s="347"/>
      <c r="AU27" s="347"/>
      <c r="AV27" s="347"/>
      <c r="AW27" s="347"/>
      <c r="AX27" s="347"/>
      <c r="AZ27" s="348" t="s">
        <v>184</v>
      </c>
      <c r="BA27" s="348"/>
      <c r="BB27" s="348"/>
      <c r="BC27" s="348"/>
      <c r="BD27" s="348"/>
      <c r="BE27" s="348"/>
    </row>
    <row r="28" spans="2:57" ht="13.8">
      <c r="D28" s="349" t="s">
        <v>185</v>
      </c>
      <c r="E28" s="350" t="s">
        <v>186</v>
      </c>
      <c r="F28" s="350"/>
      <c r="G28" s="350"/>
      <c r="H28" s="350" t="s">
        <v>187</v>
      </c>
      <c r="I28" s="350" t="s">
        <v>188</v>
      </c>
      <c r="J28" s="350"/>
      <c r="K28" s="350" t="s">
        <v>108</v>
      </c>
      <c r="L28" s="350"/>
      <c r="M28" s="350" t="s">
        <v>189</v>
      </c>
      <c r="N28" s="350"/>
      <c r="O28" s="350" t="s">
        <v>190</v>
      </c>
      <c r="P28" s="350"/>
      <c r="Q28" s="340" t="s">
        <v>191</v>
      </c>
      <c r="R28" s="340"/>
      <c r="T28" s="110" t="s">
        <v>192</v>
      </c>
      <c r="U28" s="115" t="s">
        <v>193</v>
      </c>
      <c r="V28" s="116" t="s">
        <v>194</v>
      </c>
      <c r="X28" s="117" t="s">
        <v>192</v>
      </c>
      <c r="Y28" s="128" t="s">
        <v>193</v>
      </c>
      <c r="Z28" s="129" t="s">
        <v>194</v>
      </c>
      <c r="AA28"/>
      <c r="AB28" s="341" t="s">
        <v>126</v>
      </c>
      <c r="AC28" s="341"/>
      <c r="AD28" s="341"/>
      <c r="AE28" s="342" t="s">
        <v>127</v>
      </c>
      <c r="AF28" s="342"/>
      <c r="AG28" s="342"/>
      <c r="AH28" s="343" t="s">
        <v>128</v>
      </c>
      <c r="AI28" s="343"/>
      <c r="AJ28" s="343"/>
      <c r="AK28"/>
      <c r="AL28" s="344" t="s">
        <v>195</v>
      </c>
      <c r="AM28" s="344"/>
      <c r="AN28" s="345" t="s">
        <v>196</v>
      </c>
      <c r="AO28" s="345"/>
      <c r="AP28" s="334" t="s">
        <v>197</v>
      </c>
      <c r="AQ28" s="334"/>
      <c r="AS28" s="335" t="s">
        <v>195</v>
      </c>
      <c r="AT28" s="335"/>
      <c r="AU28" s="336" t="s">
        <v>196</v>
      </c>
      <c r="AV28" s="336"/>
      <c r="AW28" s="337" t="s">
        <v>197</v>
      </c>
      <c r="AX28" s="337"/>
      <c r="AZ28" s="338" t="s">
        <v>195</v>
      </c>
      <c r="BA28" s="338"/>
      <c r="BB28" s="339" t="s">
        <v>196</v>
      </c>
      <c r="BC28" s="339"/>
      <c r="BD28" s="331" t="s">
        <v>197</v>
      </c>
      <c r="BE28" s="331"/>
    </row>
    <row r="29" spans="2:57" ht="13.8">
      <c r="D29" s="349"/>
      <c r="E29" s="350"/>
      <c r="F29" s="350"/>
      <c r="G29" s="350"/>
      <c r="H29" s="350"/>
      <c r="I29" s="350"/>
      <c r="J29" s="350"/>
      <c r="K29" s="350"/>
      <c r="L29" s="350"/>
      <c r="M29" s="350"/>
      <c r="N29" s="350"/>
      <c r="O29" s="350"/>
      <c r="P29" s="350"/>
      <c r="Q29" s="340"/>
      <c r="R29" s="340"/>
      <c r="T29" s="110"/>
      <c r="U29" s="115"/>
      <c r="V29" s="116"/>
      <c r="X29" s="117"/>
      <c r="Y29" s="128"/>
      <c r="Z29" s="129"/>
      <c r="AA29"/>
      <c r="AB29" s="130" t="s">
        <v>192</v>
      </c>
      <c r="AC29" s="132" t="s">
        <v>193</v>
      </c>
      <c r="AD29" s="132" t="s">
        <v>194</v>
      </c>
      <c r="AE29" s="132" t="s">
        <v>192</v>
      </c>
      <c r="AF29" s="132" t="s">
        <v>198</v>
      </c>
      <c r="AG29" s="132" t="s">
        <v>194</v>
      </c>
      <c r="AH29" s="132" t="s">
        <v>192</v>
      </c>
      <c r="AI29" s="132" t="s">
        <v>193</v>
      </c>
      <c r="AJ29" s="133" t="s">
        <v>194</v>
      </c>
      <c r="AK29"/>
      <c r="AL29" s="134" t="s">
        <v>199</v>
      </c>
      <c r="AM29" s="135" t="s">
        <v>200</v>
      </c>
      <c r="AN29" s="135" t="s">
        <v>199</v>
      </c>
      <c r="AO29" s="135" t="s">
        <v>201</v>
      </c>
      <c r="AP29" s="135" t="s">
        <v>199</v>
      </c>
      <c r="AQ29" s="137" t="s">
        <v>201</v>
      </c>
      <c r="AS29" s="138" t="s">
        <v>199</v>
      </c>
      <c r="AT29" s="139" t="s">
        <v>200</v>
      </c>
      <c r="AU29" s="139" t="s">
        <v>199</v>
      </c>
      <c r="AV29" s="139" t="s">
        <v>201</v>
      </c>
      <c r="AW29" s="139" t="s">
        <v>199</v>
      </c>
      <c r="AX29" s="140" t="s">
        <v>201</v>
      </c>
      <c r="AZ29" s="141" t="s">
        <v>199</v>
      </c>
      <c r="BA29" s="142" t="s">
        <v>200</v>
      </c>
      <c r="BB29" s="142" t="s">
        <v>199</v>
      </c>
      <c r="BC29" s="142" t="s">
        <v>201</v>
      </c>
      <c r="BD29" s="142" t="s">
        <v>199</v>
      </c>
      <c r="BE29" s="143" t="s">
        <v>201</v>
      </c>
    </row>
    <row r="30" spans="2:57" ht="13.8">
      <c r="C30" s="50"/>
      <c r="D30" s="62" t="s">
        <v>202</v>
      </c>
      <c r="E30" s="79" t="s">
        <v>203</v>
      </c>
      <c r="F30" s="79" t="s">
        <v>204</v>
      </c>
      <c r="G30" s="79" t="s">
        <v>205</v>
      </c>
      <c r="H30" s="79" t="s">
        <v>106</v>
      </c>
      <c r="I30" s="79" t="s">
        <v>206</v>
      </c>
      <c r="J30" s="79" t="s">
        <v>207</v>
      </c>
      <c r="K30" s="79" t="s">
        <v>206</v>
      </c>
      <c r="L30" s="79" t="s">
        <v>207</v>
      </c>
      <c r="M30" s="79" t="s">
        <v>206</v>
      </c>
      <c r="N30" s="79" t="s">
        <v>207</v>
      </c>
      <c r="O30" s="332" t="s">
        <v>208</v>
      </c>
      <c r="P30" s="332"/>
      <c r="Q30" s="333" t="s">
        <v>208</v>
      </c>
      <c r="R30" s="333"/>
      <c r="T30" s="111" t="s">
        <v>208</v>
      </c>
      <c r="U30" s="118" t="s">
        <v>209</v>
      </c>
      <c r="V30" s="119" t="s">
        <v>209</v>
      </c>
      <c r="X30" s="111" t="s">
        <v>209</v>
      </c>
      <c r="Y30" s="118" t="s">
        <v>208</v>
      </c>
      <c r="Z30" s="119" t="s">
        <v>209</v>
      </c>
      <c r="AA30"/>
      <c r="AB30" s="105"/>
      <c r="AC30" s="34"/>
      <c r="AD30" s="34"/>
      <c r="AE30" s="34"/>
      <c r="AF30" s="34"/>
      <c r="AG30" s="34"/>
      <c r="AH30" s="34"/>
      <c r="AI30" s="34"/>
      <c r="AJ30" s="120"/>
      <c r="AK30"/>
      <c r="AL30" s="105"/>
      <c r="AM30" s="34"/>
      <c r="AN30" s="34"/>
      <c r="AO30" s="34"/>
      <c r="AP30" s="34"/>
      <c r="AQ30" s="120"/>
      <c r="AS30" s="105"/>
      <c r="AT30" s="34"/>
      <c r="AU30" s="34"/>
      <c r="AV30" s="34"/>
      <c r="AW30" s="34"/>
      <c r="AX30" s="120"/>
      <c r="AZ30" s="105"/>
      <c r="BA30" s="34"/>
      <c r="BB30" s="34"/>
      <c r="BC30" s="34"/>
      <c r="BD30" s="34"/>
      <c r="BE30" s="120"/>
    </row>
    <row r="31" spans="2:57" ht="13.8">
      <c r="D31" s="63">
        <v>0</v>
      </c>
      <c r="E31" s="80">
        <v>1.52</v>
      </c>
      <c r="F31" s="80">
        <v>2.4</v>
      </c>
      <c r="G31" s="80"/>
      <c r="H31" s="80"/>
      <c r="I31" s="80">
        <v>0</v>
      </c>
      <c r="J31" s="80">
        <v>1000</v>
      </c>
      <c r="K31" s="80">
        <v>7.6</v>
      </c>
      <c r="L31" s="80">
        <v>11.1</v>
      </c>
      <c r="M31" s="80">
        <v>3835</v>
      </c>
      <c r="N31" s="80">
        <v>3.835</v>
      </c>
      <c r="O31" s="329">
        <v>2000</v>
      </c>
      <c r="P31" s="329"/>
      <c r="Q31" s="330">
        <v>0</v>
      </c>
      <c r="R31" s="330"/>
      <c r="T31" s="105">
        <v>1012</v>
      </c>
      <c r="U31" s="34">
        <f>M31-$D$20-$D$19</f>
        <v>1533</v>
      </c>
      <c r="V31" s="120"/>
      <c r="X31" s="105"/>
      <c r="Y31" s="34">
        <v>40</v>
      </c>
      <c r="Z31" s="120"/>
      <c r="AA31"/>
      <c r="AB31" s="105"/>
      <c r="AC31" s="34">
        <v>0.21299999999999999</v>
      </c>
      <c r="AD31" s="34"/>
      <c r="AE31" s="34"/>
      <c r="AF31" s="34"/>
      <c r="AG31" s="34"/>
      <c r="AH31" s="34"/>
      <c r="AI31" s="34"/>
      <c r="AJ31" s="120"/>
      <c r="AK31"/>
      <c r="AL31" s="105"/>
      <c r="AM31" s="136">
        <f t="shared" ref="AM31:AM37" si="0">AC31*U32</f>
        <v>318.00900000000001</v>
      </c>
      <c r="AN31" s="34"/>
      <c r="AO31" s="34">
        <f t="shared" ref="AO31:AO37" si="1">Y31*AC31</f>
        <v>8.52</v>
      </c>
      <c r="AP31" s="34"/>
      <c r="AQ31" s="120"/>
      <c r="AS31" s="105"/>
      <c r="AT31" s="34"/>
      <c r="AU31" s="34"/>
      <c r="AV31" s="34"/>
      <c r="AW31" s="34"/>
      <c r="AX31" s="120"/>
      <c r="AZ31" s="105"/>
      <c r="BA31" s="34"/>
      <c r="BB31" s="34"/>
      <c r="BC31" s="34"/>
      <c r="BD31" s="34"/>
      <c r="BE31" s="120"/>
    </row>
    <row r="32" spans="2:57" ht="13.8">
      <c r="C32" s="45">
        <v>4</v>
      </c>
      <c r="D32" s="63">
        <v>2</v>
      </c>
      <c r="E32" s="80"/>
      <c r="F32" s="80">
        <v>0</v>
      </c>
      <c r="G32" s="80"/>
      <c r="H32" s="80"/>
      <c r="I32" s="80"/>
      <c r="J32" s="80">
        <f>180*4</f>
        <v>720</v>
      </c>
      <c r="K32" s="80">
        <v>11</v>
      </c>
      <c r="L32" s="80">
        <v>11</v>
      </c>
      <c r="M32" s="80">
        <v>3835</v>
      </c>
      <c r="N32" s="80">
        <v>3.835</v>
      </c>
      <c r="O32" s="329">
        <v>2000</v>
      </c>
      <c r="P32" s="329"/>
      <c r="Q32" s="330">
        <v>40</v>
      </c>
      <c r="R32" s="330"/>
      <c r="T32" s="105"/>
      <c r="U32" s="34">
        <f>M32-$D$20-$D$19-Q32</f>
        <v>1493</v>
      </c>
      <c r="V32" s="120"/>
      <c r="X32" s="105"/>
      <c r="Y32" s="34">
        <v>40</v>
      </c>
      <c r="Z32" s="120"/>
      <c r="AA32"/>
      <c r="AB32" s="105"/>
      <c r="AC32" s="34">
        <v>0.38500000000000001</v>
      </c>
      <c r="AD32" s="34"/>
      <c r="AE32" s="34"/>
      <c r="AF32" s="34"/>
      <c r="AG32" s="34"/>
      <c r="AH32" s="34"/>
      <c r="AI32" s="34"/>
      <c r="AJ32" s="120"/>
      <c r="AK32"/>
      <c r="AL32" s="105"/>
      <c r="AM32" s="136">
        <f t="shared" si="0"/>
        <v>572.88</v>
      </c>
      <c r="AN32" s="34"/>
      <c r="AO32" s="34">
        <f t="shared" si="1"/>
        <v>15.4</v>
      </c>
      <c r="AP32" s="34"/>
      <c r="AQ32" s="120"/>
      <c r="AS32" s="105"/>
      <c r="AT32" s="34"/>
      <c r="AU32" s="34"/>
      <c r="AV32" s="34"/>
      <c r="AW32" s="34"/>
      <c r="AX32" s="120"/>
      <c r="AZ32" s="105"/>
      <c r="BA32" s="34"/>
      <c r="BB32" s="34"/>
      <c r="BC32" s="34"/>
      <c r="BD32" s="34"/>
      <c r="BE32" s="120"/>
    </row>
    <row r="33" spans="3:57" ht="13.8">
      <c r="C33" s="45">
        <v>4</v>
      </c>
      <c r="D33" s="63">
        <v>4</v>
      </c>
      <c r="E33" s="80"/>
      <c r="F33" s="80">
        <v>0.4</v>
      </c>
      <c r="G33" s="80"/>
      <c r="H33" s="80"/>
      <c r="I33" s="80"/>
      <c r="J33" s="80">
        <f>160*4</f>
        <v>640</v>
      </c>
      <c r="K33" s="80">
        <v>10.8</v>
      </c>
      <c r="L33" s="80">
        <v>11.1</v>
      </c>
      <c r="M33" s="102">
        <v>3830</v>
      </c>
      <c r="N33" s="80">
        <v>3.835</v>
      </c>
      <c r="O33" s="329">
        <v>2000</v>
      </c>
      <c r="P33" s="329"/>
      <c r="Q33" s="330">
        <v>40</v>
      </c>
      <c r="R33" s="330"/>
      <c r="T33" s="105"/>
      <c r="U33" s="34">
        <f>M33-$D$20-$D$19-Q33</f>
        <v>1488</v>
      </c>
      <c r="V33" s="120"/>
      <c r="X33" s="105"/>
      <c r="Y33" s="34">
        <v>40</v>
      </c>
      <c r="Z33" s="120"/>
      <c r="AA33"/>
      <c r="AB33" s="105"/>
      <c r="AC33" s="34">
        <v>0.434</v>
      </c>
      <c r="AD33" s="34"/>
      <c r="AE33" s="34"/>
      <c r="AF33" s="34"/>
      <c r="AG33" s="34"/>
      <c r="AH33" s="34"/>
      <c r="AI33" s="34"/>
      <c r="AJ33" s="120"/>
      <c r="AK33"/>
      <c r="AL33" s="105"/>
      <c r="AM33" s="136">
        <f t="shared" si="0"/>
        <v>643.62199999999996</v>
      </c>
      <c r="AN33" s="34"/>
      <c r="AO33" s="34">
        <f t="shared" si="1"/>
        <v>17.36</v>
      </c>
      <c r="AP33" s="34"/>
      <c r="AQ33" s="120"/>
      <c r="AS33" s="105"/>
      <c r="AT33" s="34"/>
      <c r="AU33" s="34"/>
      <c r="AV33" s="34"/>
      <c r="AW33" s="34"/>
      <c r="AX33" s="120"/>
      <c r="AZ33" s="105"/>
      <c r="BA33" s="34"/>
      <c r="BB33" s="34"/>
      <c r="BC33" s="34"/>
      <c r="BD33" s="34"/>
      <c r="BE33" s="120"/>
    </row>
    <row r="34" spans="3:57" ht="13.8">
      <c r="C34" s="45">
        <v>4</v>
      </c>
      <c r="D34" s="63">
        <v>8</v>
      </c>
      <c r="E34" s="80"/>
      <c r="F34" s="80">
        <v>0.3</v>
      </c>
      <c r="G34" s="80"/>
      <c r="H34" s="80"/>
      <c r="I34" s="80"/>
      <c r="J34" s="80">
        <f>130*4</f>
        <v>520</v>
      </c>
      <c r="K34" s="80">
        <v>10.9</v>
      </c>
      <c r="L34" s="80">
        <v>11</v>
      </c>
      <c r="M34" s="80">
        <v>3825</v>
      </c>
      <c r="N34" s="80">
        <v>3.835</v>
      </c>
      <c r="O34" s="329">
        <v>2000</v>
      </c>
      <c r="P34" s="329"/>
      <c r="Q34" s="330">
        <v>40</v>
      </c>
      <c r="R34" s="330"/>
      <c r="T34" s="105"/>
      <c r="U34" s="34">
        <f>M34-$D$20-$D$19-Q34</f>
        <v>1483</v>
      </c>
      <c r="V34" s="120"/>
      <c r="X34" s="105"/>
      <c r="Y34" s="34">
        <v>40</v>
      </c>
      <c r="Z34" s="120"/>
      <c r="AA34"/>
      <c r="AB34" s="105"/>
      <c r="AC34" s="34">
        <v>0.47899999999999998</v>
      </c>
      <c r="AD34" s="34"/>
      <c r="AE34" s="34"/>
      <c r="AF34" s="34"/>
      <c r="AG34" s="34"/>
      <c r="AH34" s="34"/>
      <c r="AI34" s="34"/>
      <c r="AJ34" s="120"/>
      <c r="AK34"/>
      <c r="AL34" s="105"/>
      <c r="AM34" s="136">
        <f t="shared" si="0"/>
        <v>708.44099999999992</v>
      </c>
      <c r="AN34" s="34"/>
      <c r="AO34" s="34">
        <f t="shared" si="1"/>
        <v>19.16</v>
      </c>
      <c r="AP34" s="34"/>
      <c r="AQ34" s="120"/>
      <c r="AS34" s="105"/>
      <c r="AT34" s="34"/>
      <c r="AU34" s="34"/>
      <c r="AV34" s="34"/>
      <c r="AW34" s="34"/>
      <c r="AX34" s="120"/>
      <c r="AZ34" s="105"/>
      <c r="BA34" s="34"/>
      <c r="BB34" s="34"/>
      <c r="BC34" s="34"/>
      <c r="BD34" s="34"/>
      <c r="BE34" s="120"/>
    </row>
    <row r="35" spans="3:57" ht="13.8">
      <c r="C35" s="45">
        <v>4</v>
      </c>
      <c r="D35" s="63">
        <v>12</v>
      </c>
      <c r="E35" s="80"/>
      <c r="F35" s="80">
        <v>0.5</v>
      </c>
      <c r="G35" s="80">
        <v>4</v>
      </c>
      <c r="H35" s="80"/>
      <c r="I35" s="80"/>
      <c r="J35" s="80">
        <f>110*4</f>
        <v>440</v>
      </c>
      <c r="K35" s="80">
        <v>10.7</v>
      </c>
      <c r="L35" s="80">
        <v>11</v>
      </c>
      <c r="M35" s="80">
        <v>3825</v>
      </c>
      <c r="N35" s="80">
        <v>3.835</v>
      </c>
      <c r="O35" s="329">
        <v>2000</v>
      </c>
      <c r="P35" s="329"/>
      <c r="Q35" s="330">
        <v>40</v>
      </c>
      <c r="R35" s="330"/>
      <c r="T35" s="105"/>
      <c r="U35" s="34">
        <f>M35-$D$20-$D$19-4-Q35</f>
        <v>1479</v>
      </c>
      <c r="V35" s="120"/>
      <c r="X35" s="105"/>
      <c r="Y35" s="34">
        <v>40</v>
      </c>
      <c r="Z35" s="120"/>
      <c r="AA35"/>
      <c r="AB35" s="105"/>
      <c r="AC35" s="34">
        <v>3.1E-2</v>
      </c>
      <c r="AD35" s="34"/>
      <c r="AE35" s="34"/>
      <c r="AF35" s="34"/>
      <c r="AG35" s="34"/>
      <c r="AH35" s="34"/>
      <c r="AI35" s="34"/>
      <c r="AJ35" s="120"/>
      <c r="AK35"/>
      <c r="AL35" s="105"/>
      <c r="AM35" s="136">
        <f t="shared" si="0"/>
        <v>45.539000000000001</v>
      </c>
      <c r="AN35" s="34"/>
      <c r="AO35" s="34">
        <f t="shared" si="1"/>
        <v>1.24</v>
      </c>
      <c r="AP35" s="34"/>
      <c r="AQ35" s="120"/>
      <c r="AS35" s="105"/>
      <c r="AT35" s="34"/>
      <c r="AU35" s="34"/>
      <c r="AV35" s="34"/>
      <c r="AW35" s="34"/>
      <c r="AX35" s="120"/>
      <c r="AZ35" s="105"/>
      <c r="BA35" s="34"/>
      <c r="BB35" s="34"/>
      <c r="BC35" s="34"/>
      <c r="BD35" s="34"/>
      <c r="BE35" s="120"/>
    </row>
    <row r="36" spans="3:57" ht="13.8">
      <c r="D36" s="63">
        <v>24</v>
      </c>
      <c r="E36" s="80"/>
      <c r="F36" s="80">
        <v>0.9</v>
      </c>
      <c r="G36" s="80"/>
      <c r="H36" s="80"/>
      <c r="I36" s="80"/>
      <c r="J36" s="80">
        <f>80*4</f>
        <v>320</v>
      </c>
      <c r="K36" s="80">
        <v>10.4</v>
      </c>
      <c r="L36" s="80">
        <v>11</v>
      </c>
      <c r="M36" s="80">
        <v>3815</v>
      </c>
      <c r="N36" s="144">
        <v>3.84</v>
      </c>
      <c r="O36" s="329">
        <v>2000</v>
      </c>
      <c r="P36" s="329"/>
      <c r="Q36" s="330">
        <v>40</v>
      </c>
      <c r="R36" s="330"/>
      <c r="T36" s="105"/>
      <c r="U36" s="34">
        <f>M36-$D$20-$D$19-4-Q36</f>
        <v>1469</v>
      </c>
      <c r="V36" s="120"/>
      <c r="X36" s="105"/>
      <c r="Y36" s="34">
        <v>40</v>
      </c>
      <c r="Z36" s="120"/>
      <c r="AA36"/>
      <c r="AB36" s="131">
        <f>G12</f>
        <v>0.13</v>
      </c>
      <c r="AC36" s="34">
        <v>2.5999999999999999E-2</v>
      </c>
      <c r="AD36" s="34"/>
      <c r="AE36" s="34">
        <f>H12</f>
        <v>0.32750000000000001</v>
      </c>
      <c r="AF36" s="34"/>
      <c r="AG36" s="34"/>
      <c r="AH36" s="112">
        <f>I12</f>
        <v>9.1477500000000003</v>
      </c>
      <c r="AI36" s="34"/>
      <c r="AJ36" s="120"/>
      <c r="AK36"/>
      <c r="AL36" s="105">
        <f>AB36*T31</f>
        <v>131.56</v>
      </c>
      <c r="AM36" s="136">
        <f t="shared" si="0"/>
        <v>38.323999999999998</v>
      </c>
      <c r="AN36" s="34"/>
      <c r="AO36" s="34">
        <f t="shared" si="1"/>
        <v>1.04</v>
      </c>
      <c r="AP36" s="34"/>
      <c r="AQ36" s="120"/>
      <c r="AS36" s="105"/>
      <c r="AT36" s="34"/>
      <c r="AU36" s="34"/>
      <c r="AV36" s="34"/>
      <c r="AW36" s="34"/>
      <c r="AX36" s="120"/>
      <c r="AZ36" s="105"/>
      <c r="BA36" s="34"/>
      <c r="BB36" s="34"/>
      <c r="BC36" s="34"/>
      <c r="BD36" s="34"/>
      <c r="BE36" s="120"/>
    </row>
    <row r="37" spans="3:57" ht="13.8">
      <c r="D37" s="63">
        <v>48</v>
      </c>
      <c r="E37" s="80"/>
      <c r="F37" s="80">
        <v>0</v>
      </c>
      <c r="G37" s="80"/>
      <c r="H37" s="80"/>
      <c r="I37" s="80"/>
      <c r="J37" s="80">
        <f>20*4</f>
        <v>80</v>
      </c>
      <c r="K37" s="80">
        <v>10.3</v>
      </c>
      <c r="L37" s="80">
        <v>11</v>
      </c>
      <c r="M37" s="102">
        <v>3820</v>
      </c>
      <c r="N37" s="144">
        <v>3.84</v>
      </c>
      <c r="O37" s="329">
        <v>2000</v>
      </c>
      <c r="P37" s="329"/>
      <c r="Q37" s="330">
        <v>40</v>
      </c>
      <c r="R37" s="330"/>
      <c r="T37" s="105"/>
      <c r="U37" s="34">
        <f>M37-$D$20-$D$19-4-Q37</f>
        <v>1474</v>
      </c>
      <c r="V37" s="120"/>
      <c r="X37" s="105">
        <v>1012</v>
      </c>
      <c r="Y37" s="34">
        <v>40</v>
      </c>
      <c r="Z37" s="120">
        <v>4</v>
      </c>
      <c r="AA37"/>
      <c r="AB37" s="105"/>
      <c r="AC37" s="34"/>
      <c r="AD37" s="34"/>
      <c r="AE37" s="34"/>
      <c r="AF37" s="34"/>
      <c r="AG37" s="34"/>
      <c r="AH37" s="34"/>
      <c r="AI37" s="34"/>
      <c r="AJ37" s="120"/>
      <c r="AK37"/>
      <c r="AL37" s="105"/>
      <c r="AM37" s="136">
        <f t="shared" si="0"/>
        <v>0</v>
      </c>
      <c r="AN37" s="34"/>
      <c r="AO37" s="34">
        <f t="shared" si="1"/>
        <v>0</v>
      </c>
      <c r="AP37" s="34"/>
      <c r="AQ37" s="120"/>
      <c r="AS37" s="105"/>
      <c r="AT37" s="34"/>
      <c r="AU37" s="34"/>
      <c r="AV37" s="34"/>
      <c r="AW37" s="34"/>
      <c r="AX37" s="120"/>
      <c r="AZ37" s="105"/>
      <c r="BA37" s="34"/>
      <c r="BB37" s="34"/>
      <c r="BC37" s="34"/>
      <c r="BD37" s="34"/>
      <c r="BE37" s="120"/>
    </row>
    <row r="38" spans="3:57" ht="13.8">
      <c r="D38" s="64" t="s">
        <v>210</v>
      </c>
      <c r="E38" s="80">
        <v>1.52</v>
      </c>
      <c r="F38" s="80">
        <f>SUM(F31:F37)</f>
        <v>4.5</v>
      </c>
      <c r="G38" s="80">
        <v>4</v>
      </c>
      <c r="H38" s="80"/>
      <c r="I38" s="80"/>
      <c r="J38" s="80"/>
      <c r="K38" s="80"/>
      <c r="L38" s="80"/>
      <c r="M38" s="80"/>
      <c r="N38" s="80"/>
      <c r="O38" s="329"/>
      <c r="P38" s="329"/>
      <c r="Q38" s="330"/>
      <c r="R38" s="330"/>
      <c r="T38" s="105"/>
      <c r="U38" s="34"/>
      <c r="V38" s="120"/>
      <c r="X38" s="105"/>
      <c r="Y38" s="34"/>
      <c r="Z38" s="120"/>
      <c r="AA38"/>
      <c r="AB38" s="105"/>
      <c r="AC38" s="34"/>
      <c r="AD38" s="34"/>
      <c r="AE38" s="34"/>
      <c r="AF38" s="34"/>
      <c r="AG38" s="34"/>
      <c r="AH38" s="34"/>
      <c r="AI38" s="34"/>
      <c r="AJ38" s="120"/>
      <c r="AK38"/>
      <c r="AL38" s="105"/>
      <c r="AM38" s="34"/>
      <c r="AN38" s="34"/>
      <c r="AO38" s="34"/>
      <c r="AP38" s="34"/>
      <c r="AQ38" s="120"/>
      <c r="AS38" s="105"/>
      <c r="AT38" s="34"/>
      <c r="AU38" s="34"/>
      <c r="AV38" s="34"/>
      <c r="AW38" s="34"/>
      <c r="AX38" s="120"/>
      <c r="AZ38" s="105"/>
      <c r="BA38" s="34"/>
      <c r="BB38" s="34"/>
      <c r="BC38" s="34"/>
      <c r="BD38" s="34"/>
      <c r="BE38" s="120"/>
    </row>
    <row r="39" spans="3:57" ht="13.8">
      <c r="D39" s="65" t="s">
        <v>211</v>
      </c>
      <c r="E39" s="323">
        <v>0</v>
      </c>
      <c r="F39" s="323"/>
      <c r="G39" s="323"/>
      <c r="H39" s="81"/>
      <c r="I39" s="81"/>
      <c r="J39" s="81"/>
      <c r="K39" s="81"/>
      <c r="L39" s="81"/>
      <c r="M39" s="81"/>
      <c r="N39" s="81"/>
      <c r="O39" s="323"/>
      <c r="P39" s="323"/>
      <c r="Q39" s="324"/>
      <c r="R39" s="324"/>
      <c r="T39" s="108"/>
      <c r="U39" s="109"/>
      <c r="V39" s="121"/>
      <c r="X39" s="108"/>
      <c r="Y39" s="109"/>
      <c r="Z39" s="121"/>
      <c r="AA39"/>
      <c r="AB39" s="108"/>
      <c r="AC39" s="109"/>
      <c r="AD39" s="109"/>
      <c r="AE39" s="109"/>
      <c r="AF39" s="109"/>
      <c r="AG39" s="109"/>
      <c r="AH39" s="109"/>
      <c r="AI39" s="109"/>
      <c r="AJ39" s="121"/>
      <c r="AK39"/>
      <c r="AL39" s="108"/>
      <c r="AM39" s="109"/>
      <c r="AN39" s="109"/>
      <c r="AO39" s="109"/>
      <c r="AP39" s="109"/>
      <c r="AQ39" s="121"/>
      <c r="AS39" s="108"/>
      <c r="AT39" s="109"/>
      <c r="AU39" s="109"/>
      <c r="AV39" s="109"/>
      <c r="AW39" s="109"/>
      <c r="AX39" s="121"/>
      <c r="AZ39" s="108"/>
      <c r="BA39" s="109"/>
      <c r="BB39" s="109"/>
      <c r="BC39" s="109"/>
      <c r="BD39" s="109"/>
      <c r="BE39" s="121"/>
    </row>
    <row r="42" spans="3:57" ht="13.8">
      <c r="D42" s="325" t="s">
        <v>212</v>
      </c>
      <c r="E42" s="325"/>
      <c r="F42" s="325"/>
      <c r="H42" s="326" t="s">
        <v>213</v>
      </c>
      <c r="I42" s="326"/>
      <c r="J42" s="326"/>
    </row>
    <row r="43" spans="3:57" ht="13.8">
      <c r="D43" s="327" t="s">
        <v>214</v>
      </c>
      <c r="E43" s="327"/>
      <c r="F43" s="327"/>
      <c r="H43" s="328" t="s">
        <v>215</v>
      </c>
      <c r="I43" s="328"/>
      <c r="J43" s="328"/>
    </row>
    <row r="44" spans="3:57" ht="13.8">
      <c r="D44" s="66" t="s">
        <v>126</v>
      </c>
      <c r="E44" s="82" t="s">
        <v>127</v>
      </c>
      <c r="F44" s="83" t="s">
        <v>128</v>
      </c>
      <c r="H44" s="84" t="s">
        <v>126</v>
      </c>
      <c r="I44" s="98" t="s">
        <v>127</v>
      </c>
      <c r="J44" s="99" t="s">
        <v>128</v>
      </c>
    </row>
    <row r="45" spans="3:57" ht="13.8">
      <c r="D45" s="67">
        <f>AM31+AO31</f>
        <v>326.529</v>
      </c>
      <c r="E45" s="50"/>
      <c r="F45" s="56"/>
      <c r="H45" s="85">
        <f t="shared" ref="H45:H50" si="2">D45/$G$15</f>
        <v>0.33096928391297653</v>
      </c>
      <c r="I45" s="50"/>
      <c r="J45" s="56"/>
    </row>
    <row r="46" spans="3:57" ht="13.8">
      <c r="D46" s="67">
        <f>AM32+AO31+AO32</f>
        <v>596.79999999999995</v>
      </c>
      <c r="E46" s="50"/>
      <c r="F46" s="56"/>
      <c r="H46" s="85">
        <f t="shared" si="2"/>
        <v>0.60491554697826044</v>
      </c>
      <c r="I46" s="50"/>
      <c r="J46" s="56"/>
    </row>
    <row r="47" spans="3:57" ht="13.8">
      <c r="D47" s="67">
        <f>AM33+SUM(AO31:AO33)</f>
        <v>684.90199999999993</v>
      </c>
      <c r="E47" s="50"/>
      <c r="F47" s="56"/>
      <c r="H47" s="85">
        <f t="shared" si="2"/>
        <v>0.69421559644186415</v>
      </c>
      <c r="I47" s="50"/>
      <c r="J47" s="56"/>
    </row>
    <row r="48" spans="3:57" ht="13.8">
      <c r="D48" s="67">
        <f>AM34+SUM(AO31:AO34)</f>
        <v>768.88099999999986</v>
      </c>
      <c r="E48" s="50"/>
      <c r="F48" s="56"/>
      <c r="H48" s="85">
        <f t="shared" si="2"/>
        <v>0.77933657955125968</v>
      </c>
      <c r="I48" s="50"/>
      <c r="J48" s="56"/>
    </row>
    <row r="49" spans="4:10" ht="13.8">
      <c r="D49" s="67">
        <f>AM35+AM34+SUM(AO31:AO35)</f>
        <v>815.65999999999985</v>
      </c>
      <c r="E49" s="50"/>
      <c r="F49" s="56"/>
      <c r="H49" s="85">
        <f t="shared" si="2"/>
        <v>0.82675170081817662</v>
      </c>
      <c r="I49" s="50"/>
      <c r="J49" s="56"/>
    </row>
    <row r="50" spans="4:10" ht="13.8">
      <c r="D50" s="68">
        <f>AM36+AM35+AM34+SUM(AO31:AO36)</f>
        <v>855.02399999999989</v>
      </c>
      <c r="E50" s="60"/>
      <c r="F50" s="61"/>
      <c r="H50" s="86">
        <f t="shared" si="2"/>
        <v>0.86665098967751353</v>
      </c>
      <c r="I50" s="60"/>
      <c r="J50" s="61"/>
    </row>
  </sheetData>
  <mergeCells count="62">
    <mergeCell ref="T27:V27"/>
    <mergeCell ref="X27:Z27"/>
    <mergeCell ref="AB27:AJ27"/>
    <mergeCell ref="AL27:AQ27"/>
    <mergeCell ref="B2:F2"/>
    <mergeCell ref="U3:X3"/>
    <mergeCell ref="Y3:AB3"/>
    <mergeCell ref="B9:D9"/>
    <mergeCell ref="F9:I9"/>
    <mergeCell ref="K9:M9"/>
    <mergeCell ref="S3:S5"/>
    <mergeCell ref="T4:T5"/>
    <mergeCell ref="AS27:AX27"/>
    <mergeCell ref="AZ27:BE27"/>
    <mergeCell ref="AB28:AD28"/>
    <mergeCell ref="AE28:AG28"/>
    <mergeCell ref="AH28:AJ28"/>
    <mergeCell ref="AL28:AM28"/>
    <mergeCell ref="AN28:AO28"/>
    <mergeCell ref="AP28:AQ28"/>
    <mergeCell ref="AS28:AT28"/>
    <mergeCell ref="AU28:AV28"/>
    <mergeCell ref="AW28:AX28"/>
    <mergeCell ref="AZ28:BA28"/>
    <mergeCell ref="BB28:BC28"/>
    <mergeCell ref="BD28:BE28"/>
    <mergeCell ref="O30:P30"/>
    <mergeCell ref="Q30:R30"/>
    <mergeCell ref="O31:P31"/>
    <mergeCell ref="Q31:R31"/>
    <mergeCell ref="O32:P32"/>
    <mergeCell ref="Q32:R32"/>
    <mergeCell ref="O38:P38"/>
    <mergeCell ref="Q38:R38"/>
    <mergeCell ref="O33:P33"/>
    <mergeCell ref="Q33:R33"/>
    <mergeCell ref="O34:P34"/>
    <mergeCell ref="Q34:R34"/>
    <mergeCell ref="O35:P35"/>
    <mergeCell ref="Q35:R35"/>
    <mergeCell ref="F15:F16"/>
    <mergeCell ref="F19:F20"/>
    <mergeCell ref="H28:H29"/>
    <mergeCell ref="E28:G29"/>
    <mergeCell ref="I28:J29"/>
    <mergeCell ref="D27:R27"/>
    <mergeCell ref="K28:L29"/>
    <mergeCell ref="M28:N29"/>
    <mergeCell ref="O28:P29"/>
    <mergeCell ref="Q28:R29"/>
    <mergeCell ref="D43:F43"/>
    <mergeCell ref="H43:J43"/>
    <mergeCell ref="D28:D29"/>
    <mergeCell ref="E39:G39"/>
    <mergeCell ref="O39:P39"/>
    <mergeCell ref="Q39:R39"/>
    <mergeCell ref="D42:F42"/>
    <mergeCell ref="H42:J42"/>
    <mergeCell ref="O36:P36"/>
    <mergeCell ref="Q36:R36"/>
    <mergeCell ref="O37:P37"/>
    <mergeCell ref="Q37:R37"/>
  </mergeCells>
  <pageMargins left="0.7" right="0.7" top="0.75" bottom="0.75" header="0.511811023622047" footer="0.511811023622047"/>
  <pageSetup orientation="portrait" horizontalDpi="300" verticalDpi="30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theme="7"/>
  </sheetPr>
  <dimension ref="B2:AQ49"/>
  <sheetViews>
    <sheetView zoomScale="60" zoomScaleNormal="60" workbookViewId="0">
      <selection activeCell="B41" sqref="B41"/>
    </sheetView>
  </sheetViews>
  <sheetFormatPr defaultColWidth="10" defaultRowHeight="16.2" customHeight="1"/>
  <cols>
    <col min="1" max="1" width="10" style="192"/>
    <col min="2" max="2" width="23.8984375" style="192" customWidth="1"/>
    <col min="3" max="3" width="2.3984375" style="192" customWidth="1"/>
    <col min="4" max="4" width="19.5" style="192" customWidth="1"/>
    <col min="5" max="5" width="10" style="192"/>
    <col min="6" max="6" width="16.69921875" style="192" customWidth="1"/>
    <col min="7" max="19" width="10" style="192"/>
    <col min="20" max="20" width="21.09765625" style="192" customWidth="1"/>
    <col min="21" max="16384" width="10" style="192"/>
  </cols>
  <sheetData>
    <row r="2" spans="2:28" ht="13.8">
      <c r="B2" s="192" t="s">
        <v>116</v>
      </c>
    </row>
    <row r="3" spans="2:28" ht="13.8">
      <c r="S3" s="400" t="s">
        <v>117</v>
      </c>
      <c r="T3" s="278" t="s">
        <v>118</v>
      </c>
      <c r="U3" s="414" t="s">
        <v>119</v>
      </c>
      <c r="V3" s="414"/>
      <c r="W3" s="414"/>
      <c r="X3" s="414"/>
      <c r="Y3" s="415" t="s">
        <v>120</v>
      </c>
      <c r="Z3" s="415"/>
      <c r="AA3" s="415"/>
      <c r="AB3" s="415"/>
    </row>
    <row r="4" spans="2:28" ht="13.8">
      <c r="B4" s="226" t="s">
        <v>121</v>
      </c>
      <c r="C4" s="227" t="s">
        <v>122</v>
      </c>
      <c r="D4" s="228" t="s">
        <v>216</v>
      </c>
      <c r="E4" s="228"/>
      <c r="F4" s="245"/>
      <c r="S4" s="400"/>
      <c r="T4" s="401" t="s">
        <v>124</v>
      </c>
      <c r="U4" s="259" t="s">
        <v>125</v>
      </c>
      <c r="V4" s="259" t="s">
        <v>126</v>
      </c>
      <c r="W4" s="259" t="s">
        <v>127</v>
      </c>
      <c r="X4" s="259" t="s">
        <v>128</v>
      </c>
      <c r="Y4" s="259" t="s">
        <v>125</v>
      </c>
      <c r="Z4" s="259" t="s">
        <v>126</v>
      </c>
      <c r="AA4" s="259" t="s">
        <v>127</v>
      </c>
      <c r="AB4" s="280" t="s">
        <v>128</v>
      </c>
    </row>
    <row r="5" spans="2:28" ht="13.8">
      <c r="B5" s="229" t="s">
        <v>129</v>
      </c>
      <c r="C5" s="197" t="s">
        <v>122</v>
      </c>
      <c r="F5" s="246"/>
      <c r="S5" s="400"/>
      <c r="T5" s="401"/>
      <c r="U5" s="259" t="s">
        <v>131</v>
      </c>
      <c r="V5" s="259" t="s">
        <v>106</v>
      </c>
      <c r="W5" s="259" t="s">
        <v>106</v>
      </c>
      <c r="X5" s="259" t="s">
        <v>106</v>
      </c>
      <c r="Y5" s="259" t="s">
        <v>131</v>
      </c>
      <c r="Z5" s="259" t="s">
        <v>106</v>
      </c>
      <c r="AA5" s="259" t="s">
        <v>106</v>
      </c>
      <c r="AB5" s="280" t="s">
        <v>106</v>
      </c>
    </row>
    <row r="6" spans="2:28" ht="13.8">
      <c r="B6" s="229" t="s">
        <v>132</v>
      </c>
      <c r="C6" s="197" t="s">
        <v>122</v>
      </c>
      <c r="D6" s="192" t="s">
        <v>133</v>
      </c>
      <c r="F6" s="246"/>
      <c r="S6" s="241">
        <v>1</v>
      </c>
      <c r="T6" s="251" t="s">
        <v>217</v>
      </c>
      <c r="U6" s="274">
        <v>30.03</v>
      </c>
      <c r="V6" s="251">
        <v>0.75600000000000001</v>
      </c>
      <c r="W6" s="251">
        <v>0.88</v>
      </c>
      <c r="X6" s="251">
        <v>9.16</v>
      </c>
      <c r="Y6" s="251"/>
      <c r="Z6" s="251"/>
      <c r="AA6" s="251"/>
      <c r="AB6" s="263"/>
    </row>
    <row r="7" spans="2:28" ht="13.8">
      <c r="B7" s="230" t="s">
        <v>135</v>
      </c>
      <c r="C7" s="231" t="s">
        <v>122</v>
      </c>
      <c r="D7" s="232" t="s">
        <v>136</v>
      </c>
      <c r="E7" s="232"/>
      <c r="F7" s="247"/>
      <c r="S7" s="241">
        <v>2</v>
      </c>
      <c r="T7" s="251" t="s">
        <v>218</v>
      </c>
      <c r="U7" s="251">
        <v>30.01</v>
      </c>
      <c r="V7" s="274">
        <v>0.78500000000000003</v>
      </c>
      <c r="W7" s="274">
        <v>0.88</v>
      </c>
      <c r="X7" s="251">
        <v>9.01</v>
      </c>
      <c r="Y7" s="251"/>
      <c r="Z7" s="251"/>
      <c r="AA7" s="251"/>
      <c r="AB7" s="263"/>
    </row>
    <row r="8" spans="2:28" ht="13.8">
      <c r="S8" s="241">
        <v>3</v>
      </c>
      <c r="T8" s="251" t="s">
        <v>219</v>
      </c>
      <c r="U8" s="251">
        <v>30.02</v>
      </c>
      <c r="V8" s="251">
        <v>0.77900000000000003</v>
      </c>
      <c r="W8" s="251">
        <v>0.85</v>
      </c>
      <c r="X8" s="251">
        <v>9.2200000000000006</v>
      </c>
      <c r="Y8" s="251"/>
      <c r="Z8" s="251"/>
      <c r="AA8" s="251"/>
      <c r="AB8" s="263"/>
    </row>
    <row r="9" spans="2:28" ht="13.8">
      <c r="B9" s="416" t="s">
        <v>139</v>
      </c>
      <c r="C9" s="416"/>
      <c r="D9" s="416"/>
      <c r="F9" s="417" t="s">
        <v>140</v>
      </c>
      <c r="G9" s="417"/>
      <c r="H9" s="417"/>
      <c r="I9" s="417"/>
      <c r="K9" s="405" t="s">
        <v>141</v>
      </c>
      <c r="L9" s="405"/>
      <c r="M9" s="405"/>
      <c r="S9" s="241">
        <v>4</v>
      </c>
      <c r="T9" s="288" t="s">
        <v>220</v>
      </c>
      <c r="U9" s="274">
        <v>3.04</v>
      </c>
      <c r="V9" s="251">
        <v>0.77400000000000002</v>
      </c>
      <c r="W9" s="251">
        <v>0.86</v>
      </c>
      <c r="X9" s="251">
        <v>9.19</v>
      </c>
      <c r="Y9" s="251"/>
      <c r="Z9" s="251"/>
      <c r="AA9" s="251"/>
      <c r="AB9" s="263"/>
    </row>
    <row r="10" spans="2:28" ht="13.8">
      <c r="B10" s="233" t="s">
        <v>108</v>
      </c>
      <c r="C10" s="197" t="s">
        <v>122</v>
      </c>
      <c r="D10" s="235" t="s">
        <v>143</v>
      </c>
      <c r="F10" s="248"/>
      <c r="G10" s="249" t="s">
        <v>126</v>
      </c>
      <c r="H10" s="249" t="s">
        <v>127</v>
      </c>
      <c r="I10" s="261" t="s">
        <v>128</v>
      </c>
      <c r="K10" s="240" t="s">
        <v>144</v>
      </c>
      <c r="L10" s="262">
        <f>(F38/1012)*1000</f>
        <v>5.0395256916996045</v>
      </c>
      <c r="M10" s="263" t="s">
        <v>145</v>
      </c>
      <c r="S10" s="241">
        <v>5</v>
      </c>
      <c r="T10" s="251" t="s">
        <v>221</v>
      </c>
      <c r="U10" s="274">
        <v>30.07</v>
      </c>
      <c r="V10" s="251">
        <v>0.13700000000000001</v>
      </c>
      <c r="W10" s="262">
        <v>0.57999999999999996</v>
      </c>
      <c r="X10" s="251">
        <v>8.35</v>
      </c>
      <c r="Y10" s="251"/>
      <c r="Z10" s="251"/>
      <c r="AA10" s="251"/>
      <c r="AB10" s="263"/>
    </row>
    <row r="11" spans="2:28" ht="13.8">
      <c r="B11" s="233" t="s">
        <v>147</v>
      </c>
      <c r="C11" s="197" t="s">
        <v>122</v>
      </c>
      <c r="D11" s="235">
        <v>1000</v>
      </c>
      <c r="F11" s="250" t="s">
        <v>148</v>
      </c>
      <c r="G11" s="251">
        <f>AVERAGE(V6:V9)</f>
        <v>0.77349999999999997</v>
      </c>
      <c r="H11" s="251">
        <f>AVERAGE(W6:W9)</f>
        <v>0.86749999999999994</v>
      </c>
      <c r="I11" s="263">
        <f>AVERAGE(X6:X9)</f>
        <v>9.1449999999999996</v>
      </c>
      <c r="K11" s="240" t="s">
        <v>149</v>
      </c>
      <c r="L11" s="262">
        <f>((1.5-(($J37*1518)/10000000))/1012)*1000</f>
        <v>1.4417134387351778</v>
      </c>
      <c r="M11" s="263" t="s">
        <v>145</v>
      </c>
      <c r="S11" s="241">
        <v>6</v>
      </c>
      <c r="T11" s="251" t="s">
        <v>222</v>
      </c>
      <c r="U11" s="251">
        <v>30.050999999999998</v>
      </c>
      <c r="V11" s="251">
        <v>0.13800000000000001</v>
      </c>
      <c r="W11" s="251">
        <v>0.53</v>
      </c>
      <c r="X11" s="274">
        <v>8.41</v>
      </c>
      <c r="Y11" s="251"/>
      <c r="Z11" s="251"/>
      <c r="AA11" s="251"/>
      <c r="AB11" s="263"/>
    </row>
    <row r="12" spans="2:28" ht="13.8">
      <c r="B12" s="233" t="s">
        <v>151</v>
      </c>
      <c r="C12" s="197" t="s">
        <v>122</v>
      </c>
      <c r="D12" s="236">
        <v>0.4</v>
      </c>
      <c r="F12" s="252" t="s">
        <v>152</v>
      </c>
      <c r="G12" s="253">
        <f>AVERAGE(V10:V13)</f>
        <v>0.13400000000000001</v>
      </c>
      <c r="H12" s="253">
        <f>AVERAGE(W10:W13)</f>
        <v>0.54499999999999993</v>
      </c>
      <c r="I12" s="264">
        <f>AVERAGE(X10:X13)</f>
        <v>8.3025000000000002</v>
      </c>
      <c r="K12" s="265" t="s">
        <v>153</v>
      </c>
      <c r="L12" s="253"/>
      <c r="M12" s="264"/>
      <c r="S12" s="279">
        <v>7</v>
      </c>
      <c r="T12" s="251" t="s">
        <v>223</v>
      </c>
      <c r="U12" s="260">
        <v>30.021999999999998</v>
      </c>
      <c r="V12" s="260">
        <v>0.125</v>
      </c>
      <c r="W12" s="260">
        <v>0.55000000000000004</v>
      </c>
      <c r="X12" s="260">
        <v>8.23</v>
      </c>
      <c r="Y12" s="260"/>
      <c r="Z12" s="260"/>
      <c r="AA12" s="260"/>
      <c r="AB12" s="282"/>
    </row>
    <row r="13" spans="2:28" ht="13.8">
      <c r="B13" s="233" t="s">
        <v>155</v>
      </c>
      <c r="C13" s="197" t="s">
        <v>122</v>
      </c>
      <c r="D13" s="236">
        <v>0.8</v>
      </c>
      <c r="S13" s="241">
        <v>8</v>
      </c>
      <c r="T13" s="251" t="s">
        <v>224</v>
      </c>
      <c r="U13" s="251">
        <v>30.01</v>
      </c>
      <c r="V13" s="274">
        <v>0.13600000000000001</v>
      </c>
      <c r="W13" s="262">
        <v>0.52</v>
      </c>
      <c r="X13" s="251">
        <v>8.2200000000000006</v>
      </c>
      <c r="Y13" s="251"/>
      <c r="Z13" s="251"/>
      <c r="AA13" s="251"/>
      <c r="AB13" s="263"/>
    </row>
    <row r="14" spans="2:28" ht="13.8">
      <c r="B14" s="233" t="s">
        <v>157</v>
      </c>
      <c r="C14" s="197" t="s">
        <v>122</v>
      </c>
      <c r="D14" s="235" t="s">
        <v>158</v>
      </c>
      <c r="F14" s="254" t="s">
        <v>159</v>
      </c>
      <c r="G14" s="255">
        <f>G12*D20</f>
        <v>135.608</v>
      </c>
      <c r="H14" s="255"/>
      <c r="I14" s="266"/>
      <c r="S14" s="241">
        <v>9</v>
      </c>
      <c r="T14" s="251" t="s">
        <v>160</v>
      </c>
      <c r="U14" s="251"/>
      <c r="V14" s="251"/>
      <c r="W14" s="251"/>
      <c r="X14" s="251"/>
      <c r="Y14" s="251"/>
      <c r="Z14" s="274">
        <v>0.14000000000000001</v>
      </c>
      <c r="AA14" s="251"/>
      <c r="AB14" s="263"/>
    </row>
    <row r="15" spans="2:28" ht="16.2" customHeight="1">
      <c r="B15" s="233" t="s">
        <v>161</v>
      </c>
      <c r="C15" s="197" t="s">
        <v>122</v>
      </c>
      <c r="D15" s="235">
        <v>2.1</v>
      </c>
      <c r="F15" s="403" t="s">
        <v>162</v>
      </c>
      <c r="G15" s="404">
        <f>G14+D49</f>
        <v>742.50699999999983</v>
      </c>
      <c r="H15" s="404"/>
      <c r="I15" s="399"/>
      <c r="S15" s="241">
        <v>10</v>
      </c>
      <c r="T15" s="251" t="s">
        <v>163</v>
      </c>
      <c r="U15" s="251"/>
      <c r="V15" s="251"/>
      <c r="W15" s="251"/>
      <c r="X15" s="251"/>
      <c r="Y15" s="251"/>
      <c r="Z15" s="251">
        <v>0.22700000000000001</v>
      </c>
      <c r="AA15" s="251"/>
      <c r="AB15" s="263"/>
    </row>
    <row r="16" spans="2:28" ht="13.8">
      <c r="B16" s="233" t="s">
        <v>164</v>
      </c>
      <c r="C16" s="197" t="s">
        <v>122</v>
      </c>
      <c r="D16" s="235">
        <v>1.27</v>
      </c>
      <c r="F16" s="403"/>
      <c r="G16" s="404"/>
      <c r="H16" s="404"/>
      <c r="I16" s="399"/>
      <c r="S16" s="241">
        <v>11</v>
      </c>
      <c r="T16" s="251" t="s">
        <v>165</v>
      </c>
      <c r="U16" s="251"/>
      <c r="V16" s="251"/>
      <c r="W16" s="251"/>
      <c r="X16" s="251"/>
      <c r="Y16" s="251"/>
      <c r="Z16" s="251">
        <v>0.255</v>
      </c>
      <c r="AA16" s="251"/>
      <c r="AB16" s="263"/>
    </row>
    <row r="17" spans="2:43" ht="13.8">
      <c r="B17" s="233" t="s">
        <v>166</v>
      </c>
      <c r="C17" s="197" t="s">
        <v>122</v>
      </c>
      <c r="D17" s="235">
        <v>2</v>
      </c>
      <c r="S17" s="241">
        <v>12</v>
      </c>
      <c r="T17" s="251" t="s">
        <v>167</v>
      </c>
      <c r="Z17" s="197">
        <v>0.30199999999999999</v>
      </c>
      <c r="AA17" s="260"/>
      <c r="AB17" s="282"/>
    </row>
    <row r="18" spans="2:43" ht="13.8">
      <c r="B18" s="233" t="s">
        <v>168</v>
      </c>
      <c r="C18" s="197" t="s">
        <v>122</v>
      </c>
      <c r="D18" s="235">
        <v>48</v>
      </c>
      <c r="F18" s="254" t="s">
        <v>169</v>
      </c>
      <c r="G18" s="255"/>
      <c r="H18" s="255"/>
      <c r="I18" s="266"/>
      <c r="S18" s="241">
        <v>13</v>
      </c>
      <c r="T18" s="251" t="s">
        <v>170</v>
      </c>
      <c r="U18" s="251"/>
      <c r="V18" s="251"/>
      <c r="W18" s="251"/>
      <c r="X18" s="251"/>
      <c r="Y18" s="251"/>
      <c r="Z18" s="289">
        <v>4.2999999999999997E-2</v>
      </c>
      <c r="AA18" s="251"/>
      <c r="AB18" s="263"/>
    </row>
    <row r="19" spans="2:43" ht="16.2" customHeight="1">
      <c r="B19" s="233" t="s">
        <v>171</v>
      </c>
      <c r="C19" s="197" t="s">
        <v>122</v>
      </c>
      <c r="D19" s="237">
        <v>1280</v>
      </c>
      <c r="F19" s="403" t="s">
        <v>172</v>
      </c>
      <c r="G19" s="258"/>
      <c r="H19" s="258"/>
      <c r="I19" s="268"/>
      <c r="S19" s="242">
        <v>14</v>
      </c>
      <c r="T19" s="253" t="s">
        <v>173</v>
      </c>
      <c r="U19" s="253"/>
      <c r="V19" s="253"/>
      <c r="W19" s="253"/>
      <c r="X19" s="253"/>
      <c r="Y19" s="253"/>
      <c r="Z19" s="284">
        <v>2.8000000000000001E-2</v>
      </c>
      <c r="AA19" s="257"/>
      <c r="AB19" s="267"/>
    </row>
    <row r="20" spans="2:43" ht="13.8">
      <c r="B20" s="233" t="s">
        <v>174</v>
      </c>
      <c r="C20" s="197" t="s">
        <v>122</v>
      </c>
      <c r="D20" s="235">
        <v>1012</v>
      </c>
      <c r="F20" s="403"/>
      <c r="G20" s="257"/>
      <c r="H20" s="257"/>
      <c r="I20" s="267"/>
    </row>
    <row r="21" spans="2:43" ht="13.8">
      <c r="B21" s="233" t="s">
        <v>175</v>
      </c>
      <c r="C21" s="197" t="s">
        <v>122</v>
      </c>
      <c r="D21" s="235">
        <v>1518</v>
      </c>
    </row>
    <row r="22" spans="2:43" ht="13.8">
      <c r="B22" s="233" t="s">
        <v>176</v>
      </c>
      <c r="C22" s="197" t="s">
        <v>122</v>
      </c>
      <c r="D22" s="235">
        <v>2000</v>
      </c>
    </row>
    <row r="23" spans="2:43" ht="13.8">
      <c r="B23" s="238" t="s">
        <v>177</v>
      </c>
      <c r="C23" s="231" t="s">
        <v>122</v>
      </c>
      <c r="D23" s="239">
        <v>1012</v>
      </c>
    </row>
    <row r="24" spans="2:43" ht="13.8">
      <c r="B24" s="197"/>
      <c r="C24" s="197"/>
      <c r="D24" s="197"/>
    </row>
    <row r="27" spans="2:43" ht="13.8">
      <c r="D27" s="413" t="s">
        <v>178</v>
      </c>
      <c r="E27" s="413"/>
      <c r="F27" s="413"/>
      <c r="G27" s="413"/>
      <c r="H27" s="413"/>
      <c r="I27" s="413"/>
      <c r="J27" s="413"/>
      <c r="K27" s="413"/>
      <c r="L27" s="413"/>
      <c r="M27" s="413"/>
      <c r="N27" s="413"/>
      <c r="O27" s="413"/>
      <c r="P27" s="413"/>
      <c r="Q27" s="413"/>
      <c r="R27" s="413"/>
      <c r="T27" s="413" t="s">
        <v>179</v>
      </c>
      <c r="U27" s="413"/>
      <c r="V27" s="413"/>
      <c r="X27" s="413" t="s">
        <v>180</v>
      </c>
      <c r="Y27" s="413"/>
      <c r="Z27" s="413"/>
      <c r="AB27" s="413" t="s">
        <v>181</v>
      </c>
      <c r="AC27" s="413"/>
      <c r="AD27" s="413"/>
      <c r="AE27" s="413"/>
      <c r="AF27" s="413"/>
      <c r="AG27" s="413"/>
      <c r="AH27" s="413"/>
      <c r="AI27" s="413"/>
      <c r="AJ27" s="413"/>
      <c r="AL27" s="413" t="s">
        <v>182</v>
      </c>
      <c r="AM27" s="413"/>
      <c r="AN27" s="413"/>
      <c r="AO27" s="413"/>
      <c r="AP27" s="413"/>
      <c r="AQ27" s="413"/>
    </row>
    <row r="28" spans="2:43" ht="13.8">
      <c r="D28" s="407" t="s">
        <v>185</v>
      </c>
      <c r="E28" s="401" t="s">
        <v>186</v>
      </c>
      <c r="F28" s="401"/>
      <c r="G28" s="401"/>
      <c r="H28" s="401" t="s">
        <v>187</v>
      </c>
      <c r="I28" s="401" t="s">
        <v>188</v>
      </c>
      <c r="J28" s="401"/>
      <c r="K28" s="401" t="s">
        <v>108</v>
      </c>
      <c r="L28" s="401"/>
      <c r="M28" s="401" t="s">
        <v>189</v>
      </c>
      <c r="N28" s="401"/>
      <c r="O28" s="401" t="s">
        <v>190</v>
      </c>
      <c r="P28" s="401"/>
      <c r="Q28" s="402" t="s">
        <v>191</v>
      </c>
      <c r="R28" s="402"/>
      <c r="T28" s="240" t="s">
        <v>192</v>
      </c>
      <c r="U28" s="259" t="s">
        <v>193</v>
      </c>
      <c r="V28" s="280" t="s">
        <v>194</v>
      </c>
      <c r="X28" s="240" t="s">
        <v>192</v>
      </c>
      <c r="Y28" s="259" t="s">
        <v>193</v>
      </c>
      <c r="Z28" s="280" t="s">
        <v>194</v>
      </c>
      <c r="AB28" s="412" t="s">
        <v>126</v>
      </c>
      <c r="AC28" s="412"/>
      <c r="AD28" s="412"/>
      <c r="AE28" s="407" t="s">
        <v>127</v>
      </c>
      <c r="AF28" s="407"/>
      <c r="AG28" s="407"/>
      <c r="AH28" s="402" t="s">
        <v>128</v>
      </c>
      <c r="AI28" s="402"/>
      <c r="AJ28" s="402"/>
      <c r="AL28" s="407" t="s">
        <v>195</v>
      </c>
      <c r="AM28" s="407"/>
      <c r="AN28" s="401" t="s">
        <v>196</v>
      </c>
      <c r="AO28" s="401"/>
      <c r="AP28" s="402" t="s">
        <v>197</v>
      </c>
      <c r="AQ28" s="402"/>
    </row>
    <row r="29" spans="2:43" ht="13.8">
      <c r="D29" s="407"/>
      <c r="E29" s="401"/>
      <c r="F29" s="401"/>
      <c r="G29" s="401"/>
      <c r="H29" s="401"/>
      <c r="I29" s="401"/>
      <c r="J29" s="401"/>
      <c r="K29" s="401"/>
      <c r="L29" s="401"/>
      <c r="M29" s="401"/>
      <c r="N29" s="401"/>
      <c r="O29" s="401"/>
      <c r="P29" s="401"/>
      <c r="Q29" s="402"/>
      <c r="R29" s="402"/>
      <c r="T29" s="240"/>
      <c r="U29" s="259"/>
      <c r="V29" s="280"/>
      <c r="X29" s="240"/>
      <c r="Y29" s="259"/>
      <c r="Z29" s="280"/>
      <c r="AB29" s="240" t="s">
        <v>192</v>
      </c>
      <c r="AC29" s="259" t="s">
        <v>193</v>
      </c>
      <c r="AD29" s="259" t="s">
        <v>194</v>
      </c>
      <c r="AE29" s="259" t="s">
        <v>192</v>
      </c>
      <c r="AF29" s="259" t="s">
        <v>198</v>
      </c>
      <c r="AG29" s="259" t="s">
        <v>194</v>
      </c>
      <c r="AH29" s="259" t="s">
        <v>192</v>
      </c>
      <c r="AI29" s="259" t="s">
        <v>193</v>
      </c>
      <c r="AJ29" s="280" t="s">
        <v>194</v>
      </c>
      <c r="AL29" s="240" t="s">
        <v>199</v>
      </c>
      <c r="AM29" s="259" t="s">
        <v>200</v>
      </c>
      <c r="AN29" s="259" t="s">
        <v>199</v>
      </c>
      <c r="AO29" s="259" t="s">
        <v>201</v>
      </c>
      <c r="AP29" s="259" t="s">
        <v>199</v>
      </c>
      <c r="AQ29" s="280" t="s">
        <v>201</v>
      </c>
    </row>
    <row r="30" spans="2:43" ht="13.8">
      <c r="C30" s="197"/>
      <c r="D30" s="240" t="s">
        <v>202</v>
      </c>
      <c r="E30" s="259" t="s">
        <v>203</v>
      </c>
      <c r="F30" s="259" t="s">
        <v>204</v>
      </c>
      <c r="G30" s="259" t="s">
        <v>205</v>
      </c>
      <c r="H30" s="259" t="s">
        <v>106</v>
      </c>
      <c r="I30" s="259" t="s">
        <v>206</v>
      </c>
      <c r="J30" s="259" t="s">
        <v>207</v>
      </c>
      <c r="K30" s="259" t="s">
        <v>206</v>
      </c>
      <c r="L30" s="259" t="s">
        <v>207</v>
      </c>
      <c r="M30" s="259" t="s">
        <v>206</v>
      </c>
      <c r="N30" s="259" t="s">
        <v>207</v>
      </c>
      <c r="O30" s="401" t="s">
        <v>208</v>
      </c>
      <c r="P30" s="401"/>
      <c r="Q30" s="402" t="s">
        <v>208</v>
      </c>
      <c r="R30" s="402"/>
      <c r="T30" s="240" t="s">
        <v>208</v>
      </c>
      <c r="U30" s="259" t="s">
        <v>209</v>
      </c>
      <c r="V30" s="280" t="s">
        <v>209</v>
      </c>
      <c r="X30" s="240" t="s">
        <v>209</v>
      </c>
      <c r="Y30" s="259" t="s">
        <v>208</v>
      </c>
      <c r="Z30" s="280" t="s">
        <v>209</v>
      </c>
      <c r="AB30" s="241"/>
      <c r="AC30" s="251"/>
      <c r="AD30" s="251"/>
      <c r="AE30" s="251"/>
      <c r="AF30" s="251"/>
      <c r="AG30" s="251"/>
      <c r="AH30" s="251"/>
      <c r="AI30" s="251"/>
      <c r="AJ30" s="263"/>
      <c r="AL30" s="241"/>
      <c r="AM30" s="251"/>
      <c r="AN30" s="251"/>
      <c r="AO30" s="251"/>
      <c r="AP30" s="251"/>
      <c r="AQ30" s="263"/>
    </row>
    <row r="31" spans="2:43" ht="13.8">
      <c r="D31" s="241">
        <v>0</v>
      </c>
      <c r="E31" s="251">
        <v>1.52</v>
      </c>
      <c r="F31" s="251">
        <v>2.2999999999999998</v>
      </c>
      <c r="G31" s="251"/>
      <c r="H31" s="251"/>
      <c r="I31" s="251">
        <v>0</v>
      </c>
      <c r="J31" s="251">
        <v>1000</v>
      </c>
      <c r="K31" s="251">
        <v>7.6</v>
      </c>
      <c r="L31" s="251">
        <v>11.1</v>
      </c>
      <c r="M31" s="273">
        <v>3820</v>
      </c>
      <c r="N31" s="274">
        <v>3.82</v>
      </c>
      <c r="O31" s="408">
        <v>2000</v>
      </c>
      <c r="P31" s="408"/>
      <c r="Q31" s="409"/>
      <c r="R31" s="409"/>
      <c r="T31" s="241">
        <v>1012</v>
      </c>
      <c r="U31" s="251">
        <f t="shared" ref="U31:U37" si="0">M31-$D$20-$D$19</f>
        <v>1528</v>
      </c>
      <c r="V31" s="263"/>
      <c r="X31" s="241"/>
      <c r="Y31" s="251">
        <v>40</v>
      </c>
      <c r="Z31" s="263"/>
      <c r="AB31" s="241"/>
      <c r="AC31" s="274">
        <f t="shared" ref="AC31:AC37" si="1">Z14</f>
        <v>0.14000000000000001</v>
      </c>
      <c r="AD31" s="251"/>
      <c r="AE31" s="251"/>
      <c r="AF31" s="251"/>
      <c r="AG31" s="251"/>
      <c r="AH31" s="251"/>
      <c r="AI31" s="251"/>
      <c r="AJ31" s="263"/>
      <c r="AL31" s="241"/>
      <c r="AM31" s="285">
        <f t="shared" ref="AM31:AM36" si="2">AC31*U32</f>
        <v>212.52</v>
      </c>
      <c r="AN31" s="251"/>
      <c r="AO31" s="251">
        <f t="shared" ref="AO31:AO36" si="3">AC31*Y32</f>
        <v>5.6000000000000005</v>
      </c>
      <c r="AP31" s="251"/>
      <c r="AQ31" s="263"/>
    </row>
    <row r="32" spans="2:43" ht="13.8">
      <c r="D32" s="241">
        <v>2</v>
      </c>
      <c r="E32" s="251"/>
      <c r="F32" s="251">
        <v>0.8</v>
      </c>
      <c r="G32" s="251"/>
      <c r="H32" s="251"/>
      <c r="I32" s="251"/>
      <c r="J32" s="251">
        <v>750</v>
      </c>
      <c r="K32" s="251">
        <v>11</v>
      </c>
      <c r="L32" s="251">
        <v>11</v>
      </c>
      <c r="M32" s="273">
        <v>3810</v>
      </c>
      <c r="N32" s="274">
        <v>3.82</v>
      </c>
      <c r="O32" s="408">
        <v>2000</v>
      </c>
      <c r="P32" s="408"/>
      <c r="Q32" s="409">
        <v>40</v>
      </c>
      <c r="R32" s="409"/>
      <c r="T32" s="241"/>
      <c r="U32" s="251">
        <f t="shared" si="0"/>
        <v>1518</v>
      </c>
      <c r="V32" s="263"/>
      <c r="X32" s="241"/>
      <c r="Y32" s="251">
        <v>40</v>
      </c>
      <c r="Z32" s="263"/>
      <c r="AB32" s="241"/>
      <c r="AC32" s="251">
        <f t="shared" si="1"/>
        <v>0.22700000000000001</v>
      </c>
      <c r="AD32" s="251"/>
      <c r="AE32" s="251"/>
      <c r="AF32" s="251"/>
      <c r="AG32" s="251"/>
      <c r="AH32" s="251"/>
      <c r="AI32" s="251"/>
      <c r="AJ32" s="263"/>
      <c r="AL32" s="241"/>
      <c r="AM32" s="285">
        <f t="shared" si="2"/>
        <v>343.45100000000002</v>
      </c>
      <c r="AN32" s="251"/>
      <c r="AO32" s="251">
        <f t="shared" si="3"/>
        <v>9.08</v>
      </c>
      <c r="AP32" s="251"/>
      <c r="AQ32" s="263"/>
    </row>
    <row r="33" spans="4:43" ht="13.8">
      <c r="D33" s="241">
        <v>4</v>
      </c>
      <c r="E33" s="251"/>
      <c r="F33" s="251">
        <v>0</v>
      </c>
      <c r="G33" s="251"/>
      <c r="H33" s="251"/>
      <c r="I33" s="251"/>
      <c r="J33" s="251">
        <v>540</v>
      </c>
      <c r="K33" s="251">
        <v>10.8</v>
      </c>
      <c r="L33" s="251">
        <v>11.1</v>
      </c>
      <c r="M33" s="273">
        <v>3805</v>
      </c>
      <c r="N33" s="274">
        <v>3.82</v>
      </c>
      <c r="O33" s="408">
        <v>2000</v>
      </c>
      <c r="P33" s="408"/>
      <c r="Q33" s="409">
        <v>40</v>
      </c>
      <c r="R33" s="409"/>
      <c r="T33" s="241"/>
      <c r="U33" s="251">
        <f t="shared" si="0"/>
        <v>1513</v>
      </c>
      <c r="V33" s="263"/>
      <c r="X33" s="241"/>
      <c r="Y33" s="251">
        <v>40</v>
      </c>
      <c r="Z33" s="263"/>
      <c r="AB33" s="241"/>
      <c r="AC33" s="251">
        <f t="shared" si="1"/>
        <v>0.255</v>
      </c>
      <c r="AD33" s="251"/>
      <c r="AE33" s="251"/>
      <c r="AF33" s="251"/>
      <c r="AG33" s="251"/>
      <c r="AH33" s="251"/>
      <c r="AI33" s="251"/>
      <c r="AJ33" s="263"/>
      <c r="AL33" s="241"/>
      <c r="AM33" s="285">
        <f t="shared" si="2"/>
        <v>384.54</v>
      </c>
      <c r="AN33" s="251"/>
      <c r="AO33" s="251">
        <f t="shared" si="3"/>
        <v>10.199999999999999</v>
      </c>
      <c r="AP33" s="251"/>
      <c r="AQ33" s="263"/>
    </row>
    <row r="34" spans="4:43" ht="13.8">
      <c r="D34" s="241">
        <v>8</v>
      </c>
      <c r="E34" s="251"/>
      <c r="F34" s="251">
        <v>1</v>
      </c>
      <c r="G34" s="251"/>
      <c r="H34" s="251"/>
      <c r="I34" s="251"/>
      <c r="J34" s="251">
        <v>510</v>
      </c>
      <c r="K34" s="251">
        <v>10.9</v>
      </c>
      <c r="L34" s="251">
        <v>11</v>
      </c>
      <c r="M34" s="273">
        <v>3800</v>
      </c>
      <c r="N34" s="274">
        <v>3.82</v>
      </c>
      <c r="O34" s="408">
        <v>2000</v>
      </c>
      <c r="P34" s="408"/>
      <c r="Q34" s="409">
        <v>40</v>
      </c>
      <c r="R34" s="409"/>
      <c r="T34" s="241"/>
      <c r="U34" s="251">
        <f t="shared" si="0"/>
        <v>1508</v>
      </c>
      <c r="V34" s="263"/>
      <c r="X34" s="241"/>
      <c r="Y34" s="251">
        <v>40</v>
      </c>
      <c r="Z34" s="263"/>
      <c r="AB34" s="241"/>
      <c r="AC34" s="251">
        <f t="shared" si="1"/>
        <v>0.30199999999999999</v>
      </c>
      <c r="AD34" s="251"/>
      <c r="AE34" s="251"/>
      <c r="AF34" s="251"/>
      <c r="AG34" s="251"/>
      <c r="AH34" s="251"/>
      <c r="AI34" s="251"/>
      <c r="AJ34" s="263"/>
      <c r="AL34" s="241"/>
      <c r="AM34" s="285">
        <f t="shared" si="2"/>
        <v>458.43599999999998</v>
      </c>
      <c r="AN34" s="251"/>
      <c r="AO34" s="251">
        <f t="shared" si="3"/>
        <v>12.08</v>
      </c>
      <c r="AP34" s="251"/>
      <c r="AQ34" s="263"/>
    </row>
    <row r="35" spans="4:43" ht="13.8">
      <c r="D35" s="241">
        <v>12</v>
      </c>
      <c r="E35" s="251"/>
      <c r="F35" s="251">
        <v>0</v>
      </c>
      <c r="G35" s="251">
        <v>4</v>
      </c>
      <c r="H35" s="251"/>
      <c r="I35" s="251"/>
      <c r="J35" s="251">
        <v>480</v>
      </c>
      <c r="K35" s="251">
        <v>10.7</v>
      </c>
      <c r="L35" s="251">
        <v>11</v>
      </c>
      <c r="M35" s="273">
        <v>3810</v>
      </c>
      <c r="N35" s="274">
        <v>3.82</v>
      </c>
      <c r="O35" s="408">
        <v>2000</v>
      </c>
      <c r="P35" s="408"/>
      <c r="Q35" s="409">
        <v>40</v>
      </c>
      <c r="R35" s="409"/>
      <c r="T35" s="241"/>
      <c r="U35" s="251">
        <f t="shared" si="0"/>
        <v>1518</v>
      </c>
      <c r="V35" s="263"/>
      <c r="X35" s="241"/>
      <c r="Y35" s="251">
        <v>40</v>
      </c>
      <c r="Z35" s="263"/>
      <c r="AB35" s="241"/>
      <c r="AC35" s="251">
        <f t="shared" si="1"/>
        <v>4.2999999999999997E-2</v>
      </c>
      <c r="AD35" s="251"/>
      <c r="AE35" s="251"/>
      <c r="AF35" s="251"/>
      <c r="AG35" s="251"/>
      <c r="AH35" s="251"/>
      <c r="AI35" s="251"/>
      <c r="AJ35" s="263"/>
      <c r="AL35" s="241"/>
      <c r="AM35" s="285">
        <f t="shared" si="2"/>
        <v>64.198999999999998</v>
      </c>
      <c r="AN35" s="251"/>
      <c r="AO35" s="251">
        <f t="shared" si="3"/>
        <v>1.7199999999999998</v>
      </c>
      <c r="AP35" s="251"/>
      <c r="AQ35" s="263"/>
    </row>
    <row r="36" spans="4:43" ht="13.8">
      <c r="D36" s="241">
        <v>24</v>
      </c>
      <c r="E36" s="251"/>
      <c r="F36" s="251">
        <v>1</v>
      </c>
      <c r="G36" s="251"/>
      <c r="H36" s="251"/>
      <c r="I36" s="251"/>
      <c r="J36" s="251">
        <v>450</v>
      </c>
      <c r="K36" s="251">
        <v>10.4</v>
      </c>
      <c r="L36" s="251">
        <v>11</v>
      </c>
      <c r="M36" s="273">
        <v>3785</v>
      </c>
      <c r="N36" s="274">
        <v>3.9350000000000001</v>
      </c>
      <c r="O36" s="408">
        <v>2000</v>
      </c>
      <c r="P36" s="408"/>
      <c r="Q36" s="409">
        <v>40</v>
      </c>
      <c r="R36" s="409"/>
      <c r="T36" s="241"/>
      <c r="U36" s="251">
        <f t="shared" si="0"/>
        <v>1493</v>
      </c>
      <c r="V36" s="263"/>
      <c r="X36" s="241"/>
      <c r="Y36" s="251">
        <v>40</v>
      </c>
      <c r="Z36" s="263"/>
      <c r="AB36" s="241">
        <f>G12</f>
        <v>0.13400000000000001</v>
      </c>
      <c r="AC36" s="251">
        <f t="shared" si="1"/>
        <v>2.8000000000000001E-2</v>
      </c>
      <c r="AD36" s="251"/>
      <c r="AE36" s="251">
        <f>H12</f>
        <v>0.54499999999999993</v>
      </c>
      <c r="AF36" s="251"/>
      <c r="AG36" s="251"/>
      <c r="AH36" s="251">
        <f>I12</f>
        <v>8.3025000000000002</v>
      </c>
      <c r="AI36" s="251"/>
      <c r="AJ36" s="263"/>
      <c r="AL36" s="241">
        <f>AB36*D20</f>
        <v>135.608</v>
      </c>
      <c r="AM36" s="285">
        <f t="shared" si="2"/>
        <v>44.463999999999999</v>
      </c>
      <c r="AN36" s="251"/>
      <c r="AO36" s="251">
        <f t="shared" si="3"/>
        <v>1.1200000000000001</v>
      </c>
      <c r="AP36" s="251"/>
      <c r="AQ36" s="263"/>
    </row>
    <row r="37" spans="4:43" ht="13.8">
      <c r="D37" s="241">
        <v>48</v>
      </c>
      <c r="E37" s="251"/>
      <c r="F37" s="251">
        <v>0</v>
      </c>
      <c r="G37" s="251"/>
      <c r="H37" s="251"/>
      <c r="I37" s="251"/>
      <c r="J37" s="251">
        <v>270</v>
      </c>
      <c r="K37" s="251">
        <v>10.3</v>
      </c>
      <c r="L37" s="251">
        <v>11</v>
      </c>
      <c r="M37" s="273">
        <v>3880</v>
      </c>
      <c r="N37" s="274">
        <v>0</v>
      </c>
      <c r="O37" s="408">
        <v>2000</v>
      </c>
      <c r="P37" s="408"/>
      <c r="Q37" s="409">
        <v>40</v>
      </c>
      <c r="R37" s="409"/>
      <c r="T37" s="241"/>
      <c r="U37" s="251">
        <f t="shared" si="0"/>
        <v>1588</v>
      </c>
      <c r="V37" s="263"/>
      <c r="X37" s="241">
        <f>D20</f>
        <v>1012</v>
      </c>
      <c r="Y37" s="251">
        <v>40</v>
      </c>
      <c r="Z37" s="263">
        <f>G35</f>
        <v>4</v>
      </c>
      <c r="AB37" s="229"/>
      <c r="AC37" s="251">
        <f t="shared" si="1"/>
        <v>0</v>
      </c>
      <c r="AD37" s="251"/>
      <c r="AE37" s="251"/>
      <c r="AF37" s="251"/>
      <c r="AG37" s="251"/>
      <c r="AH37" s="251"/>
      <c r="AI37" s="251"/>
      <c r="AJ37" s="263"/>
      <c r="AL37" s="241"/>
      <c r="AM37" s="251"/>
      <c r="AN37" s="251"/>
      <c r="AO37" s="251"/>
      <c r="AP37" s="251"/>
      <c r="AQ37" s="263"/>
    </row>
    <row r="38" spans="4:43" ht="13.8">
      <c r="D38" s="241" t="s">
        <v>210</v>
      </c>
      <c r="E38" s="251">
        <v>1.52</v>
      </c>
      <c r="F38" s="251">
        <f>SUM(F31:F37)</f>
        <v>5.0999999999999996</v>
      </c>
      <c r="G38" s="251">
        <v>4</v>
      </c>
      <c r="H38" s="251"/>
      <c r="I38" s="251"/>
      <c r="J38" s="251"/>
      <c r="K38" s="251"/>
      <c r="L38" s="251"/>
      <c r="M38" s="251"/>
      <c r="N38" s="251"/>
      <c r="O38" s="408"/>
      <c r="P38" s="408"/>
      <c r="Q38" s="409"/>
      <c r="R38" s="409"/>
      <c r="T38" s="241"/>
      <c r="U38" s="251"/>
      <c r="V38" s="263"/>
      <c r="X38" s="241"/>
      <c r="Y38" s="251"/>
      <c r="Z38" s="263"/>
      <c r="AB38" s="241"/>
      <c r="AC38" s="251"/>
      <c r="AD38" s="251"/>
      <c r="AE38" s="251"/>
      <c r="AF38" s="251"/>
      <c r="AG38" s="251"/>
      <c r="AH38" s="251"/>
      <c r="AI38" s="251"/>
      <c r="AJ38" s="263"/>
      <c r="AL38" s="241"/>
      <c r="AM38" s="251"/>
      <c r="AN38" s="251"/>
      <c r="AO38" s="251"/>
      <c r="AP38" s="251"/>
      <c r="AQ38" s="263"/>
    </row>
    <row r="39" spans="4:43" ht="13.8">
      <c r="D39" s="242" t="s">
        <v>211</v>
      </c>
      <c r="E39" s="410">
        <v>0</v>
      </c>
      <c r="F39" s="410"/>
      <c r="G39" s="410"/>
      <c r="H39" s="253"/>
      <c r="I39" s="253"/>
      <c r="J39" s="253"/>
      <c r="K39" s="253"/>
      <c r="L39" s="253"/>
      <c r="M39" s="253"/>
      <c r="N39" s="253"/>
      <c r="O39" s="410"/>
      <c r="P39" s="410"/>
      <c r="Q39" s="411"/>
      <c r="R39" s="411"/>
      <c r="T39" s="242"/>
      <c r="U39" s="253"/>
      <c r="V39" s="264"/>
      <c r="X39" s="242"/>
      <c r="Y39" s="253"/>
      <c r="Z39" s="264"/>
      <c r="AB39" s="242"/>
      <c r="AC39" s="253"/>
      <c r="AD39" s="253"/>
      <c r="AE39" s="253"/>
      <c r="AF39" s="253"/>
      <c r="AG39" s="253"/>
      <c r="AH39" s="253"/>
      <c r="AI39" s="253"/>
      <c r="AJ39" s="264"/>
      <c r="AL39" s="242"/>
      <c r="AM39" s="253"/>
      <c r="AN39" s="253"/>
      <c r="AO39" s="253"/>
      <c r="AP39" s="253"/>
      <c r="AQ39" s="264"/>
    </row>
    <row r="41" spans="4:43" ht="13.8">
      <c r="D41" s="405" t="s">
        <v>212</v>
      </c>
      <c r="E41" s="405"/>
      <c r="F41" s="405"/>
      <c r="H41" s="405" t="s">
        <v>213</v>
      </c>
      <c r="I41" s="405"/>
      <c r="J41" s="405"/>
    </row>
    <row r="42" spans="4:43" ht="13.8">
      <c r="D42" s="406" t="s">
        <v>214</v>
      </c>
      <c r="E42" s="406"/>
      <c r="F42" s="406"/>
      <c r="H42" s="406" t="s">
        <v>215</v>
      </c>
      <c r="I42" s="406"/>
      <c r="J42" s="406"/>
    </row>
    <row r="43" spans="4:43" ht="13.8">
      <c r="D43" s="243" t="s">
        <v>126</v>
      </c>
      <c r="E43" s="197" t="s">
        <v>127</v>
      </c>
      <c r="F43" s="235" t="s">
        <v>128</v>
      </c>
      <c r="H43" s="243" t="s">
        <v>126</v>
      </c>
      <c r="I43" s="197" t="s">
        <v>127</v>
      </c>
      <c r="J43" s="235" t="s">
        <v>128</v>
      </c>
    </row>
    <row r="44" spans="4:43" ht="13.8">
      <c r="D44" s="243">
        <f>AM31+AO31</f>
        <v>218.12</v>
      </c>
      <c r="E44" s="197"/>
      <c r="F44" s="235"/>
      <c r="H44" s="286">
        <f t="shared" ref="H44:H49" si="4">D44/$G$15</f>
        <v>0.2937615402952431</v>
      </c>
      <c r="I44" s="197"/>
      <c r="J44" s="235"/>
    </row>
    <row r="45" spans="4:43" ht="13.8">
      <c r="D45" s="243">
        <f>AM32+SUM(AO31:AO32)</f>
        <v>358.13100000000003</v>
      </c>
      <c r="E45" s="197"/>
      <c r="F45" s="235"/>
      <c r="H45" s="286">
        <f t="shared" si="4"/>
        <v>0.48232676594294749</v>
      </c>
      <c r="I45" s="197"/>
      <c r="J45" s="235"/>
    </row>
    <row r="46" spans="4:43" ht="13.8">
      <c r="D46" s="243">
        <f>AM33+SUM(AO31:AO33)</f>
        <v>409.42</v>
      </c>
      <c r="E46" s="197"/>
      <c r="F46" s="235"/>
      <c r="H46" s="286">
        <f t="shared" si="4"/>
        <v>0.5514022090027435</v>
      </c>
      <c r="I46" s="197"/>
      <c r="J46" s="235"/>
    </row>
    <row r="47" spans="4:43" ht="13.8">
      <c r="D47" s="243">
        <f>AM34+SUM(AO31:AO34)</f>
        <v>495.39599999999996</v>
      </c>
      <c r="E47" s="197"/>
      <c r="F47" s="235"/>
      <c r="H47" s="286">
        <f t="shared" si="4"/>
        <v>0.66719370995829008</v>
      </c>
      <c r="I47" s="197"/>
      <c r="J47" s="235"/>
    </row>
    <row r="48" spans="4:43" ht="13.8">
      <c r="D48" s="243">
        <f>AM35+AM34+SUM(AO31:AO35)</f>
        <v>561.31499999999994</v>
      </c>
      <c r="E48" s="197"/>
      <c r="F48" s="235"/>
      <c r="H48" s="286">
        <f t="shared" si="4"/>
        <v>0.75597267096471832</v>
      </c>
      <c r="I48" s="197"/>
      <c r="J48" s="235"/>
    </row>
    <row r="49" spans="4:10" ht="13.8">
      <c r="D49" s="244">
        <f>AM36++AM35+AM34+SUM(AO31:AO36)</f>
        <v>606.89899999999989</v>
      </c>
      <c r="E49" s="231"/>
      <c r="F49" s="239"/>
      <c r="H49" s="287">
        <f t="shared" si="4"/>
        <v>0.81736468477738256</v>
      </c>
      <c r="I49" s="231"/>
      <c r="J49" s="239"/>
    </row>
  </sheetData>
  <mergeCells count="56">
    <mergeCell ref="B9:D9"/>
    <mergeCell ref="F9:I9"/>
    <mergeCell ref="K9:M9"/>
    <mergeCell ref="X27:Z27"/>
    <mergeCell ref="AB27:AJ27"/>
    <mergeCell ref="AL27:AQ27"/>
    <mergeCell ref="U3:X3"/>
    <mergeCell ref="Y3:AB3"/>
    <mergeCell ref="AP28:AQ28"/>
    <mergeCell ref="O30:P30"/>
    <mergeCell ref="Q30:R30"/>
    <mergeCell ref="O31:P31"/>
    <mergeCell ref="Q31:R31"/>
    <mergeCell ref="AB28:AD28"/>
    <mergeCell ref="AE28:AG28"/>
    <mergeCell ref="AH28:AJ28"/>
    <mergeCell ref="AL28:AM28"/>
    <mergeCell ref="AN28:AO28"/>
    <mergeCell ref="O32:P32"/>
    <mergeCell ref="Q32:R32"/>
    <mergeCell ref="O33:P33"/>
    <mergeCell ref="Q33:R33"/>
    <mergeCell ref="O34:P34"/>
    <mergeCell ref="Q34:R34"/>
    <mergeCell ref="O35:P35"/>
    <mergeCell ref="Q35:R35"/>
    <mergeCell ref="O36:P36"/>
    <mergeCell ref="Q36:R36"/>
    <mergeCell ref="O37:P37"/>
    <mergeCell ref="Q37:R37"/>
    <mergeCell ref="O38:P38"/>
    <mergeCell ref="Q38:R38"/>
    <mergeCell ref="E39:G39"/>
    <mergeCell ref="O39:P39"/>
    <mergeCell ref="Q39:R39"/>
    <mergeCell ref="D41:F41"/>
    <mergeCell ref="H41:J41"/>
    <mergeCell ref="D42:F42"/>
    <mergeCell ref="H42:J42"/>
    <mergeCell ref="D28:D29"/>
    <mergeCell ref="I15:I16"/>
    <mergeCell ref="S3:S5"/>
    <mergeCell ref="T4:T5"/>
    <mergeCell ref="E28:G29"/>
    <mergeCell ref="I28:J29"/>
    <mergeCell ref="K28:L29"/>
    <mergeCell ref="M28:N29"/>
    <mergeCell ref="O28:P29"/>
    <mergeCell ref="Q28:R29"/>
    <mergeCell ref="F15:F16"/>
    <mergeCell ref="F19:F20"/>
    <mergeCell ref="G15:G16"/>
    <mergeCell ref="H15:H16"/>
    <mergeCell ref="H28:H29"/>
    <mergeCell ref="D27:R27"/>
    <mergeCell ref="T27:V27"/>
  </mergeCells>
  <pageMargins left="0.7" right="0.7" top="0.75" bottom="0.75" header="0.511811023622047" footer="0.511811023622047"/>
  <pageSetup orientation="portrait" horizontalDpi="300" verticalDpi="30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theme="7"/>
  </sheetPr>
  <dimension ref="B2:AQ49"/>
  <sheetViews>
    <sheetView zoomScale="60" zoomScaleNormal="60" workbookViewId="0">
      <selection activeCell="B46" sqref="B46"/>
    </sheetView>
  </sheetViews>
  <sheetFormatPr defaultColWidth="10" defaultRowHeight="16.2" customHeight="1"/>
  <cols>
    <col min="1" max="1" width="10" style="192"/>
    <col min="2" max="2" width="23.8984375" style="192" customWidth="1"/>
    <col min="3" max="3" width="2.3984375" style="192" customWidth="1"/>
    <col min="4" max="4" width="19.5" style="192" customWidth="1"/>
    <col min="5" max="5" width="10" style="192"/>
    <col min="6" max="6" width="16.69921875" style="192" customWidth="1"/>
    <col min="7" max="19" width="10" style="192"/>
    <col min="20" max="20" width="23.5" style="192" customWidth="1"/>
    <col min="21" max="16384" width="10" style="192"/>
  </cols>
  <sheetData>
    <row r="2" spans="2:28" ht="13.8">
      <c r="B2" s="416" t="s">
        <v>116</v>
      </c>
      <c r="C2" s="416"/>
      <c r="D2" s="416"/>
      <c r="E2" s="416"/>
      <c r="F2" s="416"/>
    </row>
    <row r="3" spans="2:28" ht="13.8">
      <c r="S3" s="400" t="s">
        <v>117</v>
      </c>
      <c r="T3" s="278" t="s">
        <v>118</v>
      </c>
      <c r="U3" s="414" t="s">
        <v>119</v>
      </c>
      <c r="V3" s="414"/>
      <c r="W3" s="414"/>
      <c r="X3" s="414"/>
      <c r="Y3" s="415" t="s">
        <v>120</v>
      </c>
      <c r="Z3" s="415"/>
      <c r="AA3" s="415"/>
      <c r="AB3" s="415"/>
    </row>
    <row r="4" spans="2:28" ht="13.8">
      <c r="B4" s="226" t="s">
        <v>121</v>
      </c>
      <c r="C4" s="227" t="s">
        <v>122</v>
      </c>
      <c r="D4" s="228" t="s">
        <v>15</v>
      </c>
      <c r="E4" s="228"/>
      <c r="F4" s="245"/>
      <c r="S4" s="400"/>
      <c r="T4" s="401" t="s">
        <v>124</v>
      </c>
      <c r="U4" s="259" t="s">
        <v>125</v>
      </c>
      <c r="V4" s="259" t="s">
        <v>126</v>
      </c>
      <c r="W4" s="259" t="s">
        <v>127</v>
      </c>
      <c r="X4" s="259" t="s">
        <v>128</v>
      </c>
      <c r="Y4" s="259" t="s">
        <v>125</v>
      </c>
      <c r="Z4" s="259" t="s">
        <v>126</v>
      </c>
      <c r="AA4" s="259" t="s">
        <v>127</v>
      </c>
      <c r="AB4" s="280" t="s">
        <v>128</v>
      </c>
    </row>
    <row r="5" spans="2:28" ht="13.8">
      <c r="B5" s="229" t="s">
        <v>129</v>
      </c>
      <c r="C5" s="197" t="s">
        <v>122</v>
      </c>
      <c r="D5" s="192" t="s">
        <v>225</v>
      </c>
      <c r="F5" s="246"/>
      <c r="P5" s="192">
        <f>1.29+1.518+1.012</f>
        <v>3.82</v>
      </c>
      <c r="S5" s="400"/>
      <c r="T5" s="401"/>
      <c r="U5" s="259" t="s">
        <v>131</v>
      </c>
      <c r="V5" s="259" t="s">
        <v>106</v>
      </c>
      <c r="W5" s="259" t="s">
        <v>106</v>
      </c>
      <c r="X5" s="259" t="s">
        <v>106</v>
      </c>
      <c r="Y5" s="259" t="s">
        <v>131</v>
      </c>
      <c r="Z5" s="259" t="s">
        <v>106</v>
      </c>
      <c r="AA5" s="259" t="s">
        <v>106</v>
      </c>
      <c r="AB5" s="280" t="s">
        <v>106</v>
      </c>
    </row>
    <row r="6" spans="2:28" ht="13.8">
      <c r="B6" s="229" t="s">
        <v>132</v>
      </c>
      <c r="C6" s="197" t="s">
        <v>122</v>
      </c>
      <c r="D6" s="192" t="s">
        <v>226</v>
      </c>
      <c r="F6" s="246"/>
      <c r="S6" s="241">
        <v>1</v>
      </c>
      <c r="T6" s="251" t="s">
        <v>227</v>
      </c>
      <c r="U6" s="251">
        <v>30.032</v>
      </c>
      <c r="V6" s="251">
        <v>1.4790000000000001</v>
      </c>
      <c r="W6" s="251">
        <v>1.585</v>
      </c>
      <c r="X6" s="251">
        <v>20.661999999999999</v>
      </c>
      <c r="Y6" s="251"/>
      <c r="Z6" s="251"/>
      <c r="AA6" s="251"/>
      <c r="AB6" s="263"/>
    </row>
    <row r="7" spans="2:28" ht="13.8">
      <c r="B7" s="230" t="s">
        <v>135</v>
      </c>
      <c r="C7" s="231" t="s">
        <v>122</v>
      </c>
      <c r="D7" s="232" t="s">
        <v>136</v>
      </c>
      <c r="E7" s="232"/>
      <c r="F7" s="247"/>
      <c r="S7" s="241">
        <v>2</v>
      </c>
      <c r="T7" s="251" t="s">
        <v>228</v>
      </c>
      <c r="U7" s="251">
        <v>30.004000000000001</v>
      </c>
      <c r="V7" s="251">
        <v>1.3959999999999999</v>
      </c>
      <c r="W7" s="274">
        <v>1.67</v>
      </c>
      <c r="X7" s="251">
        <v>20.327999999999999</v>
      </c>
      <c r="Y7" s="251"/>
      <c r="Z7" s="251"/>
      <c r="AA7" s="251"/>
      <c r="AB7" s="263"/>
    </row>
    <row r="8" spans="2:28" ht="13.8">
      <c r="S8" s="241">
        <v>3</v>
      </c>
      <c r="T8" s="251" t="s">
        <v>229</v>
      </c>
      <c r="U8" s="251">
        <v>3.02</v>
      </c>
      <c r="V8" s="251">
        <v>1.4690000000000001</v>
      </c>
      <c r="W8" s="251">
        <v>1.496</v>
      </c>
      <c r="X8" s="251">
        <v>18.036000000000001</v>
      </c>
      <c r="Y8" s="251"/>
      <c r="Z8" s="251"/>
      <c r="AA8" s="251"/>
      <c r="AB8" s="263"/>
    </row>
    <row r="9" spans="2:28" ht="13.8">
      <c r="B9" s="416" t="s">
        <v>139</v>
      </c>
      <c r="C9" s="416"/>
      <c r="D9" s="416"/>
      <c r="F9" s="417" t="s">
        <v>140</v>
      </c>
      <c r="G9" s="417"/>
      <c r="H9" s="417"/>
      <c r="I9" s="417"/>
      <c r="K9" s="405" t="s">
        <v>141</v>
      </c>
      <c r="L9" s="405"/>
      <c r="M9" s="405"/>
      <c r="S9" s="241">
        <v>4</v>
      </c>
      <c r="T9" s="288" t="s">
        <v>230</v>
      </c>
      <c r="U9" s="274">
        <v>30.036999999999999</v>
      </c>
      <c r="V9" s="251">
        <v>1.238</v>
      </c>
      <c r="W9" s="251">
        <v>1.5549999999999999</v>
      </c>
      <c r="X9" s="251">
        <v>18.904</v>
      </c>
      <c r="Y9" s="251"/>
      <c r="Z9" s="251"/>
      <c r="AA9" s="251"/>
      <c r="AB9" s="263"/>
    </row>
    <row r="10" spans="2:28" ht="13.8">
      <c r="B10" s="233" t="s">
        <v>108</v>
      </c>
      <c r="C10" s="197" t="s">
        <v>122</v>
      </c>
      <c r="D10" s="234" t="s">
        <v>231</v>
      </c>
      <c r="F10" s="248"/>
      <c r="G10" s="249" t="s">
        <v>126</v>
      </c>
      <c r="H10" s="249" t="s">
        <v>127</v>
      </c>
      <c r="I10" s="261" t="s">
        <v>128</v>
      </c>
      <c r="K10" s="240" t="s">
        <v>144</v>
      </c>
      <c r="L10" s="262">
        <f>(F38/1012)*1000</f>
        <v>0</v>
      </c>
      <c r="M10" s="263" t="s">
        <v>145</v>
      </c>
      <c r="S10" s="241">
        <v>5</v>
      </c>
      <c r="T10" s="251" t="s">
        <v>232</v>
      </c>
      <c r="U10" s="274">
        <v>30.02</v>
      </c>
      <c r="V10" s="251">
        <v>0.29699999999999999</v>
      </c>
      <c r="W10" s="251">
        <v>1.0920000000000001</v>
      </c>
      <c r="X10" s="251">
        <v>17.890999999999998</v>
      </c>
      <c r="Y10" s="251"/>
      <c r="Z10" s="251"/>
      <c r="AA10" s="251"/>
      <c r="AB10" s="263"/>
    </row>
    <row r="11" spans="2:28" ht="13.8">
      <c r="B11" s="233" t="s">
        <v>147</v>
      </c>
      <c r="C11" s="197" t="s">
        <v>122</v>
      </c>
      <c r="D11" s="235">
        <v>1000</v>
      </c>
      <c r="F11" s="250" t="s">
        <v>148</v>
      </c>
      <c r="G11" s="251">
        <f>AVERAGE(V6:V9)</f>
        <v>1.3955000000000002</v>
      </c>
      <c r="H11" s="251">
        <f>AVERAGE(W6:W9)</f>
        <v>1.5764999999999998</v>
      </c>
      <c r="I11" s="263">
        <f>AVERAGE(X6:X9)</f>
        <v>19.482499999999998</v>
      </c>
      <c r="K11" s="240" t="s">
        <v>149</v>
      </c>
      <c r="L11" s="262">
        <f>((1.5-(($J37*1518)/10000000))/1012)*1000</f>
        <v>1.4814634387351779</v>
      </c>
      <c r="M11" s="263" t="s">
        <v>145</v>
      </c>
      <c r="S11" s="241">
        <v>6</v>
      </c>
      <c r="T11" s="251" t="s">
        <v>233</v>
      </c>
      <c r="U11" s="251">
        <v>30.042000000000002</v>
      </c>
      <c r="V11" s="251">
        <v>0.29899999999999999</v>
      </c>
      <c r="W11" s="251">
        <v>0.97399999999999998</v>
      </c>
      <c r="X11" s="274">
        <v>15.98</v>
      </c>
      <c r="Y11" s="251"/>
      <c r="Z11" s="251"/>
      <c r="AA11" s="251"/>
      <c r="AB11" s="263"/>
    </row>
    <row r="12" spans="2:28" ht="13.8">
      <c r="B12" s="233" t="s">
        <v>151</v>
      </c>
      <c r="C12" s="197" t="s">
        <v>122</v>
      </c>
      <c r="D12" s="236">
        <v>0.4</v>
      </c>
      <c r="F12" s="252" t="s">
        <v>152</v>
      </c>
      <c r="G12" s="253">
        <f>AVERAGE(V10:V13)</f>
        <v>0.2555</v>
      </c>
      <c r="H12" s="253">
        <f>AVERAGE(W10:W13)</f>
        <v>1.0385</v>
      </c>
      <c r="I12" s="264">
        <f>AVERAGE(X10:X13)</f>
        <v>15.62</v>
      </c>
      <c r="K12" s="265" t="s">
        <v>153</v>
      </c>
      <c r="L12" s="253"/>
      <c r="M12" s="264"/>
      <c r="S12" s="279">
        <v>7</v>
      </c>
      <c r="T12" s="260" t="s">
        <v>234</v>
      </c>
      <c r="U12" s="260">
        <v>30.045999999999999</v>
      </c>
      <c r="V12" s="260">
        <v>0.193</v>
      </c>
      <c r="W12" s="260">
        <v>1.077</v>
      </c>
      <c r="X12" s="260">
        <v>14.631</v>
      </c>
      <c r="Y12" s="260"/>
      <c r="Z12" s="260"/>
      <c r="AA12" s="260"/>
      <c r="AB12" s="282"/>
    </row>
    <row r="13" spans="2:28" ht="13.8">
      <c r="B13" s="233" t="s">
        <v>155</v>
      </c>
      <c r="C13" s="197" t="s">
        <v>122</v>
      </c>
      <c r="D13" s="236">
        <v>0.8</v>
      </c>
      <c r="S13" s="241">
        <v>8</v>
      </c>
      <c r="T13" s="251" t="s">
        <v>235</v>
      </c>
      <c r="U13" s="251">
        <v>30.036999999999999</v>
      </c>
      <c r="V13" s="251">
        <v>0.23300000000000001</v>
      </c>
      <c r="W13" s="251">
        <v>1.0109999999999999</v>
      </c>
      <c r="X13" s="251">
        <v>13.978</v>
      </c>
      <c r="Y13" s="251"/>
      <c r="Z13" s="251"/>
      <c r="AA13" s="251"/>
      <c r="AB13" s="263"/>
    </row>
    <row r="14" spans="2:28" ht="13.8">
      <c r="B14" s="233" t="s">
        <v>157</v>
      </c>
      <c r="C14" s="197" t="s">
        <v>122</v>
      </c>
      <c r="D14" s="235" t="s">
        <v>158</v>
      </c>
      <c r="F14" s="254" t="s">
        <v>159</v>
      </c>
      <c r="G14" s="255">
        <f>G12*D20</f>
        <v>258.56600000000003</v>
      </c>
      <c r="H14" s="255"/>
      <c r="I14" s="266"/>
      <c r="S14" s="241">
        <v>9</v>
      </c>
      <c r="T14" s="251" t="s">
        <v>160</v>
      </c>
      <c r="U14" s="251"/>
      <c r="V14" s="251"/>
      <c r="W14" s="251"/>
      <c r="X14" s="251"/>
      <c r="Y14" s="251"/>
      <c r="Z14" s="251">
        <v>0.14499999999999999</v>
      </c>
      <c r="AA14" s="251"/>
      <c r="AB14" s="263"/>
    </row>
    <row r="15" spans="2:28" ht="16.2" customHeight="1">
      <c r="B15" s="233" t="s">
        <v>161</v>
      </c>
      <c r="C15" s="197" t="s">
        <v>122</v>
      </c>
      <c r="D15" s="235">
        <v>2.1</v>
      </c>
      <c r="F15" s="403" t="s">
        <v>162</v>
      </c>
      <c r="G15" s="257">
        <f>G14+D49</f>
        <v>533.63599999999997</v>
      </c>
      <c r="H15" s="404"/>
      <c r="I15" s="399"/>
      <c r="S15" s="241">
        <v>10</v>
      </c>
      <c r="T15" s="251" t="s">
        <v>163</v>
      </c>
      <c r="U15" s="251"/>
      <c r="V15" s="251"/>
      <c r="W15" s="251"/>
      <c r="X15" s="251"/>
      <c r="Y15" s="251"/>
      <c r="Z15" s="251">
        <v>0.16200000000000001</v>
      </c>
      <c r="AA15" s="251"/>
      <c r="AB15" s="263"/>
    </row>
    <row r="16" spans="2:28" ht="13.8">
      <c r="B16" s="233" t="s">
        <v>164</v>
      </c>
      <c r="C16" s="197" t="s">
        <v>122</v>
      </c>
      <c r="D16" s="235">
        <v>1.27</v>
      </c>
      <c r="F16" s="403"/>
      <c r="G16" s="257"/>
      <c r="H16" s="404"/>
      <c r="I16" s="399"/>
      <c r="S16" s="279">
        <v>11</v>
      </c>
      <c r="T16" s="260" t="s">
        <v>165</v>
      </c>
      <c r="U16" s="260"/>
      <c r="V16" s="260"/>
      <c r="W16" s="260"/>
      <c r="X16" s="260"/>
      <c r="Y16" s="260"/>
      <c r="Z16" s="260">
        <v>0.17499999999999999</v>
      </c>
      <c r="AA16" s="260"/>
      <c r="AB16" s="282"/>
    </row>
    <row r="17" spans="2:43" ht="13.8">
      <c r="B17" s="233" t="s">
        <v>166</v>
      </c>
      <c r="C17" s="197" t="s">
        <v>122</v>
      </c>
      <c r="D17" s="235">
        <v>2</v>
      </c>
      <c r="S17" s="241">
        <v>12</v>
      </c>
      <c r="T17" s="251" t="s">
        <v>167</v>
      </c>
      <c r="U17" s="251"/>
      <c r="V17" s="251"/>
      <c r="W17" s="251"/>
      <c r="X17" s="251"/>
      <c r="Y17" s="251"/>
      <c r="Z17" s="251">
        <v>0</v>
      </c>
      <c r="AA17" s="251"/>
      <c r="AB17" s="263"/>
    </row>
    <row r="18" spans="2:43" ht="13.8">
      <c r="B18" s="233" t="s">
        <v>168</v>
      </c>
      <c r="C18" s="197" t="s">
        <v>122</v>
      </c>
      <c r="D18" s="235">
        <v>48</v>
      </c>
      <c r="F18" s="254" t="s">
        <v>169</v>
      </c>
      <c r="G18" s="255"/>
      <c r="H18" s="255"/>
      <c r="I18" s="266"/>
      <c r="S18" s="241">
        <v>13</v>
      </c>
      <c r="T18" s="251" t="s">
        <v>170</v>
      </c>
      <c r="U18" s="251"/>
      <c r="V18" s="251"/>
      <c r="W18" s="251"/>
      <c r="X18" s="251"/>
      <c r="Y18" s="251"/>
      <c r="Z18" s="251">
        <v>0.16900000000000001</v>
      </c>
      <c r="AA18" s="251"/>
      <c r="AB18" s="263"/>
    </row>
    <row r="19" spans="2:43" ht="16.2" customHeight="1">
      <c r="B19" s="233" t="s">
        <v>171</v>
      </c>
      <c r="C19" s="197" t="s">
        <v>122</v>
      </c>
      <c r="D19" s="237">
        <v>1290</v>
      </c>
      <c r="F19" s="403" t="s">
        <v>172</v>
      </c>
      <c r="G19" s="258"/>
      <c r="H19" s="258"/>
      <c r="I19" s="268"/>
      <c r="S19" s="242">
        <v>14</v>
      </c>
      <c r="T19" s="253" t="s">
        <v>173</v>
      </c>
      <c r="U19" s="253"/>
      <c r="V19" s="253"/>
      <c r="W19" s="253"/>
      <c r="X19" s="253"/>
      <c r="Y19" s="253"/>
      <c r="Z19" s="253">
        <v>1.0999999999999999E-2</v>
      </c>
      <c r="AA19" s="253"/>
      <c r="AB19" s="264"/>
    </row>
    <row r="20" spans="2:43" ht="13.8">
      <c r="B20" s="233" t="s">
        <v>174</v>
      </c>
      <c r="C20" s="197" t="s">
        <v>122</v>
      </c>
      <c r="D20" s="235">
        <v>1012</v>
      </c>
      <c r="F20" s="403"/>
      <c r="G20" s="257"/>
      <c r="H20" s="257"/>
      <c r="I20" s="267"/>
    </row>
    <row r="21" spans="2:43" ht="13.8">
      <c r="B21" s="233" t="s">
        <v>175</v>
      </c>
      <c r="C21" s="197" t="s">
        <v>122</v>
      </c>
      <c r="D21" s="235">
        <v>1518</v>
      </c>
    </row>
    <row r="22" spans="2:43" ht="13.8">
      <c r="B22" s="233" t="s">
        <v>176</v>
      </c>
      <c r="C22" s="197" t="s">
        <v>122</v>
      </c>
      <c r="D22" s="235">
        <v>2000</v>
      </c>
    </row>
    <row r="23" spans="2:43" ht="13.8">
      <c r="B23" s="238" t="s">
        <v>177</v>
      </c>
      <c r="C23" s="231" t="s">
        <v>122</v>
      </c>
      <c r="D23" s="239">
        <v>1012</v>
      </c>
    </row>
    <row r="24" spans="2:43" ht="13.8">
      <c r="B24" s="197"/>
      <c r="C24" s="197"/>
      <c r="D24" s="197"/>
    </row>
    <row r="27" spans="2:43" ht="13.8">
      <c r="D27" s="413" t="s">
        <v>178</v>
      </c>
      <c r="E27" s="413"/>
      <c r="F27" s="413"/>
      <c r="G27" s="413"/>
      <c r="H27" s="413"/>
      <c r="I27" s="413"/>
      <c r="J27" s="413"/>
      <c r="K27" s="413"/>
      <c r="L27" s="413"/>
      <c r="M27" s="413"/>
      <c r="N27" s="413"/>
      <c r="O27" s="413"/>
      <c r="P27" s="413"/>
      <c r="Q27" s="413"/>
      <c r="R27" s="413"/>
      <c r="T27" s="413" t="s">
        <v>179</v>
      </c>
      <c r="U27" s="413"/>
      <c r="V27" s="413"/>
      <c r="X27" s="413" t="s">
        <v>180</v>
      </c>
      <c r="Y27" s="413"/>
      <c r="Z27" s="413"/>
      <c r="AB27" s="413" t="s">
        <v>181</v>
      </c>
      <c r="AC27" s="413"/>
      <c r="AD27" s="413"/>
      <c r="AE27" s="413"/>
      <c r="AF27" s="413"/>
      <c r="AG27" s="413"/>
      <c r="AH27" s="413"/>
      <c r="AI27" s="413"/>
      <c r="AJ27" s="413"/>
      <c r="AL27" s="413" t="s">
        <v>182</v>
      </c>
      <c r="AM27" s="413"/>
      <c r="AN27" s="413"/>
      <c r="AO27" s="413"/>
      <c r="AP27" s="413"/>
      <c r="AQ27" s="413"/>
    </row>
    <row r="28" spans="2:43" ht="13.8">
      <c r="D28" s="407" t="s">
        <v>185</v>
      </c>
      <c r="E28" s="401" t="s">
        <v>186</v>
      </c>
      <c r="F28" s="401"/>
      <c r="G28" s="401"/>
      <c r="H28" s="401" t="s">
        <v>187</v>
      </c>
      <c r="I28" s="401" t="s">
        <v>188</v>
      </c>
      <c r="J28" s="401"/>
      <c r="K28" s="401" t="s">
        <v>108</v>
      </c>
      <c r="L28" s="401"/>
      <c r="M28" s="401" t="s">
        <v>189</v>
      </c>
      <c r="N28" s="401"/>
      <c r="O28" s="401" t="s">
        <v>190</v>
      </c>
      <c r="P28" s="401"/>
      <c r="Q28" s="402" t="s">
        <v>191</v>
      </c>
      <c r="R28" s="402"/>
      <c r="T28" s="407" t="s">
        <v>192</v>
      </c>
      <c r="U28" s="401" t="s">
        <v>193</v>
      </c>
      <c r="V28" s="402" t="s">
        <v>194</v>
      </c>
      <c r="X28" s="240" t="s">
        <v>192</v>
      </c>
      <c r="Y28" s="259" t="s">
        <v>193</v>
      </c>
      <c r="Z28" s="280" t="s">
        <v>194</v>
      </c>
      <c r="AB28" s="412" t="s">
        <v>126</v>
      </c>
      <c r="AC28" s="412"/>
      <c r="AD28" s="412"/>
      <c r="AE28" s="407" t="s">
        <v>127</v>
      </c>
      <c r="AF28" s="407"/>
      <c r="AG28" s="407"/>
      <c r="AH28" s="402" t="s">
        <v>128</v>
      </c>
      <c r="AI28" s="402"/>
      <c r="AJ28" s="402"/>
      <c r="AL28" s="407" t="s">
        <v>195</v>
      </c>
      <c r="AM28" s="407"/>
      <c r="AN28" s="401" t="s">
        <v>196</v>
      </c>
      <c r="AO28" s="401"/>
      <c r="AP28" s="402" t="s">
        <v>197</v>
      </c>
      <c r="AQ28" s="402"/>
    </row>
    <row r="29" spans="2:43" ht="13.8">
      <c r="D29" s="407"/>
      <c r="E29" s="401"/>
      <c r="F29" s="401"/>
      <c r="G29" s="401"/>
      <c r="H29" s="401"/>
      <c r="I29" s="401"/>
      <c r="J29" s="401"/>
      <c r="K29" s="401"/>
      <c r="L29" s="401"/>
      <c r="M29" s="401"/>
      <c r="N29" s="401"/>
      <c r="O29" s="401"/>
      <c r="P29" s="401"/>
      <c r="Q29" s="402"/>
      <c r="R29" s="402"/>
      <c r="T29" s="407"/>
      <c r="U29" s="401"/>
      <c r="V29" s="402"/>
      <c r="X29" s="240"/>
      <c r="Y29" s="259"/>
      <c r="Z29" s="280"/>
      <c r="AB29" s="240" t="s">
        <v>192</v>
      </c>
      <c r="AC29" s="259" t="s">
        <v>193</v>
      </c>
      <c r="AD29" s="259" t="s">
        <v>194</v>
      </c>
      <c r="AE29" s="259" t="s">
        <v>192</v>
      </c>
      <c r="AF29" s="259" t="s">
        <v>198</v>
      </c>
      <c r="AG29" s="259" t="s">
        <v>194</v>
      </c>
      <c r="AH29" s="259" t="s">
        <v>192</v>
      </c>
      <c r="AI29" s="259" t="s">
        <v>193</v>
      </c>
      <c r="AJ29" s="280" t="s">
        <v>194</v>
      </c>
      <c r="AL29" s="240" t="s">
        <v>199</v>
      </c>
      <c r="AM29" s="259" t="s">
        <v>200</v>
      </c>
      <c r="AN29" s="259" t="s">
        <v>199</v>
      </c>
      <c r="AO29" s="259" t="s">
        <v>201</v>
      </c>
      <c r="AP29" s="259" t="s">
        <v>199</v>
      </c>
      <c r="AQ29" s="280" t="s">
        <v>201</v>
      </c>
    </row>
    <row r="30" spans="2:43" ht="13.8">
      <c r="C30" s="197"/>
      <c r="D30" s="240" t="s">
        <v>202</v>
      </c>
      <c r="E30" s="259" t="s">
        <v>203</v>
      </c>
      <c r="F30" s="259" t="s">
        <v>204</v>
      </c>
      <c r="G30" s="259" t="s">
        <v>205</v>
      </c>
      <c r="H30" s="259" t="s">
        <v>106</v>
      </c>
      <c r="I30" s="259" t="s">
        <v>206</v>
      </c>
      <c r="J30" s="259" t="s">
        <v>207</v>
      </c>
      <c r="K30" s="259" t="s">
        <v>206</v>
      </c>
      <c r="L30" s="259" t="s">
        <v>207</v>
      </c>
      <c r="M30" s="259" t="s">
        <v>206</v>
      </c>
      <c r="N30" s="259" t="s">
        <v>207</v>
      </c>
      <c r="O30" s="401" t="s">
        <v>208</v>
      </c>
      <c r="P30" s="401"/>
      <c r="Q30" s="402" t="s">
        <v>208</v>
      </c>
      <c r="R30" s="402"/>
      <c r="T30" s="240" t="s">
        <v>208</v>
      </c>
      <c r="U30" s="259" t="s">
        <v>209</v>
      </c>
      <c r="V30" s="280" t="s">
        <v>209</v>
      </c>
      <c r="X30" s="240" t="s">
        <v>209</v>
      </c>
      <c r="Y30" s="259" t="s">
        <v>208</v>
      </c>
      <c r="Z30" s="280" t="s">
        <v>209</v>
      </c>
      <c r="AB30" s="241"/>
      <c r="AC30" s="251"/>
      <c r="AD30" s="251"/>
      <c r="AE30" s="251"/>
      <c r="AF30" s="251"/>
      <c r="AG30" s="251"/>
      <c r="AH30" s="251"/>
      <c r="AI30" s="251"/>
      <c r="AJ30" s="263"/>
      <c r="AL30" s="241"/>
      <c r="AM30" s="251"/>
      <c r="AN30" s="251"/>
      <c r="AO30" s="251"/>
      <c r="AP30" s="251"/>
      <c r="AQ30" s="263"/>
    </row>
    <row r="31" spans="2:43" ht="13.8">
      <c r="D31" s="241">
        <v>0</v>
      </c>
      <c r="E31" s="251">
        <v>1.52</v>
      </c>
      <c r="F31" s="251">
        <v>0</v>
      </c>
      <c r="G31" s="251"/>
      <c r="H31" s="251"/>
      <c r="I31" s="251">
        <v>0</v>
      </c>
      <c r="J31" s="251">
        <v>1000</v>
      </c>
      <c r="K31" s="251">
        <v>0</v>
      </c>
      <c r="L31" s="251">
        <v>8.9</v>
      </c>
      <c r="M31" s="273">
        <v>3820</v>
      </c>
      <c r="N31" s="273">
        <v>3820</v>
      </c>
      <c r="O31" s="408">
        <v>2000</v>
      </c>
      <c r="P31" s="408"/>
      <c r="Q31" s="409"/>
      <c r="R31" s="409"/>
      <c r="T31" s="241">
        <f>D20</f>
        <v>1012</v>
      </c>
      <c r="U31" s="251">
        <f>M31-$D$20-$D$19</f>
        <v>1518</v>
      </c>
      <c r="V31" s="263"/>
      <c r="X31" s="241"/>
      <c r="Y31" s="251">
        <v>40</v>
      </c>
      <c r="Z31" s="263"/>
      <c r="AB31" s="241"/>
      <c r="AC31" s="251">
        <f t="shared" ref="AC31:AC36" si="0">Z14</f>
        <v>0.14499999999999999</v>
      </c>
      <c r="AD31" s="251"/>
      <c r="AE31" s="251"/>
      <c r="AF31" s="251"/>
      <c r="AG31" s="251"/>
      <c r="AH31" s="251"/>
      <c r="AI31" s="251"/>
      <c r="AJ31" s="263"/>
      <c r="AL31" s="241"/>
      <c r="AM31" s="285">
        <f t="shared" ref="AM31:AM36" si="1">AC31*U32</f>
        <v>211.26499999999999</v>
      </c>
      <c r="AN31" s="251"/>
      <c r="AO31" s="251">
        <f t="shared" ref="AO31:AO36" si="2">AC31*Y32</f>
        <v>5.8</v>
      </c>
      <c r="AP31" s="251"/>
      <c r="AQ31" s="263"/>
    </row>
    <row r="32" spans="2:43" ht="13.8">
      <c r="D32" s="241">
        <v>2</v>
      </c>
      <c r="E32" s="251"/>
      <c r="F32" s="251">
        <v>0</v>
      </c>
      <c r="G32" s="251"/>
      <c r="H32" s="251"/>
      <c r="I32" s="251"/>
      <c r="J32" s="251">
        <v>20</v>
      </c>
      <c r="K32" s="251"/>
      <c r="L32" s="251">
        <v>8.6</v>
      </c>
      <c r="M32" s="273">
        <v>3759</v>
      </c>
      <c r="N32" s="273">
        <v>3820</v>
      </c>
      <c r="O32" s="408">
        <v>2000</v>
      </c>
      <c r="P32" s="408"/>
      <c r="Q32" s="409">
        <v>40</v>
      </c>
      <c r="R32" s="409"/>
      <c r="T32" s="241"/>
      <c r="U32" s="251">
        <f>M32-$D$20-$D$19</f>
        <v>1457</v>
      </c>
      <c r="V32" s="263"/>
      <c r="X32" s="241"/>
      <c r="Y32" s="251">
        <v>40</v>
      </c>
      <c r="Z32" s="263"/>
      <c r="AB32" s="241"/>
      <c r="AC32" s="251">
        <f t="shared" si="0"/>
        <v>0.16200000000000001</v>
      </c>
      <c r="AD32" s="251"/>
      <c r="AE32" s="251"/>
      <c r="AF32" s="251"/>
      <c r="AG32" s="251"/>
      <c r="AH32" s="251"/>
      <c r="AI32" s="251"/>
      <c r="AJ32" s="263"/>
      <c r="AL32" s="241"/>
      <c r="AM32" s="285">
        <f t="shared" si="1"/>
        <v>231.33600000000001</v>
      </c>
      <c r="AN32" s="251"/>
      <c r="AO32" s="251">
        <f t="shared" si="2"/>
        <v>6.48</v>
      </c>
      <c r="AP32" s="251"/>
      <c r="AQ32" s="263"/>
    </row>
    <row r="33" spans="4:43" ht="13.8">
      <c r="D33" s="241">
        <v>4</v>
      </c>
      <c r="E33" s="251"/>
      <c r="F33" s="251"/>
      <c r="G33" s="251"/>
      <c r="H33" s="251"/>
      <c r="I33" s="251"/>
      <c r="J33" s="251">
        <v>5</v>
      </c>
      <c r="K33" s="251"/>
      <c r="L33" s="251">
        <v>8.6</v>
      </c>
      <c r="M33" s="273">
        <v>3730</v>
      </c>
      <c r="N33" s="273">
        <v>3820</v>
      </c>
      <c r="O33" s="408">
        <v>2000</v>
      </c>
      <c r="P33" s="408"/>
      <c r="Q33" s="409">
        <v>40</v>
      </c>
      <c r="R33" s="409"/>
      <c r="T33" s="241"/>
      <c r="U33" s="251">
        <f>M33-$D$20-$D$19</f>
        <v>1428</v>
      </c>
      <c r="V33" s="263"/>
      <c r="X33" s="241"/>
      <c r="Y33" s="251">
        <v>40</v>
      </c>
      <c r="Z33" s="263"/>
      <c r="AB33" s="241"/>
      <c r="AC33" s="251">
        <f t="shared" si="0"/>
        <v>0.17499999999999999</v>
      </c>
      <c r="AD33" s="251"/>
      <c r="AE33" s="251"/>
      <c r="AF33" s="251"/>
      <c r="AG33" s="251"/>
      <c r="AH33" s="251"/>
      <c r="AI33" s="251"/>
      <c r="AJ33" s="263"/>
      <c r="AL33" s="241"/>
      <c r="AM33" s="285">
        <f t="shared" si="1"/>
        <v>241.14999999999998</v>
      </c>
      <c r="AN33" s="251"/>
      <c r="AO33" s="251">
        <f t="shared" si="2"/>
        <v>7</v>
      </c>
      <c r="AP33" s="251"/>
      <c r="AQ33" s="263"/>
    </row>
    <row r="34" spans="4:43" ht="13.8">
      <c r="D34" s="241">
        <v>8</v>
      </c>
      <c r="E34" s="251"/>
      <c r="F34" s="251">
        <v>0</v>
      </c>
      <c r="G34" s="251"/>
      <c r="H34" s="251"/>
      <c r="I34" s="251"/>
      <c r="J34" s="251">
        <v>5</v>
      </c>
      <c r="K34" s="251"/>
      <c r="L34" s="251">
        <v>8.9</v>
      </c>
      <c r="M34" s="273">
        <v>3680</v>
      </c>
      <c r="N34" s="273">
        <v>3820</v>
      </c>
      <c r="O34" s="408">
        <v>2000</v>
      </c>
      <c r="P34" s="408"/>
      <c r="Q34" s="409">
        <v>40</v>
      </c>
      <c r="R34" s="409"/>
      <c r="T34" s="241"/>
      <c r="U34" s="251">
        <f>M34-$D$20-$D$19</f>
        <v>1378</v>
      </c>
      <c r="V34" s="263"/>
      <c r="X34" s="241"/>
      <c r="Y34" s="251">
        <v>40</v>
      </c>
      <c r="Z34" s="263"/>
      <c r="AB34" s="241"/>
      <c r="AC34" s="251">
        <f t="shared" si="0"/>
        <v>0</v>
      </c>
      <c r="AD34" s="251"/>
      <c r="AE34" s="251"/>
      <c r="AF34" s="251"/>
      <c r="AG34" s="251"/>
      <c r="AH34" s="251"/>
      <c r="AI34" s="251"/>
      <c r="AJ34" s="263"/>
      <c r="AL34" s="241"/>
      <c r="AM34" s="285">
        <f t="shared" si="1"/>
        <v>0</v>
      </c>
      <c r="AN34" s="251"/>
      <c r="AO34" s="251">
        <f t="shared" si="2"/>
        <v>0</v>
      </c>
      <c r="AP34" s="251"/>
      <c r="AQ34" s="263"/>
    </row>
    <row r="35" spans="4:43" ht="13.8">
      <c r="D35" s="241">
        <v>12</v>
      </c>
      <c r="E35" s="251"/>
      <c r="F35" s="251"/>
      <c r="G35" s="251"/>
      <c r="H35" s="251"/>
      <c r="I35" s="251"/>
      <c r="J35" s="251"/>
      <c r="K35" s="251"/>
      <c r="L35" s="251"/>
      <c r="M35" s="273"/>
      <c r="N35" s="273"/>
      <c r="O35" s="408">
        <v>2000</v>
      </c>
      <c r="P35" s="408"/>
      <c r="Q35" s="409">
        <v>40</v>
      </c>
      <c r="R35" s="409"/>
      <c r="T35" s="241"/>
      <c r="U35" s="251"/>
      <c r="V35" s="263"/>
      <c r="X35" s="241"/>
      <c r="Y35" s="251">
        <v>40</v>
      </c>
      <c r="Z35" s="263"/>
      <c r="AB35" s="241"/>
      <c r="AC35" s="251">
        <f t="shared" si="0"/>
        <v>0.16900000000000001</v>
      </c>
      <c r="AD35" s="251"/>
      <c r="AE35" s="251"/>
      <c r="AF35" s="251"/>
      <c r="AG35" s="251"/>
      <c r="AH35" s="251"/>
      <c r="AI35" s="251"/>
      <c r="AJ35" s="263"/>
      <c r="AL35" s="241"/>
      <c r="AM35" s="285">
        <f t="shared" si="1"/>
        <v>232.88200000000001</v>
      </c>
      <c r="AN35" s="251"/>
      <c r="AO35" s="251">
        <f t="shared" si="2"/>
        <v>6.7600000000000007</v>
      </c>
      <c r="AP35" s="251"/>
      <c r="AQ35" s="263"/>
    </row>
    <row r="36" spans="4:43" ht="13.8">
      <c r="D36" s="241">
        <v>24</v>
      </c>
      <c r="E36" s="251"/>
      <c r="F36" s="251">
        <v>0</v>
      </c>
      <c r="G36" s="251">
        <v>4</v>
      </c>
      <c r="H36" s="251"/>
      <c r="I36" s="251"/>
      <c r="J36" s="251">
        <v>5</v>
      </c>
      <c r="K36" s="251"/>
      <c r="L36" s="251">
        <v>8.9</v>
      </c>
      <c r="M36" s="273">
        <v>3680</v>
      </c>
      <c r="N36" s="273">
        <v>3820</v>
      </c>
      <c r="O36" s="408">
        <v>2000</v>
      </c>
      <c r="P36" s="408"/>
      <c r="Q36" s="409">
        <v>40</v>
      </c>
      <c r="R36" s="409"/>
      <c r="T36" s="241"/>
      <c r="U36" s="251">
        <f>M36-$D$20-$D$19</f>
        <v>1378</v>
      </c>
      <c r="V36" s="263"/>
      <c r="X36" s="241"/>
      <c r="Y36" s="251">
        <v>40</v>
      </c>
      <c r="Z36" s="263"/>
      <c r="AB36" s="241">
        <f>G12</f>
        <v>0.2555</v>
      </c>
      <c r="AC36" s="251">
        <f t="shared" si="0"/>
        <v>1.0999999999999999E-2</v>
      </c>
      <c r="AD36" s="251"/>
      <c r="AE36" s="251">
        <f>H12</f>
        <v>1.0385</v>
      </c>
      <c r="AF36" s="251"/>
      <c r="AG36" s="251"/>
      <c r="AH36" s="251">
        <f>I12</f>
        <v>15.62</v>
      </c>
      <c r="AI36" s="251"/>
      <c r="AJ36" s="263"/>
      <c r="AL36" s="241">
        <f>AB36*D20</f>
        <v>258.56600000000003</v>
      </c>
      <c r="AM36" s="285">
        <f t="shared" si="1"/>
        <v>15.707999999999998</v>
      </c>
      <c r="AN36" s="251"/>
      <c r="AO36" s="251">
        <f t="shared" si="2"/>
        <v>0.43999999999999995</v>
      </c>
      <c r="AP36" s="251"/>
      <c r="AQ36" s="263"/>
    </row>
    <row r="37" spans="4:43" ht="13.8">
      <c r="D37" s="241">
        <v>48</v>
      </c>
      <c r="E37" s="251"/>
      <c r="F37" s="251">
        <v>0</v>
      </c>
      <c r="G37" s="251"/>
      <c r="H37" s="251"/>
      <c r="I37" s="251"/>
      <c r="J37" s="251">
        <v>5</v>
      </c>
      <c r="K37" s="251"/>
      <c r="L37" s="251">
        <v>8</v>
      </c>
      <c r="M37" s="273">
        <v>3730</v>
      </c>
      <c r="N37" s="273"/>
      <c r="O37" s="408">
        <v>2000</v>
      </c>
      <c r="P37" s="408"/>
      <c r="Q37" s="409">
        <v>40</v>
      </c>
      <c r="R37" s="409"/>
      <c r="T37" s="241"/>
      <c r="U37" s="251">
        <f>M37-$D$20-$D$19</f>
        <v>1428</v>
      </c>
      <c r="V37" s="263"/>
      <c r="X37" s="241">
        <f>D20</f>
        <v>1012</v>
      </c>
      <c r="Y37" s="251">
        <v>40</v>
      </c>
      <c r="Z37" s="263">
        <f>G35</f>
        <v>0</v>
      </c>
      <c r="AB37" s="229"/>
      <c r="AC37" s="251"/>
      <c r="AD37" s="251"/>
      <c r="AE37" s="251"/>
      <c r="AF37" s="251"/>
      <c r="AG37" s="251"/>
      <c r="AH37" s="251"/>
      <c r="AI37" s="251"/>
      <c r="AJ37" s="263"/>
      <c r="AL37" s="241"/>
      <c r="AM37" s="251"/>
      <c r="AN37" s="251"/>
      <c r="AO37" s="251"/>
      <c r="AP37" s="251"/>
      <c r="AQ37" s="263"/>
    </row>
    <row r="38" spans="4:43" ht="13.8">
      <c r="D38" s="241" t="s">
        <v>210</v>
      </c>
      <c r="E38" s="251">
        <v>1.52</v>
      </c>
      <c r="F38" s="251">
        <f>SUM(F31:F37)</f>
        <v>0</v>
      </c>
      <c r="G38" s="251">
        <v>4</v>
      </c>
      <c r="H38" s="251"/>
      <c r="I38" s="251"/>
      <c r="J38" s="251"/>
      <c r="K38" s="251"/>
      <c r="L38" s="251"/>
      <c r="M38" s="273"/>
      <c r="N38" s="273"/>
      <c r="O38" s="408"/>
      <c r="P38" s="408"/>
      <c r="Q38" s="409"/>
      <c r="R38" s="409"/>
      <c r="T38" s="241"/>
      <c r="U38" s="251"/>
      <c r="V38" s="263"/>
      <c r="X38" s="241"/>
      <c r="Y38" s="251"/>
      <c r="Z38" s="263"/>
      <c r="AB38" s="241"/>
      <c r="AC38" s="251"/>
      <c r="AD38" s="251"/>
      <c r="AE38" s="251"/>
      <c r="AF38" s="251"/>
      <c r="AG38" s="251"/>
      <c r="AH38" s="251"/>
      <c r="AI38" s="251"/>
      <c r="AJ38" s="263"/>
      <c r="AL38" s="241"/>
      <c r="AM38" s="251"/>
      <c r="AN38" s="251"/>
      <c r="AO38" s="251"/>
      <c r="AP38" s="251"/>
      <c r="AQ38" s="263"/>
    </row>
    <row r="39" spans="4:43" ht="13.8">
      <c r="D39" s="242" t="s">
        <v>211</v>
      </c>
      <c r="E39" s="410">
        <v>0</v>
      </c>
      <c r="F39" s="410"/>
      <c r="G39" s="410"/>
      <c r="H39" s="253"/>
      <c r="I39" s="253"/>
      <c r="J39" s="253"/>
      <c r="K39" s="253"/>
      <c r="L39" s="253"/>
      <c r="M39" s="290"/>
      <c r="N39" s="290"/>
      <c r="O39" s="410"/>
      <c r="P39" s="410"/>
      <c r="Q39" s="411"/>
      <c r="R39" s="411"/>
      <c r="T39" s="242"/>
      <c r="U39" s="253"/>
      <c r="V39" s="264"/>
      <c r="X39" s="242"/>
      <c r="Y39" s="253"/>
      <c r="Z39" s="264"/>
      <c r="AB39" s="242"/>
      <c r="AC39" s="253"/>
      <c r="AD39" s="253"/>
      <c r="AE39" s="253"/>
      <c r="AF39" s="253"/>
      <c r="AG39" s="253"/>
      <c r="AH39" s="253"/>
      <c r="AI39" s="253"/>
      <c r="AJ39" s="264"/>
      <c r="AL39" s="242"/>
      <c r="AM39" s="253"/>
      <c r="AN39" s="253"/>
      <c r="AO39" s="253"/>
      <c r="AP39" s="253"/>
      <c r="AQ39" s="264"/>
    </row>
    <row r="41" spans="4:43" ht="13.8">
      <c r="D41" s="405" t="s">
        <v>212</v>
      </c>
      <c r="E41" s="405"/>
      <c r="F41" s="405"/>
      <c r="H41" s="405" t="s">
        <v>213</v>
      </c>
      <c r="I41" s="405"/>
      <c r="J41" s="405"/>
      <c r="L41" s="405" t="s">
        <v>236</v>
      </c>
      <c r="M41" s="405"/>
      <c r="N41" s="405"/>
    </row>
    <row r="42" spans="4:43" ht="13.8">
      <c r="D42" s="406" t="s">
        <v>214</v>
      </c>
      <c r="E42" s="406"/>
      <c r="F42" s="406"/>
      <c r="H42" s="406" t="s">
        <v>215</v>
      </c>
      <c r="I42" s="406"/>
      <c r="J42" s="406"/>
      <c r="L42" s="418">
        <f>(G11-G12)/G11</f>
        <v>0.81691150125403078</v>
      </c>
      <c r="M42" s="418"/>
      <c r="N42" s="418"/>
    </row>
    <row r="43" spans="4:43" ht="13.8">
      <c r="D43" s="243" t="s">
        <v>126</v>
      </c>
      <c r="E43" s="197" t="s">
        <v>127</v>
      </c>
      <c r="F43" s="235" t="s">
        <v>128</v>
      </c>
      <c r="H43" s="243" t="s">
        <v>126</v>
      </c>
      <c r="I43" s="197" t="s">
        <v>127</v>
      </c>
      <c r="J43" s="235" t="s">
        <v>128</v>
      </c>
    </row>
    <row r="44" spans="4:43" ht="13.8">
      <c r="D44" s="243">
        <f>AM31+AO31</f>
        <v>217.065</v>
      </c>
      <c r="E44" s="197"/>
      <c r="F44" s="235"/>
      <c r="H44" s="286">
        <f t="shared" ref="H44:H49" si="3">D44/$G$15</f>
        <v>0.40676603527498145</v>
      </c>
      <c r="I44" s="197"/>
      <c r="J44" s="235"/>
    </row>
    <row r="45" spans="4:43" ht="13.8">
      <c r="D45" s="243">
        <f>AM32+SUM(AO31:AO32)</f>
        <v>243.61600000000001</v>
      </c>
      <c r="E45" s="197"/>
      <c r="F45" s="235"/>
      <c r="H45" s="286">
        <f t="shared" si="3"/>
        <v>0.45652092437541703</v>
      </c>
      <c r="I45" s="197"/>
      <c r="J45" s="235"/>
    </row>
    <row r="46" spans="4:43" ht="13.8">
      <c r="D46" s="243">
        <f>AM33+SUM(AO31:AO33)</f>
        <v>260.42999999999995</v>
      </c>
      <c r="E46" s="197"/>
      <c r="F46" s="235"/>
      <c r="H46" s="286">
        <f t="shared" si="3"/>
        <v>0.48802929337600903</v>
      </c>
      <c r="I46" s="197"/>
      <c r="J46" s="235"/>
    </row>
    <row r="47" spans="4:43" ht="13.8">
      <c r="D47" s="243">
        <f>AM34+SUM(AO31:AO34)</f>
        <v>19.28</v>
      </c>
      <c r="E47" s="197"/>
      <c r="F47" s="235"/>
      <c r="H47" s="286">
        <f t="shared" si="3"/>
        <v>3.6129496510730164E-2</v>
      </c>
      <c r="I47" s="197"/>
      <c r="J47" s="235"/>
    </row>
    <row r="48" spans="4:43" ht="13.8">
      <c r="D48" s="243">
        <f>AM35+AM34+SUM(AO31:AO35)</f>
        <v>258.92200000000003</v>
      </c>
      <c r="E48" s="197"/>
      <c r="F48" s="235"/>
      <c r="H48" s="286">
        <f t="shared" si="3"/>
        <v>0.48520339707216165</v>
      </c>
      <c r="I48" s="197"/>
      <c r="J48" s="235"/>
    </row>
    <row r="49" spans="4:10" ht="13.8">
      <c r="D49" s="244">
        <f>AM36++AM35+AM34+SUM(AO31:AO36)</f>
        <v>275.07</v>
      </c>
      <c r="E49" s="231"/>
      <c r="F49" s="239"/>
      <c r="H49" s="287">
        <f t="shared" si="3"/>
        <v>0.51546372433643906</v>
      </c>
      <c r="I49" s="231"/>
      <c r="J49" s="239"/>
    </row>
  </sheetData>
  <mergeCells count="61">
    <mergeCell ref="X27:Z27"/>
    <mergeCell ref="AB27:AJ27"/>
    <mergeCell ref="AL27:AQ27"/>
    <mergeCell ref="B2:F2"/>
    <mergeCell ref="U3:X3"/>
    <mergeCell ref="Y3:AB3"/>
    <mergeCell ref="B9:D9"/>
    <mergeCell ref="F9:I9"/>
    <mergeCell ref="K9:M9"/>
    <mergeCell ref="AP28:AQ28"/>
    <mergeCell ref="O30:P30"/>
    <mergeCell ref="Q30:R30"/>
    <mergeCell ref="O31:P31"/>
    <mergeCell ref="Q31:R31"/>
    <mergeCell ref="V28:V29"/>
    <mergeCell ref="AB28:AD28"/>
    <mergeCell ref="AE28:AG28"/>
    <mergeCell ref="AH28:AJ28"/>
    <mergeCell ref="AL28:AM28"/>
    <mergeCell ref="AN28:AO28"/>
    <mergeCell ref="O32:P32"/>
    <mergeCell ref="Q32:R32"/>
    <mergeCell ref="O33:P33"/>
    <mergeCell ref="Q33:R33"/>
    <mergeCell ref="O34:P34"/>
    <mergeCell ref="Q34:R34"/>
    <mergeCell ref="O35:P35"/>
    <mergeCell ref="Q35:R35"/>
    <mergeCell ref="O36:P36"/>
    <mergeCell ref="Q36:R36"/>
    <mergeCell ref="O37:P37"/>
    <mergeCell ref="Q37:R37"/>
    <mergeCell ref="O38:P38"/>
    <mergeCell ref="Q38:R38"/>
    <mergeCell ref="E39:G39"/>
    <mergeCell ref="O39:P39"/>
    <mergeCell ref="Q39:R39"/>
    <mergeCell ref="D41:F41"/>
    <mergeCell ref="H41:J41"/>
    <mergeCell ref="L41:N41"/>
    <mergeCell ref="D42:F42"/>
    <mergeCell ref="H42:J42"/>
    <mergeCell ref="L42:N42"/>
    <mergeCell ref="D28:D29"/>
    <mergeCell ref="F15:F16"/>
    <mergeCell ref="F19:F20"/>
    <mergeCell ref="H15:H16"/>
    <mergeCell ref="H28:H29"/>
    <mergeCell ref="E28:G29"/>
    <mergeCell ref="D27:R27"/>
    <mergeCell ref="I15:I16"/>
    <mergeCell ref="S3:S5"/>
    <mergeCell ref="T4:T5"/>
    <mergeCell ref="T28:T29"/>
    <mergeCell ref="U28:U29"/>
    <mergeCell ref="I28:J29"/>
    <mergeCell ref="K28:L29"/>
    <mergeCell ref="M28:N29"/>
    <mergeCell ref="O28:P29"/>
    <mergeCell ref="Q28:R29"/>
    <mergeCell ref="T27:V27"/>
  </mergeCells>
  <pageMargins left="0.7" right="0.7" top="0.75" bottom="0.75" header="0.511811023622047" footer="0.511811023622047"/>
  <pageSetup orientation="portrait" horizontalDpi="300" verticalDpi="300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tabColor theme="7"/>
  </sheetPr>
  <dimension ref="B2:AQ51"/>
  <sheetViews>
    <sheetView zoomScale="60" zoomScaleNormal="60" workbookViewId="0">
      <selection activeCell="B42" sqref="B42"/>
    </sheetView>
  </sheetViews>
  <sheetFormatPr defaultColWidth="10" defaultRowHeight="16.2" customHeight="1"/>
  <cols>
    <col min="1" max="1" width="10" style="192"/>
    <col min="2" max="2" width="23.8984375" style="192" customWidth="1"/>
    <col min="3" max="3" width="2.3984375" style="192" customWidth="1"/>
    <col min="4" max="4" width="19.5" style="192" customWidth="1"/>
    <col min="5" max="5" width="10" style="192"/>
    <col min="6" max="6" width="16.69921875" style="192" customWidth="1"/>
    <col min="7" max="7" width="11.09765625" style="192" customWidth="1"/>
    <col min="8" max="12" width="10" style="192"/>
    <col min="13" max="13" width="13" style="192" customWidth="1"/>
    <col min="14" max="19" width="10" style="192"/>
    <col min="20" max="20" width="27" style="192" customWidth="1"/>
    <col min="21" max="16384" width="10" style="192"/>
  </cols>
  <sheetData>
    <row r="2" spans="2:28" ht="13.8">
      <c r="B2" s="416" t="s">
        <v>116</v>
      </c>
      <c r="C2" s="416"/>
      <c r="D2" s="416"/>
      <c r="E2" s="416"/>
      <c r="F2" s="416"/>
    </row>
    <row r="4" spans="2:28" ht="13.8">
      <c r="B4" s="226" t="s">
        <v>121</v>
      </c>
      <c r="C4" s="227" t="s">
        <v>122</v>
      </c>
      <c r="D4" s="228" t="s">
        <v>237</v>
      </c>
      <c r="E4" s="228"/>
      <c r="F4" s="245"/>
      <c r="S4" s="400" t="s">
        <v>117</v>
      </c>
      <c r="T4" s="278" t="s">
        <v>118</v>
      </c>
      <c r="U4" s="414" t="s">
        <v>119</v>
      </c>
      <c r="V4" s="414"/>
      <c r="W4" s="414"/>
      <c r="X4" s="414"/>
      <c r="Y4" s="415" t="s">
        <v>120</v>
      </c>
      <c r="Z4" s="415"/>
      <c r="AA4" s="415"/>
      <c r="AB4" s="415"/>
    </row>
    <row r="5" spans="2:28" ht="13.8">
      <c r="B5" s="229" t="s">
        <v>129</v>
      </c>
      <c r="C5" s="197" t="s">
        <v>122</v>
      </c>
      <c r="D5" s="192" t="s">
        <v>238</v>
      </c>
      <c r="F5" s="246"/>
      <c r="S5" s="400"/>
      <c r="T5" s="401" t="s">
        <v>124</v>
      </c>
      <c r="U5" s="259" t="s">
        <v>125</v>
      </c>
      <c r="V5" s="259" t="s">
        <v>126</v>
      </c>
      <c r="W5" s="259" t="s">
        <v>127</v>
      </c>
      <c r="X5" s="259" t="s">
        <v>128</v>
      </c>
      <c r="Y5" s="259" t="s">
        <v>125</v>
      </c>
      <c r="Z5" s="259" t="s">
        <v>126</v>
      </c>
      <c r="AA5" s="259" t="s">
        <v>127</v>
      </c>
      <c r="AB5" s="280" t="s">
        <v>128</v>
      </c>
    </row>
    <row r="6" spans="2:28" ht="13.8">
      <c r="B6" s="229" t="s">
        <v>132</v>
      </c>
      <c r="C6" s="197" t="s">
        <v>122</v>
      </c>
      <c r="D6" s="192" t="s">
        <v>226</v>
      </c>
      <c r="F6" s="246"/>
      <c r="S6" s="400"/>
      <c r="T6" s="401"/>
      <c r="U6" s="259" t="s">
        <v>131</v>
      </c>
      <c r="V6" s="259" t="s">
        <v>106</v>
      </c>
      <c r="W6" s="259" t="s">
        <v>106</v>
      </c>
      <c r="X6" s="259" t="s">
        <v>106</v>
      </c>
      <c r="Y6" s="259" t="s">
        <v>131</v>
      </c>
      <c r="Z6" s="259" t="s">
        <v>106</v>
      </c>
      <c r="AA6" s="259" t="s">
        <v>106</v>
      </c>
      <c r="AB6" s="280" t="s">
        <v>106</v>
      </c>
    </row>
    <row r="7" spans="2:28" ht="13.8">
      <c r="B7" s="230" t="s">
        <v>135</v>
      </c>
      <c r="C7" s="231" t="s">
        <v>122</v>
      </c>
      <c r="D7" s="232" t="s">
        <v>136</v>
      </c>
      <c r="E7" s="232"/>
      <c r="F7" s="247"/>
      <c r="S7" s="241">
        <v>1</v>
      </c>
      <c r="T7" s="251" t="s">
        <v>239</v>
      </c>
      <c r="U7" s="274">
        <v>30.05</v>
      </c>
      <c r="V7" s="251">
        <v>1.6879999999999999</v>
      </c>
      <c r="W7" s="251">
        <v>1.456</v>
      </c>
      <c r="X7" s="251">
        <v>25.547000000000001</v>
      </c>
      <c r="Y7" s="251"/>
      <c r="Z7" s="251"/>
      <c r="AA7" s="251"/>
      <c r="AB7" s="263"/>
    </row>
    <row r="8" spans="2:28" ht="13.8">
      <c r="S8" s="241">
        <v>2</v>
      </c>
      <c r="T8" s="251" t="s">
        <v>240</v>
      </c>
      <c r="U8" s="251">
        <v>3.0139999999999998</v>
      </c>
      <c r="V8" s="251">
        <v>1.264</v>
      </c>
      <c r="W8" s="274">
        <v>3.4660000000000002</v>
      </c>
      <c r="X8" s="251">
        <v>26.228999999999999</v>
      </c>
      <c r="Y8" s="251"/>
      <c r="Z8" s="251"/>
      <c r="AA8" s="251"/>
      <c r="AB8" s="263"/>
    </row>
    <row r="9" spans="2:28" ht="13.8">
      <c r="B9" s="416" t="s">
        <v>139</v>
      </c>
      <c r="C9" s="416"/>
      <c r="D9" s="416"/>
      <c r="F9" s="417" t="s">
        <v>140</v>
      </c>
      <c r="G9" s="417"/>
      <c r="H9" s="417"/>
      <c r="I9" s="417"/>
      <c r="K9" s="405" t="s">
        <v>141</v>
      </c>
      <c r="L9" s="405"/>
      <c r="M9" s="405"/>
      <c r="S9" s="241">
        <v>3</v>
      </c>
      <c r="T9" s="251" t="s">
        <v>241</v>
      </c>
      <c r="U9" s="251">
        <v>3.0259999999999998</v>
      </c>
      <c r="V9" s="274">
        <v>1.1200000000000001</v>
      </c>
      <c r="W9" s="251">
        <v>3.4060000000000001</v>
      </c>
      <c r="X9" s="251">
        <v>28.253</v>
      </c>
      <c r="Y9" s="251"/>
      <c r="Z9" s="251"/>
      <c r="AA9" s="251"/>
      <c r="AB9" s="263"/>
    </row>
    <row r="10" spans="2:28" ht="13.8">
      <c r="B10" s="233" t="s">
        <v>108</v>
      </c>
      <c r="C10" s="197" t="s">
        <v>122</v>
      </c>
      <c r="D10" s="234" t="s">
        <v>143</v>
      </c>
      <c r="F10" s="248"/>
      <c r="G10" s="249" t="s">
        <v>126</v>
      </c>
      <c r="H10" s="249" t="s">
        <v>127</v>
      </c>
      <c r="I10" s="261" t="s">
        <v>128</v>
      </c>
      <c r="K10" s="240" t="s">
        <v>144</v>
      </c>
      <c r="L10" s="262">
        <f>(F38/1012)*1000</f>
        <v>8.3992094861660078</v>
      </c>
      <c r="M10" s="263" t="s">
        <v>145</v>
      </c>
      <c r="S10" s="241">
        <v>4</v>
      </c>
      <c r="T10" s="288" t="s">
        <v>242</v>
      </c>
      <c r="U10" s="274">
        <v>30.032</v>
      </c>
      <c r="V10" s="251">
        <v>1.3260000000000001</v>
      </c>
      <c r="W10" s="251">
        <v>2.6259999999999999</v>
      </c>
      <c r="X10" s="251">
        <v>26.076000000000001</v>
      </c>
      <c r="Y10" s="251"/>
      <c r="Z10" s="251"/>
      <c r="AA10" s="251"/>
      <c r="AB10" s="263"/>
    </row>
    <row r="11" spans="2:28" ht="13.8">
      <c r="B11" s="233" t="s">
        <v>147</v>
      </c>
      <c r="C11" s="197" t="s">
        <v>122</v>
      </c>
      <c r="D11" s="235">
        <v>1000</v>
      </c>
      <c r="F11" s="250" t="s">
        <v>148</v>
      </c>
      <c r="G11" s="251">
        <f>AVERAGE(V7:V10)</f>
        <v>1.3494999999999999</v>
      </c>
      <c r="H11" s="251">
        <f>AVERAGE(W7:W10)</f>
        <v>2.7385000000000002</v>
      </c>
      <c r="I11" s="263">
        <f>AVERAGE(X7:X10)</f>
        <v>26.526249999999997</v>
      </c>
      <c r="K11" s="240" t="s">
        <v>149</v>
      </c>
      <c r="L11" s="262">
        <f>((1.5-(($J37*1518)/10000000))/1012)*1000</f>
        <v>1.4222134387351779</v>
      </c>
      <c r="M11" s="263" t="s">
        <v>145</v>
      </c>
      <c r="S11" s="241">
        <v>5</v>
      </c>
      <c r="T11" s="251" t="s">
        <v>243</v>
      </c>
      <c r="U11" s="274">
        <v>30.047999999999998</v>
      </c>
      <c r="V11" s="251">
        <v>0.14699999999999999</v>
      </c>
      <c r="W11" s="251">
        <v>0.60499999999999998</v>
      </c>
      <c r="X11" s="251">
        <v>25.190999999999999</v>
      </c>
      <c r="Y11" s="251"/>
      <c r="Z11" s="251"/>
      <c r="AA11" s="251"/>
      <c r="AB11" s="263"/>
    </row>
    <row r="12" spans="2:28" ht="13.8">
      <c r="B12" s="233" t="s">
        <v>151</v>
      </c>
      <c r="C12" s="197" t="s">
        <v>122</v>
      </c>
      <c r="D12" s="236">
        <v>0.4</v>
      </c>
      <c r="F12" s="252" t="s">
        <v>152</v>
      </c>
      <c r="G12" s="253">
        <f>AVERAGE(V11:V14)</f>
        <v>0.17249999999999999</v>
      </c>
      <c r="H12" s="253">
        <f>AVERAGE(W11:W14)</f>
        <v>0.79625000000000001</v>
      </c>
      <c r="I12" s="264">
        <f>AVERAGE(X11:X14)</f>
        <v>24.89425</v>
      </c>
      <c r="K12" s="265" t="s">
        <v>153</v>
      </c>
      <c r="L12" s="253"/>
      <c r="M12" s="264"/>
      <c r="S12" s="241">
        <v>6</v>
      </c>
      <c r="T12" s="251" t="s">
        <v>244</v>
      </c>
      <c r="U12" s="251">
        <v>30.026</v>
      </c>
      <c r="V12" s="251">
        <v>0.215</v>
      </c>
      <c r="W12" s="251">
        <v>0.68100000000000005</v>
      </c>
      <c r="X12" s="274">
        <v>23.954999999999998</v>
      </c>
      <c r="Y12" s="251"/>
      <c r="Z12" s="251"/>
      <c r="AA12" s="251"/>
      <c r="AB12" s="263"/>
    </row>
    <row r="13" spans="2:28" ht="13.8">
      <c r="B13" s="233" t="s">
        <v>155</v>
      </c>
      <c r="C13" s="197" t="s">
        <v>122</v>
      </c>
      <c r="D13" s="236">
        <v>0.8</v>
      </c>
      <c r="S13" s="279">
        <v>7</v>
      </c>
      <c r="T13" s="251" t="s">
        <v>245</v>
      </c>
      <c r="U13" s="260">
        <v>30.013999999999999</v>
      </c>
      <c r="V13" s="260">
        <v>0.17299999999999999</v>
      </c>
      <c r="W13" s="260">
        <v>1.2509999999999999</v>
      </c>
      <c r="X13" s="260">
        <v>25.385999999999999</v>
      </c>
      <c r="Y13" s="260"/>
      <c r="Z13" s="260"/>
      <c r="AA13" s="260"/>
      <c r="AB13" s="282"/>
    </row>
    <row r="14" spans="2:28" ht="13.8">
      <c r="B14" s="233" t="s">
        <v>157</v>
      </c>
      <c r="C14" s="197" t="s">
        <v>122</v>
      </c>
      <c r="D14" s="235" t="s">
        <v>158</v>
      </c>
      <c r="F14" s="254" t="s">
        <v>159</v>
      </c>
      <c r="G14" s="255">
        <f>G12*D20</f>
        <v>174.57</v>
      </c>
      <c r="H14" s="255"/>
      <c r="I14" s="266"/>
      <c r="S14" s="241">
        <v>8</v>
      </c>
      <c r="T14" s="251" t="s">
        <v>246</v>
      </c>
      <c r="U14" s="251">
        <v>30.047000000000001</v>
      </c>
      <c r="V14" s="251">
        <v>0.155</v>
      </c>
      <c r="W14" s="251">
        <v>0.64800000000000002</v>
      </c>
      <c r="X14" s="251">
        <v>25.045000000000002</v>
      </c>
      <c r="Y14" s="251"/>
      <c r="Z14" s="251"/>
      <c r="AA14" s="251"/>
      <c r="AB14" s="263"/>
    </row>
    <row r="15" spans="2:28" ht="16.2" customHeight="1">
      <c r="B15" s="233" t="s">
        <v>161</v>
      </c>
      <c r="C15" s="197" t="s">
        <v>122</v>
      </c>
      <c r="D15" s="235">
        <v>2.1</v>
      </c>
      <c r="F15" s="403" t="s">
        <v>162</v>
      </c>
      <c r="G15" s="404">
        <f>G14+D49</f>
        <v>1138.857</v>
      </c>
      <c r="H15" s="404"/>
      <c r="I15" s="399"/>
      <c r="S15" s="241">
        <v>9</v>
      </c>
      <c r="T15" s="251" t="s">
        <v>160</v>
      </c>
      <c r="U15" s="251"/>
      <c r="V15" s="251"/>
      <c r="W15" s="251"/>
      <c r="X15" s="251"/>
      <c r="Y15" s="251"/>
      <c r="Z15" s="251">
        <v>0.252</v>
      </c>
      <c r="AA15" s="251"/>
      <c r="AB15" s="263"/>
    </row>
    <row r="16" spans="2:28" ht="13.8">
      <c r="B16" s="233" t="s">
        <v>164</v>
      </c>
      <c r="C16" s="197" t="s">
        <v>122</v>
      </c>
      <c r="D16" s="235">
        <v>1.27</v>
      </c>
      <c r="F16" s="403"/>
      <c r="G16" s="404"/>
      <c r="H16" s="404"/>
      <c r="I16" s="399"/>
      <c r="S16" s="241">
        <v>10</v>
      </c>
      <c r="T16" s="251" t="s">
        <v>163</v>
      </c>
      <c r="U16" s="251"/>
      <c r="V16" s="251"/>
      <c r="W16" s="251"/>
      <c r="X16" s="251"/>
      <c r="Y16" s="251"/>
      <c r="Z16" s="251">
        <v>0.38500000000000001</v>
      </c>
      <c r="AA16" s="251"/>
      <c r="AB16" s="263"/>
    </row>
    <row r="17" spans="2:43" ht="13.8">
      <c r="B17" s="233" t="s">
        <v>166</v>
      </c>
      <c r="C17" s="197" t="s">
        <v>122</v>
      </c>
      <c r="D17" s="235">
        <v>2</v>
      </c>
      <c r="M17" s="192">
        <f>(1.3-0.17)/1.3</f>
        <v>0.86923076923076925</v>
      </c>
      <c r="S17" s="241">
        <v>11</v>
      </c>
      <c r="T17" s="251" t="s">
        <v>165</v>
      </c>
      <c r="U17" s="251"/>
      <c r="V17" s="251"/>
      <c r="W17" s="251"/>
      <c r="X17" s="251"/>
      <c r="Y17" s="251"/>
      <c r="Z17" s="251">
        <v>0.38900000000000001</v>
      </c>
      <c r="AA17" s="251"/>
      <c r="AB17" s="263"/>
    </row>
    <row r="18" spans="2:43" ht="13.8">
      <c r="B18" s="233" t="s">
        <v>168</v>
      </c>
      <c r="C18" s="197" t="s">
        <v>122</v>
      </c>
      <c r="D18" s="235">
        <v>48</v>
      </c>
      <c r="F18" s="254" t="s">
        <v>169</v>
      </c>
      <c r="G18" s="255"/>
      <c r="H18" s="255"/>
      <c r="I18" s="266"/>
      <c r="S18" s="241">
        <v>12</v>
      </c>
      <c r="T18" s="251" t="s">
        <v>167</v>
      </c>
      <c r="Z18" s="197">
        <v>0.38700000000000001</v>
      </c>
      <c r="AA18" s="260"/>
      <c r="AB18" s="282"/>
    </row>
    <row r="19" spans="2:43" ht="16.2" customHeight="1">
      <c r="B19" s="233" t="s">
        <v>171</v>
      </c>
      <c r="C19" s="197" t="s">
        <v>122</v>
      </c>
      <c r="D19" s="237">
        <v>1280</v>
      </c>
      <c r="F19" s="403" t="s">
        <v>172</v>
      </c>
      <c r="G19" s="258"/>
      <c r="H19" s="258"/>
      <c r="I19" s="268"/>
      <c r="S19" s="241">
        <v>13</v>
      </c>
      <c r="T19" s="251" t="s">
        <v>170</v>
      </c>
      <c r="U19" s="251"/>
      <c r="V19" s="251"/>
      <c r="W19" s="251"/>
      <c r="X19" s="251"/>
      <c r="Y19" s="251"/>
      <c r="Z19" s="289">
        <v>7.4999999999999997E-2</v>
      </c>
      <c r="AA19" s="197"/>
      <c r="AB19" s="235"/>
    </row>
    <row r="20" spans="2:43" ht="13.8">
      <c r="B20" s="233" t="s">
        <v>174</v>
      </c>
      <c r="C20" s="197" t="s">
        <v>122</v>
      </c>
      <c r="D20" s="235">
        <v>1012</v>
      </c>
      <c r="F20" s="403"/>
      <c r="G20" s="257"/>
      <c r="H20" s="257"/>
      <c r="I20" s="267"/>
      <c r="S20" s="242">
        <v>14</v>
      </c>
      <c r="T20" s="253" t="s">
        <v>173</v>
      </c>
      <c r="U20" s="253"/>
      <c r="V20" s="253"/>
      <c r="W20" s="253"/>
      <c r="X20" s="253"/>
      <c r="Y20" s="253"/>
      <c r="Z20" s="284">
        <v>0.14199999999999999</v>
      </c>
      <c r="AA20" s="232"/>
      <c r="AB20" s="247"/>
    </row>
    <row r="21" spans="2:43" ht="13.8">
      <c r="B21" s="233" t="s">
        <v>175</v>
      </c>
      <c r="C21" s="197" t="s">
        <v>122</v>
      </c>
      <c r="D21" s="235">
        <v>1518</v>
      </c>
    </row>
    <row r="22" spans="2:43" ht="13.8">
      <c r="B22" s="233" t="s">
        <v>176</v>
      </c>
      <c r="C22" s="197" t="s">
        <v>122</v>
      </c>
      <c r="D22" s="235">
        <v>2000</v>
      </c>
    </row>
    <row r="23" spans="2:43" ht="13.8">
      <c r="B23" s="238" t="s">
        <v>177</v>
      </c>
      <c r="C23" s="231" t="s">
        <v>122</v>
      </c>
      <c r="D23" s="239">
        <v>1012</v>
      </c>
    </row>
    <row r="24" spans="2:43" ht="13.8">
      <c r="B24" s="197"/>
      <c r="C24" s="197"/>
      <c r="D24" s="197"/>
    </row>
    <row r="27" spans="2:43" ht="13.8">
      <c r="D27" s="413" t="s">
        <v>178</v>
      </c>
      <c r="E27" s="413"/>
      <c r="F27" s="413"/>
      <c r="G27" s="413"/>
      <c r="H27" s="413"/>
      <c r="I27" s="413"/>
      <c r="J27" s="413"/>
      <c r="K27" s="413"/>
      <c r="L27" s="413"/>
      <c r="M27" s="413"/>
      <c r="N27" s="413"/>
      <c r="O27" s="413"/>
      <c r="P27" s="413"/>
      <c r="Q27" s="413"/>
      <c r="R27" s="413"/>
      <c r="T27" s="413" t="s">
        <v>179</v>
      </c>
      <c r="U27" s="413"/>
      <c r="V27" s="413"/>
      <c r="X27" s="413" t="s">
        <v>180</v>
      </c>
      <c r="Y27" s="413"/>
      <c r="Z27" s="413"/>
      <c r="AB27" s="413" t="s">
        <v>181</v>
      </c>
      <c r="AC27" s="413"/>
      <c r="AD27" s="413"/>
      <c r="AE27" s="413"/>
      <c r="AF27" s="413"/>
      <c r="AG27" s="413"/>
      <c r="AH27" s="413"/>
      <c r="AI27" s="413"/>
      <c r="AJ27" s="413"/>
      <c r="AL27" s="413" t="s">
        <v>182</v>
      </c>
      <c r="AM27" s="413"/>
      <c r="AN27" s="413"/>
      <c r="AO27" s="413"/>
      <c r="AP27" s="413"/>
      <c r="AQ27" s="413"/>
    </row>
    <row r="28" spans="2:43" ht="13.8">
      <c r="D28" s="407" t="s">
        <v>185</v>
      </c>
      <c r="E28" s="401" t="s">
        <v>186</v>
      </c>
      <c r="F28" s="401"/>
      <c r="G28" s="401"/>
      <c r="H28" s="401" t="s">
        <v>187</v>
      </c>
      <c r="I28" s="401" t="s">
        <v>188</v>
      </c>
      <c r="J28" s="401"/>
      <c r="K28" s="401" t="s">
        <v>108</v>
      </c>
      <c r="L28" s="401"/>
      <c r="M28" s="401" t="s">
        <v>189</v>
      </c>
      <c r="N28" s="401"/>
      <c r="O28" s="401" t="s">
        <v>190</v>
      </c>
      <c r="P28" s="401"/>
      <c r="Q28" s="402" t="s">
        <v>191</v>
      </c>
      <c r="R28" s="402"/>
      <c r="T28" s="407" t="s">
        <v>192</v>
      </c>
      <c r="U28" s="401" t="s">
        <v>193</v>
      </c>
      <c r="V28" s="402" t="s">
        <v>194</v>
      </c>
      <c r="X28" s="240" t="s">
        <v>192</v>
      </c>
      <c r="Y28" s="259" t="s">
        <v>193</v>
      </c>
      <c r="Z28" s="280" t="s">
        <v>194</v>
      </c>
      <c r="AB28" s="412" t="s">
        <v>126</v>
      </c>
      <c r="AC28" s="412"/>
      <c r="AD28" s="412"/>
      <c r="AE28" s="407" t="s">
        <v>127</v>
      </c>
      <c r="AF28" s="407"/>
      <c r="AG28" s="407"/>
      <c r="AH28" s="402" t="s">
        <v>128</v>
      </c>
      <c r="AI28" s="402"/>
      <c r="AJ28" s="402"/>
      <c r="AL28" s="407" t="s">
        <v>195</v>
      </c>
      <c r="AM28" s="407"/>
      <c r="AN28" s="401" t="s">
        <v>196</v>
      </c>
      <c r="AO28" s="401"/>
      <c r="AP28" s="402" t="s">
        <v>197</v>
      </c>
      <c r="AQ28" s="402"/>
    </row>
    <row r="29" spans="2:43" ht="13.8">
      <c r="D29" s="407"/>
      <c r="E29" s="401"/>
      <c r="F29" s="401"/>
      <c r="G29" s="401"/>
      <c r="H29" s="401"/>
      <c r="I29" s="401"/>
      <c r="J29" s="401"/>
      <c r="K29" s="401"/>
      <c r="L29" s="401"/>
      <c r="M29" s="401"/>
      <c r="N29" s="401"/>
      <c r="O29" s="401"/>
      <c r="P29" s="401"/>
      <c r="Q29" s="402"/>
      <c r="R29" s="402"/>
      <c r="T29" s="407"/>
      <c r="U29" s="401"/>
      <c r="V29" s="402"/>
      <c r="X29" s="240"/>
      <c r="Y29" s="259"/>
      <c r="Z29" s="280"/>
      <c r="AB29" s="240" t="s">
        <v>192</v>
      </c>
      <c r="AC29" s="259" t="s">
        <v>193</v>
      </c>
      <c r="AD29" s="259" t="s">
        <v>194</v>
      </c>
      <c r="AE29" s="259" t="s">
        <v>192</v>
      </c>
      <c r="AF29" s="259" t="s">
        <v>198</v>
      </c>
      <c r="AG29" s="259" t="s">
        <v>194</v>
      </c>
      <c r="AH29" s="259" t="s">
        <v>192</v>
      </c>
      <c r="AI29" s="259" t="s">
        <v>193</v>
      </c>
      <c r="AJ29" s="280" t="s">
        <v>194</v>
      </c>
      <c r="AL29" s="240" t="s">
        <v>199</v>
      </c>
      <c r="AM29" s="259" t="s">
        <v>200</v>
      </c>
      <c r="AN29" s="259" t="s">
        <v>199</v>
      </c>
      <c r="AO29" s="259" t="s">
        <v>201</v>
      </c>
      <c r="AP29" s="259" t="s">
        <v>199</v>
      </c>
      <c r="AQ29" s="280" t="s">
        <v>201</v>
      </c>
    </row>
    <row r="30" spans="2:43" ht="13.8">
      <c r="C30" s="197"/>
      <c r="D30" s="240" t="s">
        <v>202</v>
      </c>
      <c r="E30" s="259" t="s">
        <v>203</v>
      </c>
      <c r="F30" s="259" t="s">
        <v>204</v>
      </c>
      <c r="G30" s="259" t="s">
        <v>205</v>
      </c>
      <c r="H30" s="259" t="s">
        <v>106</v>
      </c>
      <c r="I30" s="259" t="s">
        <v>206</v>
      </c>
      <c r="J30" s="259" t="s">
        <v>207</v>
      </c>
      <c r="K30" s="259" t="s">
        <v>206</v>
      </c>
      <c r="L30" s="259" t="s">
        <v>207</v>
      </c>
      <c r="M30" s="259" t="s">
        <v>206</v>
      </c>
      <c r="N30" s="259" t="s">
        <v>207</v>
      </c>
      <c r="O30" s="401" t="s">
        <v>208</v>
      </c>
      <c r="P30" s="401"/>
      <c r="Q30" s="402" t="s">
        <v>208</v>
      </c>
      <c r="R30" s="402"/>
      <c r="T30" s="240" t="s">
        <v>208</v>
      </c>
      <c r="U30" s="259" t="s">
        <v>209</v>
      </c>
      <c r="V30" s="280" t="s">
        <v>209</v>
      </c>
      <c r="X30" s="240" t="s">
        <v>209</v>
      </c>
      <c r="Y30" s="259" t="s">
        <v>208</v>
      </c>
      <c r="Z30" s="280" t="s">
        <v>209</v>
      </c>
      <c r="AB30" s="241"/>
      <c r="AC30" s="251"/>
      <c r="AD30" s="251"/>
      <c r="AE30" s="251"/>
      <c r="AF30" s="251"/>
      <c r="AG30" s="251"/>
      <c r="AH30" s="251"/>
      <c r="AI30" s="251"/>
      <c r="AJ30" s="263"/>
      <c r="AL30" s="241"/>
      <c r="AM30" s="251"/>
      <c r="AN30" s="251"/>
      <c r="AO30" s="251"/>
      <c r="AP30" s="251"/>
      <c r="AQ30" s="263"/>
    </row>
    <row r="31" spans="2:43" ht="13.8">
      <c r="D31" s="241">
        <v>0</v>
      </c>
      <c r="E31" s="251">
        <v>1.52</v>
      </c>
      <c r="F31" s="251">
        <v>5</v>
      </c>
      <c r="G31" s="251"/>
      <c r="H31" s="251"/>
      <c r="I31" s="251">
        <v>0</v>
      </c>
      <c r="J31" s="251">
        <v>1000</v>
      </c>
      <c r="K31" s="251">
        <v>7.4</v>
      </c>
      <c r="L31" s="251">
        <v>11.5</v>
      </c>
      <c r="M31" s="273">
        <v>3785</v>
      </c>
      <c r="N31" s="274">
        <v>3.7850000000000001</v>
      </c>
      <c r="O31" s="408">
        <v>2000</v>
      </c>
      <c r="P31" s="408"/>
      <c r="Q31" s="409"/>
      <c r="R31" s="409"/>
      <c r="T31" s="241">
        <f>D20</f>
        <v>1012</v>
      </c>
      <c r="U31" s="251">
        <f t="shared" ref="U31:U37" si="0">M31-$D$20-$D$19</f>
        <v>1493</v>
      </c>
      <c r="V31" s="263"/>
      <c r="X31" s="241"/>
      <c r="Y31" s="251">
        <v>40</v>
      </c>
      <c r="Z31" s="263"/>
      <c r="AB31" s="241"/>
      <c r="AC31" s="251">
        <f t="shared" ref="AC31:AC36" si="1">Z15</f>
        <v>0.252</v>
      </c>
      <c r="AD31" s="251"/>
      <c r="AE31" s="251"/>
      <c r="AF31" s="251"/>
      <c r="AG31" s="251"/>
      <c r="AH31" s="251"/>
      <c r="AI31" s="251"/>
      <c r="AJ31" s="263"/>
      <c r="AL31" s="241"/>
      <c r="AM31" s="285">
        <f t="shared" ref="AM31:AM36" si="2">AC31*U32</f>
        <v>374.976</v>
      </c>
      <c r="AN31" s="251"/>
      <c r="AO31" s="251">
        <f t="shared" ref="AO31:AO36" si="3">AC31*Y32</f>
        <v>10.08</v>
      </c>
      <c r="AP31" s="251"/>
      <c r="AQ31" s="263"/>
    </row>
    <row r="32" spans="2:43" ht="13.8">
      <c r="D32" s="241">
        <v>2</v>
      </c>
      <c r="E32" s="251"/>
      <c r="F32" s="251">
        <v>0</v>
      </c>
      <c r="G32" s="251"/>
      <c r="H32" s="251"/>
      <c r="I32" s="251"/>
      <c r="J32" s="251">
        <v>800</v>
      </c>
      <c r="K32" s="251">
        <v>11.3</v>
      </c>
      <c r="L32" s="251">
        <v>11.3</v>
      </c>
      <c r="M32" s="273">
        <v>3780</v>
      </c>
      <c r="N32" s="274">
        <v>3.7850000000000001</v>
      </c>
      <c r="O32" s="408">
        <v>2000</v>
      </c>
      <c r="P32" s="408"/>
      <c r="Q32" s="409">
        <v>40</v>
      </c>
      <c r="R32" s="409"/>
      <c r="T32" s="241"/>
      <c r="U32" s="251">
        <f t="shared" si="0"/>
        <v>1488</v>
      </c>
      <c r="V32" s="263"/>
      <c r="X32" s="241"/>
      <c r="Y32" s="251">
        <v>40</v>
      </c>
      <c r="Z32" s="263"/>
      <c r="AB32" s="241"/>
      <c r="AC32" s="251">
        <f t="shared" si="1"/>
        <v>0.38500000000000001</v>
      </c>
      <c r="AD32" s="251"/>
      <c r="AE32" s="251"/>
      <c r="AF32" s="251"/>
      <c r="AG32" s="251"/>
      <c r="AH32" s="251"/>
      <c r="AI32" s="251"/>
      <c r="AJ32" s="263"/>
      <c r="AL32" s="241"/>
      <c r="AM32" s="285">
        <f t="shared" si="2"/>
        <v>572.88</v>
      </c>
      <c r="AN32" s="251"/>
      <c r="AO32" s="251">
        <f t="shared" si="3"/>
        <v>15.4</v>
      </c>
      <c r="AP32" s="251"/>
      <c r="AQ32" s="263"/>
    </row>
    <row r="33" spans="4:43" ht="13.8">
      <c r="D33" s="241">
        <v>4</v>
      </c>
      <c r="E33" s="251"/>
      <c r="F33" s="251">
        <v>0</v>
      </c>
      <c r="G33" s="251"/>
      <c r="H33" s="251"/>
      <c r="I33" s="251"/>
      <c r="J33" s="251">
        <v>720</v>
      </c>
      <c r="K33" s="251">
        <v>11.1</v>
      </c>
      <c r="L33" s="251">
        <v>11.1</v>
      </c>
      <c r="M33" s="273">
        <v>3780</v>
      </c>
      <c r="N33" s="274">
        <v>3.7850000000000001</v>
      </c>
      <c r="O33" s="408">
        <v>2000</v>
      </c>
      <c r="P33" s="408"/>
      <c r="Q33" s="409">
        <v>40</v>
      </c>
      <c r="R33" s="409"/>
      <c r="T33" s="241"/>
      <c r="U33" s="251">
        <f t="shared" si="0"/>
        <v>1488</v>
      </c>
      <c r="V33" s="263"/>
      <c r="X33" s="241"/>
      <c r="Y33" s="251">
        <v>40</v>
      </c>
      <c r="Z33" s="263"/>
      <c r="AB33" s="241"/>
      <c r="AC33" s="251">
        <f t="shared" si="1"/>
        <v>0.38900000000000001</v>
      </c>
      <c r="AD33" s="251"/>
      <c r="AE33" s="251"/>
      <c r="AF33" s="251"/>
      <c r="AG33" s="251"/>
      <c r="AH33" s="251"/>
      <c r="AI33" s="251"/>
      <c r="AJ33" s="263"/>
      <c r="AL33" s="241"/>
      <c r="AM33" s="285">
        <f t="shared" si="2"/>
        <v>576.88700000000006</v>
      </c>
      <c r="AN33" s="251"/>
      <c r="AO33" s="251">
        <f t="shared" si="3"/>
        <v>15.56</v>
      </c>
      <c r="AP33" s="251"/>
      <c r="AQ33" s="263"/>
    </row>
    <row r="34" spans="4:43" ht="13.8">
      <c r="D34" s="241">
        <v>8</v>
      </c>
      <c r="E34" s="251"/>
      <c r="F34" s="251">
        <v>1</v>
      </c>
      <c r="G34" s="251"/>
      <c r="H34" s="251"/>
      <c r="I34" s="251"/>
      <c r="J34" s="251">
        <v>640</v>
      </c>
      <c r="K34" s="251">
        <v>10.8</v>
      </c>
      <c r="L34" s="251">
        <v>11.4</v>
      </c>
      <c r="M34" s="273">
        <v>3775</v>
      </c>
      <c r="N34" s="274">
        <v>3.7850000000000001</v>
      </c>
      <c r="O34" s="408">
        <v>2000</v>
      </c>
      <c r="P34" s="408"/>
      <c r="Q34" s="409">
        <v>40</v>
      </c>
      <c r="R34" s="409"/>
      <c r="T34" s="241"/>
      <c r="U34" s="251">
        <f t="shared" si="0"/>
        <v>1483</v>
      </c>
      <c r="V34" s="263"/>
      <c r="X34" s="241"/>
      <c r="Y34" s="251">
        <v>40</v>
      </c>
      <c r="Z34" s="263"/>
      <c r="AB34" s="241"/>
      <c r="AC34" s="251">
        <f t="shared" si="1"/>
        <v>0.38700000000000001</v>
      </c>
      <c r="AD34" s="251"/>
      <c r="AE34" s="251"/>
      <c r="AF34" s="251"/>
      <c r="AG34" s="251"/>
      <c r="AH34" s="251"/>
      <c r="AI34" s="251"/>
      <c r="AJ34" s="263"/>
      <c r="AL34" s="241"/>
      <c r="AM34" s="285">
        <f t="shared" si="2"/>
        <v>575.85599999999999</v>
      </c>
      <c r="AN34" s="251"/>
      <c r="AO34" s="251">
        <f t="shared" si="3"/>
        <v>15.48</v>
      </c>
      <c r="AP34" s="251"/>
      <c r="AQ34" s="263"/>
    </row>
    <row r="35" spans="4:43" ht="13.8">
      <c r="D35" s="241">
        <v>12</v>
      </c>
      <c r="E35" s="251"/>
      <c r="F35" s="251">
        <v>0</v>
      </c>
      <c r="G35" s="251">
        <v>4</v>
      </c>
      <c r="H35" s="251"/>
      <c r="I35" s="251"/>
      <c r="J35" s="251">
        <v>600</v>
      </c>
      <c r="K35" s="251">
        <v>11.1</v>
      </c>
      <c r="L35" s="251">
        <v>11.1</v>
      </c>
      <c r="M35" s="273">
        <v>3780</v>
      </c>
      <c r="N35" s="274">
        <v>3.79</v>
      </c>
      <c r="O35" s="408">
        <v>2000</v>
      </c>
      <c r="P35" s="408"/>
      <c r="Q35" s="409">
        <v>40</v>
      </c>
      <c r="R35" s="409"/>
      <c r="T35" s="241"/>
      <c r="U35" s="251">
        <f t="shared" si="0"/>
        <v>1488</v>
      </c>
      <c r="V35" s="263"/>
      <c r="X35" s="241"/>
      <c r="Y35" s="251">
        <v>40</v>
      </c>
      <c r="Z35" s="263"/>
      <c r="AB35" s="241"/>
      <c r="AC35" s="251">
        <f t="shared" si="1"/>
        <v>7.4999999999999997E-2</v>
      </c>
      <c r="AD35" s="251"/>
      <c r="AE35" s="251"/>
      <c r="AF35" s="251"/>
      <c r="AG35" s="251"/>
      <c r="AH35" s="251"/>
      <c r="AI35" s="251"/>
      <c r="AJ35" s="263"/>
      <c r="AL35" s="241"/>
      <c r="AM35" s="285">
        <f t="shared" si="2"/>
        <v>111.22499999999999</v>
      </c>
      <c r="AN35" s="251"/>
      <c r="AO35" s="251">
        <f t="shared" si="3"/>
        <v>3</v>
      </c>
      <c r="AP35" s="251"/>
      <c r="AQ35" s="263"/>
    </row>
    <row r="36" spans="4:43" ht="13.8">
      <c r="D36" s="241">
        <v>24</v>
      </c>
      <c r="E36" s="251"/>
      <c r="F36" s="251">
        <v>1</v>
      </c>
      <c r="G36" s="251"/>
      <c r="H36" s="251"/>
      <c r="I36" s="251"/>
      <c r="J36" s="251">
        <v>520</v>
      </c>
      <c r="K36" s="251">
        <v>10.8</v>
      </c>
      <c r="L36" s="251">
        <v>11.5</v>
      </c>
      <c r="M36" s="273">
        <v>3775</v>
      </c>
      <c r="N36" s="274">
        <v>3.79</v>
      </c>
      <c r="O36" s="408">
        <v>2000</v>
      </c>
      <c r="P36" s="408"/>
      <c r="Q36" s="409">
        <v>40</v>
      </c>
      <c r="R36" s="409"/>
      <c r="T36" s="241"/>
      <c r="U36" s="251">
        <f t="shared" si="0"/>
        <v>1483</v>
      </c>
      <c r="V36" s="263"/>
      <c r="X36" s="241"/>
      <c r="Y36" s="251">
        <v>40</v>
      </c>
      <c r="Z36" s="263"/>
      <c r="AB36" s="241">
        <f>G12</f>
        <v>0.17249999999999999</v>
      </c>
      <c r="AC36" s="251">
        <f t="shared" si="1"/>
        <v>0.14199999999999999</v>
      </c>
      <c r="AD36" s="251"/>
      <c r="AE36" s="251">
        <f>H12</f>
        <v>0.79625000000000001</v>
      </c>
      <c r="AF36" s="251"/>
      <c r="AG36" s="251"/>
      <c r="AH36" s="251">
        <f>I12</f>
        <v>24.89425</v>
      </c>
      <c r="AI36" s="251"/>
      <c r="AJ36" s="263"/>
      <c r="AL36" s="241">
        <f>AB36*D20</f>
        <v>174.57</v>
      </c>
      <c r="AM36" s="285">
        <f t="shared" si="2"/>
        <v>212.00599999999997</v>
      </c>
      <c r="AN36" s="251"/>
      <c r="AO36" s="251">
        <f t="shared" si="3"/>
        <v>5.68</v>
      </c>
      <c r="AP36" s="251"/>
      <c r="AQ36" s="263"/>
    </row>
    <row r="37" spans="4:43" ht="13.8">
      <c r="D37" s="241">
        <v>48</v>
      </c>
      <c r="E37" s="251"/>
      <c r="F37" s="251">
        <v>1.5</v>
      </c>
      <c r="G37" s="251"/>
      <c r="H37" s="251"/>
      <c r="I37" s="251"/>
      <c r="J37" s="251">
        <v>400</v>
      </c>
      <c r="K37" s="251">
        <v>10.9</v>
      </c>
      <c r="L37" s="251">
        <v>11.5</v>
      </c>
      <c r="M37" s="273">
        <v>3785</v>
      </c>
      <c r="N37" s="274">
        <v>3.79</v>
      </c>
      <c r="O37" s="408">
        <v>2000</v>
      </c>
      <c r="P37" s="408"/>
      <c r="Q37" s="409">
        <v>40</v>
      </c>
      <c r="R37" s="409"/>
      <c r="T37" s="241"/>
      <c r="U37" s="251">
        <f t="shared" si="0"/>
        <v>1493</v>
      </c>
      <c r="V37" s="263"/>
      <c r="X37" s="241">
        <f>D20</f>
        <v>1012</v>
      </c>
      <c r="Y37" s="251">
        <v>40</v>
      </c>
      <c r="Z37" s="263">
        <f>G35</f>
        <v>4</v>
      </c>
      <c r="AB37" s="229"/>
      <c r="AC37" s="251"/>
      <c r="AD37" s="251"/>
      <c r="AE37" s="251"/>
      <c r="AF37" s="251"/>
      <c r="AG37" s="251"/>
      <c r="AH37" s="251"/>
      <c r="AI37" s="251"/>
      <c r="AJ37" s="263"/>
      <c r="AL37" s="241"/>
      <c r="AM37" s="251"/>
      <c r="AN37" s="251"/>
      <c r="AO37" s="251"/>
      <c r="AP37" s="251"/>
      <c r="AQ37" s="263"/>
    </row>
    <row r="38" spans="4:43" ht="13.8">
      <c r="D38" s="241" t="s">
        <v>210</v>
      </c>
      <c r="E38" s="251">
        <v>1.52</v>
      </c>
      <c r="F38" s="251">
        <f>SUM(F31:F37)</f>
        <v>8.5</v>
      </c>
      <c r="G38" s="251">
        <v>4</v>
      </c>
      <c r="H38" s="251"/>
      <c r="I38" s="251"/>
      <c r="J38" s="251"/>
      <c r="K38" s="251"/>
      <c r="L38" s="251"/>
      <c r="M38" s="274"/>
      <c r="N38" s="274"/>
      <c r="O38" s="408"/>
      <c r="P38" s="408"/>
      <c r="Q38" s="409"/>
      <c r="R38" s="409"/>
      <c r="T38" s="241"/>
      <c r="U38" s="251"/>
      <c r="V38" s="263"/>
      <c r="X38" s="241"/>
      <c r="Y38" s="251"/>
      <c r="Z38" s="263"/>
      <c r="AB38" s="241"/>
      <c r="AC38" s="251"/>
      <c r="AD38" s="251"/>
      <c r="AE38" s="251"/>
      <c r="AF38" s="251"/>
      <c r="AG38" s="251"/>
      <c r="AH38" s="251"/>
      <c r="AI38" s="251"/>
      <c r="AJ38" s="263"/>
      <c r="AL38" s="241"/>
      <c r="AM38" s="251"/>
      <c r="AN38" s="251"/>
      <c r="AO38" s="251"/>
      <c r="AP38" s="251"/>
      <c r="AQ38" s="263"/>
    </row>
    <row r="39" spans="4:43" ht="13.8">
      <c r="D39" s="242" t="s">
        <v>211</v>
      </c>
      <c r="E39" s="410">
        <v>0</v>
      </c>
      <c r="F39" s="410"/>
      <c r="G39" s="410"/>
      <c r="H39" s="253"/>
      <c r="I39" s="253"/>
      <c r="J39" s="253"/>
      <c r="K39" s="253"/>
      <c r="L39" s="253"/>
      <c r="M39" s="275"/>
      <c r="N39" s="275"/>
      <c r="O39" s="410"/>
      <c r="P39" s="410"/>
      <c r="Q39" s="411"/>
      <c r="R39" s="411"/>
      <c r="T39" s="242"/>
      <c r="U39" s="253"/>
      <c r="V39" s="264"/>
      <c r="X39" s="242"/>
      <c r="Y39" s="253"/>
      <c r="Z39" s="264"/>
      <c r="AB39" s="242"/>
      <c r="AC39" s="253"/>
      <c r="AD39" s="253"/>
      <c r="AE39" s="253"/>
      <c r="AF39" s="253"/>
      <c r="AG39" s="253"/>
      <c r="AH39" s="253"/>
      <c r="AI39" s="253"/>
      <c r="AJ39" s="264"/>
      <c r="AL39" s="242"/>
      <c r="AM39" s="253"/>
      <c r="AN39" s="253"/>
      <c r="AO39" s="253"/>
      <c r="AP39" s="253"/>
      <c r="AQ39" s="264"/>
    </row>
    <row r="40" spans="4:43" ht="13.8">
      <c r="N40" s="276"/>
    </row>
    <row r="41" spans="4:43" ht="13.8">
      <c r="D41" s="405" t="s">
        <v>212</v>
      </c>
      <c r="E41" s="405"/>
      <c r="F41" s="405"/>
      <c r="H41" s="405" t="s">
        <v>213</v>
      </c>
      <c r="I41" s="405"/>
      <c r="J41" s="405"/>
      <c r="T41" s="419" t="s">
        <v>247</v>
      </c>
      <c r="U41" s="419"/>
      <c r="V41" s="419"/>
    </row>
    <row r="42" spans="4:43" ht="13.8">
      <c r="D42" s="406" t="s">
        <v>214</v>
      </c>
      <c r="E42" s="406"/>
      <c r="F42" s="406"/>
      <c r="H42" s="406" t="s">
        <v>215</v>
      </c>
      <c r="I42" s="406"/>
      <c r="J42" s="406"/>
      <c r="T42" s="241" t="s">
        <v>248</v>
      </c>
      <c r="U42" s="408" t="s">
        <v>249</v>
      </c>
      <c r="V42" s="409" t="s">
        <v>108</v>
      </c>
    </row>
    <row r="43" spans="4:43" ht="13.8">
      <c r="D43" s="243" t="s">
        <v>126</v>
      </c>
      <c r="E43" s="197" t="s">
        <v>127</v>
      </c>
      <c r="F43" s="235" t="s">
        <v>128</v>
      </c>
      <c r="H43" s="243" t="s">
        <v>126</v>
      </c>
      <c r="I43" s="197" t="s">
        <v>127</v>
      </c>
      <c r="J43" s="235" t="s">
        <v>128</v>
      </c>
      <c r="T43" s="241" t="s">
        <v>250</v>
      </c>
      <c r="U43" s="408"/>
      <c r="V43" s="409"/>
    </row>
    <row r="44" spans="4:43" ht="13.8">
      <c r="D44" s="243">
        <f>AM31+AO31</f>
        <v>385.05599999999998</v>
      </c>
      <c r="E44" s="197"/>
      <c r="F44" s="235"/>
      <c r="H44" s="286">
        <f t="shared" ref="H44:H49" si="4">D44/$G$15</f>
        <v>0.33810741822722257</v>
      </c>
      <c r="I44" s="197"/>
      <c r="J44" s="235"/>
      <c r="S44" s="277"/>
      <c r="T44" s="241">
        <v>15</v>
      </c>
      <c r="U44" s="251">
        <v>320</v>
      </c>
      <c r="V44" s="263">
        <v>11.4</v>
      </c>
    </row>
    <row r="45" spans="4:43" ht="13.8">
      <c r="D45" s="243">
        <f>AM32+SUM(AO31:AO32)</f>
        <v>598.36</v>
      </c>
      <c r="E45" s="197"/>
      <c r="F45" s="235"/>
      <c r="H45" s="286">
        <f t="shared" si="4"/>
        <v>0.52540397960411189</v>
      </c>
      <c r="I45" s="197"/>
      <c r="J45" s="235"/>
      <c r="T45" s="241">
        <v>30</v>
      </c>
      <c r="U45" s="251">
        <v>280</v>
      </c>
      <c r="V45" s="263">
        <v>10.7</v>
      </c>
    </row>
    <row r="46" spans="4:43" ht="13.8">
      <c r="D46" s="243">
        <f>AM33+SUM(AO31:AO33)</f>
        <v>617.92700000000002</v>
      </c>
      <c r="E46" s="197"/>
      <c r="F46" s="235"/>
      <c r="H46" s="286">
        <f t="shared" si="4"/>
        <v>0.5425852411672405</v>
      </c>
      <c r="I46" s="197"/>
      <c r="J46" s="235"/>
      <c r="T46" s="241">
        <v>45</v>
      </c>
      <c r="U46" s="251">
        <v>280</v>
      </c>
      <c r="V46" s="263">
        <v>10.7</v>
      </c>
    </row>
    <row r="47" spans="4:43" ht="13.8">
      <c r="D47" s="243">
        <f>AM34+SUM(AO31:AO34)</f>
        <v>632.37599999999998</v>
      </c>
      <c r="E47" s="197"/>
      <c r="F47" s="235"/>
      <c r="H47" s="286">
        <f t="shared" si="4"/>
        <v>0.55527252324040677</v>
      </c>
      <c r="I47" s="197"/>
      <c r="J47" s="235"/>
      <c r="T47" s="241">
        <v>60</v>
      </c>
      <c r="U47" s="251">
        <v>280</v>
      </c>
      <c r="V47" s="263">
        <v>10.7</v>
      </c>
    </row>
    <row r="48" spans="4:43" ht="13.8">
      <c r="D48" s="243">
        <f>AM35+AM34+SUM(AO31:AO35)</f>
        <v>746.601</v>
      </c>
      <c r="E48" s="197"/>
      <c r="F48" s="235"/>
      <c r="H48" s="286">
        <f t="shared" si="4"/>
        <v>0.6555704535336746</v>
      </c>
      <c r="I48" s="197"/>
      <c r="J48" s="235"/>
      <c r="T48" s="241">
        <v>75</v>
      </c>
      <c r="U48" s="251">
        <v>280</v>
      </c>
      <c r="V48" s="263">
        <v>10.7</v>
      </c>
    </row>
    <row r="49" spans="4:22" ht="13.8">
      <c r="D49" s="244">
        <f>AM36+AM35+AM34+SUM(AO31:AO36)</f>
        <v>964.28700000000003</v>
      </c>
      <c r="E49" s="231"/>
      <c r="F49" s="239"/>
      <c r="H49" s="287">
        <f t="shared" si="4"/>
        <v>0.84671473240275119</v>
      </c>
      <c r="I49" s="231"/>
      <c r="J49" s="239"/>
      <c r="T49" s="241">
        <v>90</v>
      </c>
      <c r="U49" s="251">
        <v>280</v>
      </c>
      <c r="V49" s="263">
        <v>10.7</v>
      </c>
    </row>
    <row r="50" spans="4:22" ht="13.8">
      <c r="T50" s="241">
        <v>105</v>
      </c>
      <c r="U50" s="251">
        <v>280</v>
      </c>
      <c r="V50" s="263">
        <v>10.7</v>
      </c>
    </row>
    <row r="51" spans="4:22" ht="13.8">
      <c r="T51" s="242">
        <v>120</v>
      </c>
      <c r="U51" s="253">
        <v>280</v>
      </c>
      <c r="V51" s="264">
        <v>10.7</v>
      </c>
    </row>
  </sheetData>
  <mergeCells count="63">
    <mergeCell ref="X27:Z27"/>
    <mergeCell ref="AB27:AJ27"/>
    <mergeCell ref="AL27:AQ27"/>
    <mergeCell ref="B2:F2"/>
    <mergeCell ref="U4:X4"/>
    <mergeCell ref="Y4:AB4"/>
    <mergeCell ref="B9:D9"/>
    <mergeCell ref="F9:I9"/>
    <mergeCell ref="K9:M9"/>
    <mergeCell ref="AP28:AQ28"/>
    <mergeCell ref="O30:P30"/>
    <mergeCell ref="Q30:R30"/>
    <mergeCell ref="O31:P31"/>
    <mergeCell ref="Q31:R31"/>
    <mergeCell ref="V28:V29"/>
    <mergeCell ref="AB28:AD28"/>
    <mergeCell ref="AE28:AG28"/>
    <mergeCell ref="AH28:AJ28"/>
    <mergeCell ref="AL28:AM28"/>
    <mergeCell ref="AN28:AO28"/>
    <mergeCell ref="O32:P32"/>
    <mergeCell ref="Q32:R32"/>
    <mergeCell ref="O33:P33"/>
    <mergeCell ref="Q33:R33"/>
    <mergeCell ref="O34:P34"/>
    <mergeCell ref="Q34:R34"/>
    <mergeCell ref="O35:P35"/>
    <mergeCell ref="Q35:R35"/>
    <mergeCell ref="O36:P36"/>
    <mergeCell ref="Q36:R36"/>
    <mergeCell ref="O37:P37"/>
    <mergeCell ref="Q37:R37"/>
    <mergeCell ref="O38:P38"/>
    <mergeCell ref="Q38:R38"/>
    <mergeCell ref="E39:G39"/>
    <mergeCell ref="O39:P39"/>
    <mergeCell ref="Q39:R39"/>
    <mergeCell ref="D41:F41"/>
    <mergeCell ref="H41:J41"/>
    <mergeCell ref="T41:V41"/>
    <mergeCell ref="D42:F42"/>
    <mergeCell ref="H42:J42"/>
    <mergeCell ref="U42:U43"/>
    <mergeCell ref="V42:V43"/>
    <mergeCell ref="D28:D29"/>
    <mergeCell ref="F15:F16"/>
    <mergeCell ref="F19:F20"/>
    <mergeCell ref="G15:G16"/>
    <mergeCell ref="H15:H16"/>
    <mergeCell ref="H28:H29"/>
    <mergeCell ref="E28:G29"/>
    <mergeCell ref="D27:R27"/>
    <mergeCell ref="I15:I16"/>
    <mergeCell ref="S4:S6"/>
    <mergeCell ref="T5:T6"/>
    <mergeCell ref="T28:T29"/>
    <mergeCell ref="U28:U29"/>
    <mergeCell ref="I28:J29"/>
    <mergeCell ref="K28:L29"/>
    <mergeCell ref="M28:N29"/>
    <mergeCell ref="O28:P29"/>
    <mergeCell ref="Q28:R29"/>
    <mergeCell ref="T27:V27"/>
  </mergeCells>
  <pageMargins left="0.7" right="0.7" top="0.75" bottom="0.75" header="0.511811023622047" footer="0.511811023622047"/>
  <pageSetup orientation="portrait" horizontalDpi="300" verticalDpi="300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theme="7"/>
  </sheetPr>
  <dimension ref="B2:AQ51"/>
  <sheetViews>
    <sheetView zoomScale="70" zoomScaleNormal="70" workbookViewId="0">
      <selection activeCell="B42" sqref="B42"/>
    </sheetView>
  </sheetViews>
  <sheetFormatPr defaultColWidth="10" defaultRowHeight="16.2" customHeight="1"/>
  <cols>
    <col min="1" max="1" width="10" style="192"/>
    <col min="2" max="2" width="23.8984375" style="192" customWidth="1"/>
    <col min="3" max="3" width="2.3984375" style="192" customWidth="1"/>
    <col min="4" max="4" width="19.5" style="192" customWidth="1"/>
    <col min="5" max="5" width="10" style="192"/>
    <col min="6" max="6" width="16.69921875" style="192" customWidth="1"/>
    <col min="7" max="12" width="10" style="192"/>
    <col min="13" max="13" width="13" style="192" customWidth="1"/>
    <col min="14" max="19" width="10" style="192"/>
    <col min="20" max="20" width="27" style="192" customWidth="1"/>
    <col min="21" max="16384" width="10" style="192"/>
  </cols>
  <sheetData>
    <row r="2" spans="2:28" ht="13.8">
      <c r="B2" s="416" t="s">
        <v>116</v>
      </c>
      <c r="C2" s="416"/>
      <c r="D2" s="416"/>
      <c r="E2" s="416"/>
      <c r="F2" s="416"/>
    </row>
    <row r="4" spans="2:28" ht="13.8">
      <c r="B4" s="226" t="s">
        <v>121</v>
      </c>
      <c r="C4" s="227" t="s">
        <v>122</v>
      </c>
      <c r="D4" s="228" t="s">
        <v>251</v>
      </c>
      <c r="E4" s="228"/>
      <c r="F4" s="245"/>
      <c r="S4" s="400" t="s">
        <v>117</v>
      </c>
      <c r="T4" s="278" t="s">
        <v>118</v>
      </c>
      <c r="U4" s="414" t="s">
        <v>119</v>
      </c>
      <c r="V4" s="414"/>
      <c r="W4" s="414"/>
      <c r="X4" s="414"/>
      <c r="Y4" s="415" t="s">
        <v>120</v>
      </c>
      <c r="Z4" s="415"/>
      <c r="AA4" s="415"/>
      <c r="AB4" s="415"/>
    </row>
    <row r="5" spans="2:28" ht="13.8">
      <c r="B5" s="229" t="s">
        <v>129</v>
      </c>
      <c r="C5" s="197" t="s">
        <v>122</v>
      </c>
      <c r="D5" s="192" t="s">
        <v>238</v>
      </c>
      <c r="F5" s="246"/>
      <c r="S5" s="400"/>
      <c r="T5" s="401" t="s">
        <v>124</v>
      </c>
      <c r="U5" s="259" t="s">
        <v>125</v>
      </c>
      <c r="V5" s="259" t="s">
        <v>126</v>
      </c>
      <c r="W5" s="259" t="s">
        <v>127</v>
      </c>
      <c r="X5" s="259" t="s">
        <v>128</v>
      </c>
      <c r="Y5" s="259" t="s">
        <v>125</v>
      </c>
      <c r="Z5" s="259" t="s">
        <v>126</v>
      </c>
      <c r="AA5" s="259" t="s">
        <v>127</v>
      </c>
      <c r="AB5" s="280" t="s">
        <v>128</v>
      </c>
    </row>
    <row r="6" spans="2:28" ht="13.8">
      <c r="B6" s="229" t="s">
        <v>132</v>
      </c>
      <c r="C6" s="197" t="s">
        <v>122</v>
      </c>
      <c r="D6" s="192" t="s">
        <v>226</v>
      </c>
      <c r="F6" s="246"/>
      <c r="S6" s="400"/>
      <c r="T6" s="401"/>
      <c r="U6" s="259" t="s">
        <v>131</v>
      </c>
      <c r="V6" s="259" t="s">
        <v>106</v>
      </c>
      <c r="W6" s="259" t="s">
        <v>106</v>
      </c>
      <c r="X6" s="259" t="s">
        <v>106</v>
      </c>
      <c r="Y6" s="259" t="s">
        <v>131</v>
      </c>
      <c r="Z6" s="259" t="s">
        <v>106</v>
      </c>
      <c r="AA6" s="259" t="s">
        <v>106</v>
      </c>
      <c r="AB6" s="280" t="s">
        <v>106</v>
      </c>
    </row>
    <row r="7" spans="2:28" ht="13.8">
      <c r="B7" s="230" t="s">
        <v>135</v>
      </c>
      <c r="C7" s="231" t="s">
        <v>122</v>
      </c>
      <c r="D7" s="232" t="s">
        <v>136</v>
      </c>
      <c r="E7" s="232"/>
      <c r="F7" s="247"/>
      <c r="S7" s="241">
        <v>1</v>
      </c>
      <c r="T7" s="251" t="s">
        <v>252</v>
      </c>
      <c r="U7" s="274">
        <v>3.0139999999999998</v>
      </c>
      <c r="V7" s="251">
        <v>2.621</v>
      </c>
      <c r="W7" s="251">
        <v>2.0539999999999998</v>
      </c>
      <c r="X7" s="274">
        <v>27.12</v>
      </c>
      <c r="Y7" s="251"/>
      <c r="Z7" s="251"/>
      <c r="AA7" s="251"/>
      <c r="AB7" s="263"/>
    </row>
    <row r="8" spans="2:28" ht="13.8">
      <c r="S8" s="241">
        <v>2</v>
      </c>
      <c r="T8" s="251" t="s">
        <v>253</v>
      </c>
      <c r="U8" s="251">
        <v>30.023</v>
      </c>
      <c r="V8" s="251">
        <v>1.798</v>
      </c>
      <c r="W8" s="274">
        <v>1.48</v>
      </c>
      <c r="X8" s="251">
        <v>24.079000000000001</v>
      </c>
      <c r="Y8" s="251"/>
      <c r="Z8" s="251"/>
      <c r="AA8" s="251"/>
      <c r="AB8" s="263"/>
    </row>
    <row r="9" spans="2:28" ht="13.8">
      <c r="B9" s="416" t="s">
        <v>139</v>
      </c>
      <c r="C9" s="416"/>
      <c r="D9" s="416"/>
      <c r="F9" s="417" t="s">
        <v>140</v>
      </c>
      <c r="G9" s="417"/>
      <c r="H9" s="417"/>
      <c r="I9" s="417"/>
      <c r="K9" s="405" t="s">
        <v>141</v>
      </c>
      <c r="L9" s="405"/>
      <c r="M9" s="405"/>
      <c r="S9" s="241">
        <v>3</v>
      </c>
      <c r="T9" s="251" t="s">
        <v>254</v>
      </c>
      <c r="U9" s="251">
        <v>30.027000000000001</v>
      </c>
      <c r="V9" s="274">
        <v>1.6870000000000001</v>
      </c>
      <c r="W9" s="251">
        <v>1.4430000000000001</v>
      </c>
      <c r="X9" s="251">
        <v>22.914000000000001</v>
      </c>
      <c r="Y9" s="251"/>
      <c r="Z9" s="251"/>
      <c r="AA9" s="251"/>
      <c r="AB9" s="263"/>
    </row>
    <row r="10" spans="2:28" ht="13.8">
      <c r="B10" s="233" t="s">
        <v>108</v>
      </c>
      <c r="C10" s="197" t="s">
        <v>122</v>
      </c>
      <c r="D10" s="234" t="s">
        <v>143</v>
      </c>
      <c r="F10" s="248"/>
      <c r="G10" s="249" t="s">
        <v>126</v>
      </c>
      <c r="H10" s="249" t="s">
        <v>127</v>
      </c>
      <c r="I10" s="261" t="s">
        <v>128</v>
      </c>
      <c r="K10" s="240" t="s">
        <v>144</v>
      </c>
      <c r="L10" s="262">
        <f>(F38/1012)*1000</f>
        <v>8.3992094861660078</v>
      </c>
      <c r="M10" s="263" t="s">
        <v>145</v>
      </c>
      <c r="S10" s="241">
        <v>4</v>
      </c>
      <c r="T10" s="288" t="s">
        <v>255</v>
      </c>
      <c r="U10" s="274">
        <v>30.048999999999999</v>
      </c>
      <c r="V10" s="251">
        <v>1.6579999999999999</v>
      </c>
      <c r="W10" s="274">
        <v>1.49</v>
      </c>
      <c r="X10" s="251">
        <v>22.748999999999999</v>
      </c>
      <c r="Y10" s="251"/>
      <c r="Z10" s="251"/>
      <c r="AA10" s="251"/>
      <c r="AB10" s="263"/>
    </row>
    <row r="11" spans="2:28" ht="13.8">
      <c r="B11" s="233" t="s">
        <v>147</v>
      </c>
      <c r="C11" s="197" t="s">
        <v>122</v>
      </c>
      <c r="D11" s="235">
        <v>1000</v>
      </c>
      <c r="F11" s="250" t="s">
        <v>148</v>
      </c>
      <c r="G11" s="251">
        <f>AVERAGE(V7:V10)</f>
        <v>1.9410000000000003</v>
      </c>
      <c r="H11" s="251">
        <f>AVERAGE(W7:W10)</f>
        <v>1.6167500000000001</v>
      </c>
      <c r="I11" s="263">
        <f>AVERAGE(X7:X10)</f>
        <v>24.215499999999999</v>
      </c>
      <c r="K11" s="240" t="s">
        <v>149</v>
      </c>
      <c r="L11" s="262">
        <f>((1.5-(($J37*1518)/10000000))/1012)*1000</f>
        <v>1.4222134387351779</v>
      </c>
      <c r="M11" s="263" t="s">
        <v>145</v>
      </c>
      <c r="S11" s="241">
        <v>5</v>
      </c>
      <c r="T11" s="251" t="s">
        <v>256</v>
      </c>
      <c r="U11" s="274">
        <v>30.009</v>
      </c>
      <c r="V11" s="274">
        <v>0.59</v>
      </c>
      <c r="W11" s="251">
        <v>0.71299999999999997</v>
      </c>
      <c r="X11" s="251">
        <v>20.599</v>
      </c>
      <c r="Y11" s="251"/>
      <c r="Z11" s="251"/>
      <c r="AA11" s="251"/>
      <c r="AB11" s="263"/>
    </row>
    <row r="12" spans="2:28" ht="13.8">
      <c r="B12" s="233" t="s">
        <v>151</v>
      </c>
      <c r="C12" s="197" t="s">
        <v>122</v>
      </c>
      <c r="D12" s="236">
        <v>0.4</v>
      </c>
      <c r="F12" s="252" t="s">
        <v>152</v>
      </c>
      <c r="G12" s="253">
        <f>AVERAGE(V11:V14)</f>
        <v>0.437</v>
      </c>
      <c r="H12" s="253">
        <f>AVERAGE(W11:W14)</f>
        <v>0.67349999999999999</v>
      </c>
      <c r="I12" s="264">
        <f>AVERAGE(X11:X14)</f>
        <v>19.254249999999999</v>
      </c>
      <c r="K12" s="265" t="s">
        <v>153</v>
      </c>
      <c r="L12" s="253"/>
      <c r="M12" s="264"/>
      <c r="S12" s="241">
        <v>6</v>
      </c>
      <c r="T12" s="251" t="s">
        <v>257</v>
      </c>
      <c r="U12" s="274">
        <v>30.02</v>
      </c>
      <c r="V12" s="251">
        <v>0.35499999999999998</v>
      </c>
      <c r="W12" s="251">
        <v>0.755</v>
      </c>
      <c r="X12" s="274">
        <v>20.736999999999998</v>
      </c>
      <c r="Y12" s="251"/>
      <c r="Z12" s="251"/>
      <c r="AA12" s="251"/>
      <c r="AB12" s="263"/>
    </row>
    <row r="13" spans="2:28" ht="13.8">
      <c r="B13" s="233" t="s">
        <v>155</v>
      </c>
      <c r="C13" s="197" t="s">
        <v>122</v>
      </c>
      <c r="D13" s="236">
        <v>0.8</v>
      </c>
      <c r="S13" s="279">
        <v>7</v>
      </c>
      <c r="T13" s="251" t="s">
        <v>258</v>
      </c>
      <c r="U13" s="260">
        <v>30.047000000000001</v>
      </c>
      <c r="V13" s="260">
        <v>0.40400000000000003</v>
      </c>
      <c r="W13" s="260">
        <v>0.61099999999999999</v>
      </c>
      <c r="X13" s="260">
        <v>18.167000000000002</v>
      </c>
      <c r="Y13" s="260"/>
      <c r="Z13" s="260"/>
      <c r="AA13" s="260"/>
      <c r="AB13" s="282"/>
    </row>
    <row r="14" spans="2:28" ht="13.8">
      <c r="B14" s="233" t="s">
        <v>157</v>
      </c>
      <c r="C14" s="197" t="s">
        <v>122</v>
      </c>
      <c r="D14" s="235" t="s">
        <v>158</v>
      </c>
      <c r="F14" s="254" t="s">
        <v>159</v>
      </c>
      <c r="G14" s="255">
        <f>G12*D20</f>
        <v>442.24399999999997</v>
      </c>
      <c r="H14" s="255"/>
      <c r="I14" s="266"/>
      <c r="S14" s="241">
        <v>8</v>
      </c>
      <c r="T14" s="251" t="s">
        <v>259</v>
      </c>
      <c r="U14" s="251">
        <v>30.027000000000001</v>
      </c>
      <c r="V14" s="251">
        <v>0.39900000000000002</v>
      </c>
      <c r="W14" s="251">
        <v>0.61499999999999999</v>
      </c>
      <c r="X14" s="251">
        <v>17.513999999999999</v>
      </c>
      <c r="Y14" s="251"/>
      <c r="Z14" s="251"/>
      <c r="AA14" s="251"/>
      <c r="AB14" s="263"/>
    </row>
    <row r="15" spans="2:28" ht="16.2" customHeight="1">
      <c r="B15" s="233" t="s">
        <v>161</v>
      </c>
      <c r="C15" s="197" t="s">
        <v>122</v>
      </c>
      <c r="D15" s="235">
        <v>2.1</v>
      </c>
      <c r="F15" s="403" t="s">
        <v>162</v>
      </c>
      <c r="G15" s="404">
        <f>G14+D49</f>
        <v>1677.1599999999999</v>
      </c>
      <c r="H15" s="404"/>
      <c r="I15" s="399"/>
      <c r="S15" s="241">
        <v>9</v>
      </c>
      <c r="T15" s="251" t="s">
        <v>160</v>
      </c>
      <c r="U15" s="251"/>
      <c r="V15" s="251"/>
      <c r="W15" s="251"/>
      <c r="X15" s="251"/>
      <c r="Y15" s="251"/>
      <c r="Z15" s="251">
        <v>0.29099999999999998</v>
      </c>
      <c r="AA15" s="251"/>
      <c r="AB15" s="263"/>
    </row>
    <row r="16" spans="2:28" ht="13.8">
      <c r="B16" s="233" t="s">
        <v>164</v>
      </c>
      <c r="C16" s="197" t="s">
        <v>122</v>
      </c>
      <c r="D16" s="235">
        <v>1.27</v>
      </c>
      <c r="F16" s="403"/>
      <c r="G16" s="404"/>
      <c r="H16" s="404"/>
      <c r="I16" s="399"/>
      <c r="S16" s="241">
        <v>10</v>
      </c>
      <c r="T16" s="251" t="s">
        <v>163</v>
      </c>
      <c r="U16" s="251"/>
      <c r="V16" s="251"/>
      <c r="W16" s="251"/>
      <c r="X16" s="251"/>
      <c r="Y16" s="251"/>
      <c r="Z16" s="251">
        <v>0.309</v>
      </c>
      <c r="AA16" s="251"/>
      <c r="AB16" s="263"/>
    </row>
    <row r="17" spans="2:43" ht="13.8">
      <c r="B17" s="233" t="s">
        <v>166</v>
      </c>
      <c r="C17" s="197" t="s">
        <v>122</v>
      </c>
      <c r="D17" s="235">
        <v>2</v>
      </c>
      <c r="S17" s="241">
        <v>11</v>
      </c>
      <c r="T17" s="251" t="s">
        <v>165</v>
      </c>
      <c r="U17" s="251"/>
      <c r="V17" s="251"/>
      <c r="W17" s="251"/>
      <c r="X17" s="251"/>
      <c r="Y17" s="251"/>
      <c r="Z17" s="251">
        <v>0.60099999999999998</v>
      </c>
      <c r="AA17" s="251"/>
      <c r="AB17" s="263"/>
    </row>
    <row r="18" spans="2:43" ht="13.8">
      <c r="B18" s="233" t="s">
        <v>168</v>
      </c>
      <c r="C18" s="197" t="s">
        <v>122</v>
      </c>
      <c r="D18" s="235">
        <v>48</v>
      </c>
      <c r="F18" s="254" t="s">
        <v>169</v>
      </c>
      <c r="G18" s="255"/>
      <c r="H18" s="255"/>
      <c r="I18" s="266"/>
      <c r="S18" s="241">
        <v>12</v>
      </c>
      <c r="T18" s="251" t="s">
        <v>167</v>
      </c>
      <c r="Z18" s="197">
        <v>0.64300000000000002</v>
      </c>
      <c r="AA18" s="260"/>
      <c r="AB18" s="282"/>
    </row>
    <row r="19" spans="2:43" ht="16.2" customHeight="1">
      <c r="B19" s="233" t="s">
        <v>171</v>
      </c>
      <c r="C19" s="197" t="s">
        <v>122</v>
      </c>
      <c r="D19" s="237">
        <v>1280</v>
      </c>
      <c r="F19" s="403" t="s">
        <v>172</v>
      </c>
      <c r="G19" s="258"/>
      <c r="H19" s="258"/>
      <c r="I19" s="268"/>
      <c r="S19" s="241">
        <v>13</v>
      </c>
      <c r="T19" s="251" t="s">
        <v>170</v>
      </c>
      <c r="U19" s="251"/>
      <c r="V19" s="251"/>
      <c r="W19" s="251"/>
      <c r="X19" s="251"/>
      <c r="Y19" s="251"/>
      <c r="Z19" s="289">
        <v>0.105</v>
      </c>
      <c r="AA19" s="197"/>
      <c r="AB19" s="235"/>
    </row>
    <row r="20" spans="2:43" ht="13.8">
      <c r="B20" s="233" t="s">
        <v>174</v>
      </c>
      <c r="C20" s="197" t="s">
        <v>122</v>
      </c>
      <c r="D20" s="235">
        <v>1012</v>
      </c>
      <c r="F20" s="403"/>
      <c r="G20" s="257"/>
      <c r="H20" s="257"/>
      <c r="I20" s="267"/>
      <c r="S20" s="242">
        <v>14</v>
      </c>
      <c r="T20" s="253" t="s">
        <v>173</v>
      </c>
      <c r="U20" s="253"/>
      <c r="V20" s="253"/>
      <c r="W20" s="253"/>
      <c r="X20" s="253"/>
      <c r="Y20" s="253"/>
      <c r="Z20" s="284">
        <v>2.9000000000000001E-2</v>
      </c>
      <c r="AA20" s="232"/>
      <c r="AB20" s="247"/>
    </row>
    <row r="21" spans="2:43" ht="13.8">
      <c r="B21" s="233" t="s">
        <v>175</v>
      </c>
      <c r="C21" s="197" t="s">
        <v>122</v>
      </c>
      <c r="D21" s="235">
        <v>1518</v>
      </c>
    </row>
    <row r="22" spans="2:43" ht="13.8">
      <c r="B22" s="233" t="s">
        <v>176</v>
      </c>
      <c r="C22" s="197" t="s">
        <v>122</v>
      </c>
      <c r="D22" s="235">
        <v>2000</v>
      </c>
    </row>
    <row r="23" spans="2:43" ht="13.8">
      <c r="B23" s="238" t="s">
        <v>177</v>
      </c>
      <c r="C23" s="231" t="s">
        <v>122</v>
      </c>
      <c r="D23" s="239">
        <v>1012</v>
      </c>
    </row>
    <row r="24" spans="2:43" ht="13.8">
      <c r="B24" s="197"/>
      <c r="C24" s="197"/>
      <c r="D24" s="197"/>
    </row>
    <row r="27" spans="2:43" ht="13.8">
      <c r="D27" s="413" t="s">
        <v>178</v>
      </c>
      <c r="E27" s="413"/>
      <c r="F27" s="413"/>
      <c r="G27" s="413"/>
      <c r="H27" s="413"/>
      <c r="I27" s="413"/>
      <c r="J27" s="413"/>
      <c r="K27" s="413"/>
      <c r="L27" s="413"/>
      <c r="M27" s="413"/>
      <c r="N27" s="413"/>
      <c r="O27" s="413"/>
      <c r="P27" s="413"/>
      <c r="Q27" s="413"/>
      <c r="R27" s="413"/>
      <c r="T27" s="413" t="s">
        <v>179</v>
      </c>
      <c r="U27" s="413"/>
      <c r="V27" s="413"/>
      <c r="X27" s="413" t="s">
        <v>180</v>
      </c>
      <c r="Y27" s="413"/>
      <c r="Z27" s="413"/>
      <c r="AB27" s="413" t="s">
        <v>181</v>
      </c>
      <c r="AC27" s="413"/>
      <c r="AD27" s="413"/>
      <c r="AE27" s="413"/>
      <c r="AF27" s="413"/>
      <c r="AG27" s="413"/>
      <c r="AH27" s="413"/>
      <c r="AI27" s="413"/>
      <c r="AJ27" s="413"/>
      <c r="AL27" s="413" t="s">
        <v>182</v>
      </c>
      <c r="AM27" s="413"/>
      <c r="AN27" s="413"/>
      <c r="AO27" s="413"/>
      <c r="AP27" s="413"/>
      <c r="AQ27" s="413"/>
    </row>
    <row r="28" spans="2:43" ht="13.8">
      <c r="D28" s="407" t="s">
        <v>185</v>
      </c>
      <c r="E28" s="401" t="s">
        <v>186</v>
      </c>
      <c r="F28" s="401"/>
      <c r="G28" s="401"/>
      <c r="H28" s="401" t="s">
        <v>187</v>
      </c>
      <c r="I28" s="401" t="s">
        <v>188</v>
      </c>
      <c r="J28" s="401"/>
      <c r="K28" s="401" t="s">
        <v>108</v>
      </c>
      <c r="L28" s="401"/>
      <c r="M28" s="401" t="s">
        <v>189</v>
      </c>
      <c r="N28" s="401"/>
      <c r="O28" s="401" t="s">
        <v>190</v>
      </c>
      <c r="P28" s="401"/>
      <c r="Q28" s="402" t="s">
        <v>191</v>
      </c>
      <c r="R28" s="402"/>
      <c r="T28" s="407" t="s">
        <v>192</v>
      </c>
      <c r="U28" s="401" t="s">
        <v>193</v>
      </c>
      <c r="V28" s="402" t="s">
        <v>194</v>
      </c>
      <c r="X28" s="240" t="s">
        <v>192</v>
      </c>
      <c r="Y28" s="259" t="s">
        <v>193</v>
      </c>
      <c r="Z28" s="280" t="s">
        <v>194</v>
      </c>
      <c r="AB28" s="412" t="s">
        <v>126</v>
      </c>
      <c r="AC28" s="412"/>
      <c r="AD28" s="412"/>
      <c r="AE28" s="407" t="s">
        <v>127</v>
      </c>
      <c r="AF28" s="407"/>
      <c r="AG28" s="407"/>
      <c r="AH28" s="402" t="s">
        <v>128</v>
      </c>
      <c r="AI28" s="402"/>
      <c r="AJ28" s="402"/>
      <c r="AL28" s="407" t="s">
        <v>195</v>
      </c>
      <c r="AM28" s="407"/>
      <c r="AN28" s="401" t="s">
        <v>196</v>
      </c>
      <c r="AO28" s="401"/>
      <c r="AP28" s="402" t="s">
        <v>197</v>
      </c>
      <c r="AQ28" s="402"/>
    </row>
    <row r="29" spans="2:43" ht="13.8">
      <c r="D29" s="407"/>
      <c r="E29" s="401"/>
      <c r="F29" s="401"/>
      <c r="G29" s="401"/>
      <c r="H29" s="401"/>
      <c r="I29" s="401"/>
      <c r="J29" s="401"/>
      <c r="K29" s="401"/>
      <c r="L29" s="401"/>
      <c r="M29" s="401"/>
      <c r="N29" s="401"/>
      <c r="O29" s="401"/>
      <c r="P29" s="401"/>
      <c r="Q29" s="402"/>
      <c r="R29" s="402"/>
      <c r="T29" s="407"/>
      <c r="U29" s="401"/>
      <c r="V29" s="402"/>
      <c r="X29" s="240"/>
      <c r="Y29" s="259"/>
      <c r="Z29" s="280"/>
      <c r="AB29" s="240" t="s">
        <v>192</v>
      </c>
      <c r="AC29" s="259" t="s">
        <v>193</v>
      </c>
      <c r="AD29" s="259" t="s">
        <v>194</v>
      </c>
      <c r="AE29" s="259" t="s">
        <v>192</v>
      </c>
      <c r="AF29" s="259" t="s">
        <v>198</v>
      </c>
      <c r="AG29" s="259" t="s">
        <v>194</v>
      </c>
      <c r="AH29" s="259" t="s">
        <v>192</v>
      </c>
      <c r="AI29" s="259" t="s">
        <v>193</v>
      </c>
      <c r="AJ29" s="280" t="s">
        <v>194</v>
      </c>
      <c r="AL29" s="240" t="s">
        <v>199</v>
      </c>
      <c r="AM29" s="259" t="s">
        <v>200</v>
      </c>
      <c r="AN29" s="259" t="s">
        <v>199</v>
      </c>
      <c r="AO29" s="259" t="s">
        <v>201</v>
      </c>
      <c r="AP29" s="259" t="s">
        <v>199</v>
      </c>
      <c r="AQ29" s="280" t="s">
        <v>201</v>
      </c>
    </row>
    <row r="30" spans="2:43" ht="13.8">
      <c r="C30" s="197"/>
      <c r="D30" s="240" t="s">
        <v>202</v>
      </c>
      <c r="E30" s="259" t="s">
        <v>203</v>
      </c>
      <c r="F30" s="259" t="s">
        <v>204</v>
      </c>
      <c r="G30" s="259" t="s">
        <v>205</v>
      </c>
      <c r="H30" s="259" t="s">
        <v>106</v>
      </c>
      <c r="I30" s="259" t="s">
        <v>206</v>
      </c>
      <c r="J30" s="259" t="s">
        <v>207</v>
      </c>
      <c r="K30" s="259" t="s">
        <v>206</v>
      </c>
      <c r="L30" s="259" t="s">
        <v>207</v>
      </c>
      <c r="M30" s="259" t="s">
        <v>206</v>
      </c>
      <c r="N30" s="259" t="s">
        <v>207</v>
      </c>
      <c r="O30" s="401" t="s">
        <v>208</v>
      </c>
      <c r="P30" s="401"/>
      <c r="Q30" s="402" t="s">
        <v>208</v>
      </c>
      <c r="R30" s="402"/>
      <c r="T30" s="240" t="s">
        <v>208</v>
      </c>
      <c r="U30" s="259" t="s">
        <v>209</v>
      </c>
      <c r="V30" s="280" t="s">
        <v>209</v>
      </c>
      <c r="X30" s="240" t="s">
        <v>209</v>
      </c>
      <c r="Y30" s="259" t="s">
        <v>208</v>
      </c>
      <c r="Z30" s="280" t="s">
        <v>209</v>
      </c>
      <c r="AB30" s="241"/>
      <c r="AC30" s="251"/>
      <c r="AD30" s="251"/>
      <c r="AE30" s="251"/>
      <c r="AF30" s="251"/>
      <c r="AG30" s="251"/>
      <c r="AH30" s="251"/>
      <c r="AI30" s="251"/>
      <c r="AJ30" s="263"/>
      <c r="AL30" s="241"/>
      <c r="AM30" s="251"/>
      <c r="AN30" s="251"/>
      <c r="AO30" s="251"/>
      <c r="AP30" s="251"/>
      <c r="AQ30" s="263"/>
    </row>
    <row r="31" spans="2:43" ht="13.8">
      <c r="D31" s="241">
        <v>0</v>
      </c>
      <c r="E31" s="251">
        <v>1.52</v>
      </c>
      <c r="F31" s="251">
        <v>5</v>
      </c>
      <c r="G31" s="251"/>
      <c r="H31" s="251"/>
      <c r="I31" s="251">
        <v>0</v>
      </c>
      <c r="J31" s="251">
        <v>1000</v>
      </c>
      <c r="K31" s="251">
        <v>7.4</v>
      </c>
      <c r="L31" s="251">
        <v>11.5</v>
      </c>
      <c r="M31" s="273">
        <v>3785</v>
      </c>
      <c r="N31" s="274">
        <v>3.7850000000000001</v>
      </c>
      <c r="O31" s="408">
        <v>2000</v>
      </c>
      <c r="P31" s="408"/>
      <c r="Q31" s="409"/>
      <c r="R31" s="409"/>
      <c r="T31" s="241">
        <f>D20</f>
        <v>1012</v>
      </c>
      <c r="U31" s="251">
        <f t="shared" ref="U31:U37" si="0">M31-$D$20-$D$19</f>
        <v>1493</v>
      </c>
      <c r="V31" s="263"/>
      <c r="X31" s="241"/>
      <c r="Y31" s="251">
        <v>40</v>
      </c>
      <c r="Z31" s="263"/>
      <c r="AB31" s="241"/>
      <c r="AC31" s="251">
        <f t="shared" ref="AC31:AC36" si="1">Z15</f>
        <v>0.29099999999999998</v>
      </c>
      <c r="AD31" s="251"/>
      <c r="AE31" s="251"/>
      <c r="AF31" s="251"/>
      <c r="AG31" s="251"/>
      <c r="AH31" s="251"/>
      <c r="AI31" s="251"/>
      <c r="AJ31" s="263"/>
      <c r="AL31" s="241"/>
      <c r="AM31" s="285">
        <f t="shared" ref="AM31:AM36" si="2">AC31*U32</f>
        <v>433.00799999999998</v>
      </c>
      <c r="AN31" s="251"/>
      <c r="AO31" s="251">
        <f t="shared" ref="AO31:AO36" si="3">AC31*Y32</f>
        <v>11.639999999999999</v>
      </c>
      <c r="AP31" s="251"/>
      <c r="AQ31" s="263"/>
    </row>
    <row r="32" spans="2:43" ht="13.8">
      <c r="D32" s="241">
        <v>2</v>
      </c>
      <c r="E32" s="251"/>
      <c r="F32" s="251">
        <v>0</v>
      </c>
      <c r="G32" s="251"/>
      <c r="H32" s="251"/>
      <c r="I32" s="251"/>
      <c r="J32" s="251">
        <v>800</v>
      </c>
      <c r="K32" s="251">
        <v>11.3</v>
      </c>
      <c r="L32" s="251">
        <v>11.3</v>
      </c>
      <c r="M32" s="273">
        <v>3780</v>
      </c>
      <c r="N32" s="274">
        <v>3.7850000000000001</v>
      </c>
      <c r="O32" s="408">
        <v>2000</v>
      </c>
      <c r="P32" s="408"/>
      <c r="Q32" s="409">
        <v>40</v>
      </c>
      <c r="R32" s="409"/>
      <c r="T32" s="241"/>
      <c r="U32" s="251">
        <f t="shared" si="0"/>
        <v>1488</v>
      </c>
      <c r="V32" s="263"/>
      <c r="X32" s="241"/>
      <c r="Y32" s="251">
        <v>40</v>
      </c>
      <c r="Z32" s="263"/>
      <c r="AB32" s="241"/>
      <c r="AC32" s="251">
        <f t="shared" si="1"/>
        <v>0.309</v>
      </c>
      <c r="AD32" s="251"/>
      <c r="AE32" s="251"/>
      <c r="AF32" s="251"/>
      <c r="AG32" s="251"/>
      <c r="AH32" s="251"/>
      <c r="AI32" s="251"/>
      <c r="AJ32" s="263"/>
      <c r="AL32" s="241"/>
      <c r="AM32" s="285">
        <f t="shared" si="2"/>
        <v>459.79199999999997</v>
      </c>
      <c r="AN32" s="251"/>
      <c r="AO32" s="251">
        <f t="shared" si="3"/>
        <v>12.36</v>
      </c>
      <c r="AP32" s="251"/>
      <c r="AQ32" s="263"/>
    </row>
    <row r="33" spans="4:43" ht="13.8">
      <c r="D33" s="241">
        <v>4</v>
      </c>
      <c r="E33" s="251"/>
      <c r="F33" s="251">
        <v>0</v>
      </c>
      <c r="G33" s="251"/>
      <c r="H33" s="251"/>
      <c r="I33" s="251"/>
      <c r="J33" s="251">
        <v>720</v>
      </c>
      <c r="K33" s="251">
        <v>11.1</v>
      </c>
      <c r="L33" s="251">
        <v>11.1</v>
      </c>
      <c r="M33" s="273">
        <v>3780</v>
      </c>
      <c r="N33" s="274">
        <v>3.7850000000000001</v>
      </c>
      <c r="O33" s="408">
        <v>2000</v>
      </c>
      <c r="P33" s="408"/>
      <c r="Q33" s="409">
        <v>40</v>
      </c>
      <c r="R33" s="409"/>
      <c r="T33" s="241"/>
      <c r="U33" s="251">
        <f t="shared" si="0"/>
        <v>1488</v>
      </c>
      <c r="V33" s="263"/>
      <c r="X33" s="241"/>
      <c r="Y33" s="251">
        <v>40</v>
      </c>
      <c r="Z33" s="263"/>
      <c r="AB33" s="241"/>
      <c r="AC33" s="251">
        <f t="shared" si="1"/>
        <v>0.60099999999999998</v>
      </c>
      <c r="AD33" s="251"/>
      <c r="AE33" s="251"/>
      <c r="AF33" s="251"/>
      <c r="AG33" s="251"/>
      <c r="AH33" s="251"/>
      <c r="AI33" s="251"/>
      <c r="AJ33" s="263"/>
      <c r="AL33" s="241"/>
      <c r="AM33" s="285">
        <f t="shared" si="2"/>
        <v>891.28300000000002</v>
      </c>
      <c r="AN33" s="251"/>
      <c r="AO33" s="251">
        <f t="shared" si="3"/>
        <v>24.04</v>
      </c>
      <c r="AP33" s="251"/>
      <c r="AQ33" s="263"/>
    </row>
    <row r="34" spans="4:43" ht="13.8">
      <c r="D34" s="241">
        <v>8</v>
      </c>
      <c r="E34" s="251"/>
      <c r="F34" s="251">
        <v>1</v>
      </c>
      <c r="G34" s="251"/>
      <c r="H34" s="251"/>
      <c r="I34" s="251"/>
      <c r="J34" s="251">
        <v>640</v>
      </c>
      <c r="K34" s="251">
        <v>10.8</v>
      </c>
      <c r="L34" s="251">
        <v>11.4</v>
      </c>
      <c r="M34" s="273">
        <v>3775</v>
      </c>
      <c r="N34" s="274">
        <v>3.7850000000000001</v>
      </c>
      <c r="O34" s="408">
        <v>2000</v>
      </c>
      <c r="P34" s="408"/>
      <c r="Q34" s="409">
        <v>40</v>
      </c>
      <c r="R34" s="409"/>
      <c r="T34" s="241"/>
      <c r="U34" s="251">
        <f t="shared" si="0"/>
        <v>1483</v>
      </c>
      <c r="V34" s="263"/>
      <c r="X34" s="241"/>
      <c r="Y34" s="251">
        <v>40</v>
      </c>
      <c r="Z34" s="263"/>
      <c r="AB34" s="241"/>
      <c r="AC34" s="251">
        <f t="shared" si="1"/>
        <v>0.64300000000000002</v>
      </c>
      <c r="AD34" s="251"/>
      <c r="AE34" s="251"/>
      <c r="AF34" s="251"/>
      <c r="AG34" s="251"/>
      <c r="AH34" s="251"/>
      <c r="AI34" s="251"/>
      <c r="AJ34" s="263"/>
      <c r="AL34" s="241"/>
      <c r="AM34" s="285">
        <f t="shared" si="2"/>
        <v>956.78399999999999</v>
      </c>
      <c r="AN34" s="251"/>
      <c r="AO34" s="251">
        <f t="shared" si="3"/>
        <v>25.72</v>
      </c>
      <c r="AP34" s="251"/>
      <c r="AQ34" s="263"/>
    </row>
    <row r="35" spans="4:43" ht="13.8">
      <c r="D35" s="241">
        <v>12</v>
      </c>
      <c r="E35" s="251"/>
      <c r="F35" s="251">
        <v>0</v>
      </c>
      <c r="G35" s="251">
        <v>4</v>
      </c>
      <c r="H35" s="251"/>
      <c r="I35" s="251"/>
      <c r="J35" s="251">
        <v>600</v>
      </c>
      <c r="K35" s="251">
        <v>11.1</v>
      </c>
      <c r="L35" s="251">
        <v>11.1</v>
      </c>
      <c r="M35" s="273">
        <v>3780</v>
      </c>
      <c r="N35" s="274">
        <v>3.79</v>
      </c>
      <c r="O35" s="408">
        <v>2000</v>
      </c>
      <c r="P35" s="408"/>
      <c r="Q35" s="409">
        <v>40</v>
      </c>
      <c r="R35" s="409"/>
      <c r="T35" s="241"/>
      <c r="U35" s="251">
        <f t="shared" si="0"/>
        <v>1488</v>
      </c>
      <c r="V35" s="263"/>
      <c r="X35" s="241"/>
      <c r="Y35" s="251">
        <v>40</v>
      </c>
      <c r="Z35" s="263"/>
      <c r="AB35" s="241"/>
      <c r="AC35" s="251">
        <f t="shared" si="1"/>
        <v>0.105</v>
      </c>
      <c r="AD35" s="251"/>
      <c r="AE35" s="251"/>
      <c r="AF35" s="251"/>
      <c r="AG35" s="251"/>
      <c r="AH35" s="251"/>
      <c r="AI35" s="251"/>
      <c r="AJ35" s="263"/>
      <c r="AL35" s="241"/>
      <c r="AM35" s="285">
        <f t="shared" si="2"/>
        <v>155.715</v>
      </c>
      <c r="AN35" s="251"/>
      <c r="AO35" s="251">
        <f t="shared" si="3"/>
        <v>4.2</v>
      </c>
      <c r="AP35" s="251"/>
      <c r="AQ35" s="263"/>
    </row>
    <row r="36" spans="4:43" ht="13.8">
      <c r="D36" s="241">
        <v>24</v>
      </c>
      <c r="E36" s="251"/>
      <c r="F36" s="251">
        <v>1</v>
      </c>
      <c r="G36" s="251"/>
      <c r="H36" s="251"/>
      <c r="I36" s="251"/>
      <c r="J36" s="251">
        <v>520</v>
      </c>
      <c r="K36" s="251">
        <v>10.8</v>
      </c>
      <c r="L36" s="251">
        <v>11.5</v>
      </c>
      <c r="M36" s="273">
        <v>3775</v>
      </c>
      <c r="N36" s="274">
        <v>3.79</v>
      </c>
      <c r="O36" s="408">
        <v>2000</v>
      </c>
      <c r="P36" s="408"/>
      <c r="Q36" s="409">
        <v>40</v>
      </c>
      <c r="R36" s="409"/>
      <c r="T36" s="241"/>
      <c r="U36" s="251">
        <f t="shared" si="0"/>
        <v>1483</v>
      </c>
      <c r="V36" s="263"/>
      <c r="X36" s="241"/>
      <c r="Y36" s="251">
        <v>40</v>
      </c>
      <c r="Z36" s="263"/>
      <c r="AB36" s="241">
        <f>G12</f>
        <v>0.437</v>
      </c>
      <c r="AC36" s="251">
        <f t="shared" si="1"/>
        <v>2.9000000000000001E-2</v>
      </c>
      <c r="AD36" s="251"/>
      <c r="AE36" s="251">
        <f>H12</f>
        <v>0.67349999999999999</v>
      </c>
      <c r="AF36" s="251"/>
      <c r="AG36" s="251"/>
      <c r="AH36" s="251">
        <f>I12</f>
        <v>19.254249999999999</v>
      </c>
      <c r="AI36" s="251"/>
      <c r="AJ36" s="263"/>
      <c r="AL36" s="241">
        <f>AB36*D20</f>
        <v>442.24399999999997</v>
      </c>
      <c r="AM36" s="285">
        <f t="shared" si="2"/>
        <v>43.297000000000004</v>
      </c>
      <c r="AN36" s="251"/>
      <c r="AO36" s="251">
        <f t="shared" si="3"/>
        <v>1.1600000000000001</v>
      </c>
      <c r="AP36" s="251"/>
      <c r="AQ36" s="263"/>
    </row>
    <row r="37" spans="4:43" ht="13.8">
      <c r="D37" s="241">
        <v>48</v>
      </c>
      <c r="E37" s="251"/>
      <c r="F37" s="251">
        <v>1.5</v>
      </c>
      <c r="G37" s="251"/>
      <c r="H37" s="251"/>
      <c r="I37" s="251"/>
      <c r="J37" s="251">
        <v>400</v>
      </c>
      <c r="K37" s="251">
        <v>10.9</v>
      </c>
      <c r="L37" s="251">
        <v>11.5</v>
      </c>
      <c r="M37" s="273">
        <v>3785</v>
      </c>
      <c r="N37" s="274">
        <v>3.79</v>
      </c>
      <c r="O37" s="408">
        <v>2000</v>
      </c>
      <c r="P37" s="408"/>
      <c r="Q37" s="409">
        <v>40</v>
      </c>
      <c r="R37" s="409"/>
      <c r="T37" s="241"/>
      <c r="U37" s="251">
        <f t="shared" si="0"/>
        <v>1493</v>
      </c>
      <c r="V37" s="263"/>
      <c r="X37" s="241">
        <f>D20</f>
        <v>1012</v>
      </c>
      <c r="Y37" s="251">
        <v>40</v>
      </c>
      <c r="Z37" s="263">
        <f>G35</f>
        <v>4</v>
      </c>
      <c r="AB37" s="229"/>
      <c r="AC37" s="251"/>
      <c r="AD37" s="251"/>
      <c r="AE37" s="251"/>
      <c r="AF37" s="251"/>
      <c r="AG37" s="251"/>
      <c r="AH37" s="251"/>
      <c r="AI37" s="251"/>
      <c r="AJ37" s="263"/>
      <c r="AL37" s="241"/>
      <c r="AM37" s="251"/>
      <c r="AN37" s="251"/>
      <c r="AO37" s="251"/>
      <c r="AP37" s="251"/>
      <c r="AQ37" s="263"/>
    </row>
    <row r="38" spans="4:43" ht="13.8">
      <c r="D38" s="241" t="s">
        <v>210</v>
      </c>
      <c r="E38" s="251">
        <v>1.52</v>
      </c>
      <c r="F38" s="251">
        <f>SUM(F31:F37)</f>
        <v>8.5</v>
      </c>
      <c r="G38" s="251">
        <v>4</v>
      </c>
      <c r="H38" s="251"/>
      <c r="I38" s="251"/>
      <c r="J38" s="251"/>
      <c r="K38" s="251"/>
      <c r="L38" s="251"/>
      <c r="M38" s="274"/>
      <c r="N38" s="274"/>
      <c r="O38" s="408"/>
      <c r="P38" s="408"/>
      <c r="Q38" s="409"/>
      <c r="R38" s="409"/>
      <c r="T38" s="241"/>
      <c r="U38" s="251"/>
      <c r="V38" s="263"/>
      <c r="X38" s="241"/>
      <c r="Y38" s="251"/>
      <c r="Z38" s="263"/>
      <c r="AB38" s="241"/>
      <c r="AC38" s="251"/>
      <c r="AD38" s="251"/>
      <c r="AE38" s="251"/>
      <c r="AF38" s="251"/>
      <c r="AG38" s="251"/>
      <c r="AH38" s="251"/>
      <c r="AI38" s="251"/>
      <c r="AJ38" s="263"/>
      <c r="AL38" s="241"/>
      <c r="AM38" s="251"/>
      <c r="AN38" s="251"/>
      <c r="AO38" s="251"/>
      <c r="AP38" s="251"/>
      <c r="AQ38" s="263"/>
    </row>
    <row r="39" spans="4:43" ht="13.8">
      <c r="D39" s="242" t="s">
        <v>211</v>
      </c>
      <c r="E39" s="410">
        <v>0</v>
      </c>
      <c r="F39" s="410"/>
      <c r="G39" s="410"/>
      <c r="H39" s="253"/>
      <c r="I39" s="253"/>
      <c r="J39" s="253"/>
      <c r="K39" s="253"/>
      <c r="L39" s="253"/>
      <c r="M39" s="275"/>
      <c r="N39" s="275"/>
      <c r="O39" s="410"/>
      <c r="P39" s="410"/>
      <c r="Q39" s="411"/>
      <c r="R39" s="411"/>
      <c r="T39" s="242"/>
      <c r="U39" s="253"/>
      <c r="V39" s="264"/>
      <c r="X39" s="242"/>
      <c r="Y39" s="253"/>
      <c r="Z39" s="264"/>
      <c r="AB39" s="242"/>
      <c r="AC39" s="253"/>
      <c r="AD39" s="253"/>
      <c r="AE39" s="253"/>
      <c r="AF39" s="253"/>
      <c r="AG39" s="253"/>
      <c r="AH39" s="253"/>
      <c r="AI39" s="253"/>
      <c r="AJ39" s="264"/>
      <c r="AL39" s="242"/>
      <c r="AM39" s="253"/>
      <c r="AN39" s="253"/>
      <c r="AO39" s="253"/>
      <c r="AP39" s="253"/>
      <c r="AQ39" s="264"/>
    </row>
    <row r="40" spans="4:43" ht="13.8">
      <c r="N40" s="276"/>
    </row>
    <row r="41" spans="4:43" ht="13.8">
      <c r="D41" s="405" t="s">
        <v>212</v>
      </c>
      <c r="E41" s="405"/>
      <c r="F41" s="405"/>
      <c r="H41" s="405" t="s">
        <v>213</v>
      </c>
      <c r="I41" s="405"/>
      <c r="J41" s="405"/>
      <c r="O41" s="419"/>
      <c r="P41" s="419"/>
      <c r="Q41" s="419"/>
    </row>
    <row r="42" spans="4:43" ht="13.8">
      <c r="D42" s="406" t="s">
        <v>214</v>
      </c>
      <c r="E42" s="406"/>
      <c r="F42" s="406"/>
      <c r="H42" s="406" t="s">
        <v>215</v>
      </c>
      <c r="I42" s="406"/>
      <c r="J42" s="406"/>
      <c r="O42" s="241" t="s">
        <v>248</v>
      </c>
      <c r="P42" s="408" t="s">
        <v>249</v>
      </c>
      <c r="Q42" s="409" t="s">
        <v>108</v>
      </c>
    </row>
    <row r="43" spans="4:43" ht="13.8">
      <c r="D43" s="243" t="s">
        <v>126</v>
      </c>
      <c r="E43" s="197" t="s">
        <v>127</v>
      </c>
      <c r="F43" s="235" t="s">
        <v>128</v>
      </c>
      <c r="H43" s="243" t="s">
        <v>126</v>
      </c>
      <c r="I43" s="197" t="s">
        <v>127</v>
      </c>
      <c r="J43" s="235" t="s">
        <v>128</v>
      </c>
      <c r="O43" s="241" t="s">
        <v>250</v>
      </c>
      <c r="P43" s="408"/>
      <c r="Q43" s="409"/>
    </row>
    <row r="44" spans="4:43" ht="13.8">
      <c r="D44" s="243">
        <f>AM31+AO31</f>
        <v>444.64799999999997</v>
      </c>
      <c r="E44" s="197"/>
      <c r="F44" s="235"/>
      <c r="H44" s="286">
        <f t="shared" ref="H44:H49" si="4">D44/$G$15</f>
        <v>0.26511960695461373</v>
      </c>
      <c r="I44" s="197"/>
      <c r="J44" s="235"/>
      <c r="O44" s="241">
        <v>15</v>
      </c>
      <c r="P44" s="251">
        <v>320</v>
      </c>
      <c r="Q44" s="263">
        <v>11.4</v>
      </c>
      <c r="S44" s="277"/>
    </row>
    <row r="45" spans="4:43" ht="13.8">
      <c r="D45" s="243">
        <f>AM32+SUM(AO31:AO32)</f>
        <v>483.79199999999997</v>
      </c>
      <c r="E45" s="197"/>
      <c r="F45" s="235"/>
      <c r="H45" s="286">
        <f t="shared" si="4"/>
        <v>0.2884590617472394</v>
      </c>
      <c r="I45" s="197"/>
      <c r="J45" s="235"/>
      <c r="O45" s="241">
        <v>30</v>
      </c>
      <c r="P45" s="251">
        <v>280</v>
      </c>
      <c r="Q45" s="263">
        <v>10.7</v>
      </c>
    </row>
    <row r="46" spans="4:43" ht="13.8">
      <c r="D46" s="243">
        <f>AM33+SUM(AO31:AO33)</f>
        <v>939.32299999999998</v>
      </c>
      <c r="E46" s="197"/>
      <c r="F46" s="235"/>
      <c r="H46" s="286">
        <f t="shared" si="4"/>
        <v>0.56006761430036489</v>
      </c>
      <c r="I46" s="197"/>
      <c r="J46" s="235"/>
      <c r="O46" s="241">
        <v>45</v>
      </c>
      <c r="P46" s="251">
        <v>280</v>
      </c>
      <c r="Q46" s="263">
        <v>10.7</v>
      </c>
    </row>
    <row r="47" spans="4:43" ht="13.8">
      <c r="D47" s="243">
        <f>AM34+SUM(AO31:AO34)</f>
        <v>1030.5439999999999</v>
      </c>
      <c r="E47" s="197"/>
      <c r="F47" s="235"/>
      <c r="H47" s="286">
        <f t="shared" si="4"/>
        <v>0.6144577738558038</v>
      </c>
      <c r="I47" s="197"/>
      <c r="J47" s="235"/>
      <c r="O47" s="241">
        <v>60</v>
      </c>
      <c r="P47" s="251">
        <v>280</v>
      </c>
      <c r="Q47" s="263">
        <v>10.7</v>
      </c>
    </row>
    <row r="48" spans="4:43" ht="13.8">
      <c r="D48" s="243">
        <f>AM35+AM34+SUM(AO31:AO35)</f>
        <v>1190.4590000000001</v>
      </c>
      <c r="E48" s="197"/>
      <c r="F48" s="235"/>
      <c r="H48" s="286">
        <f t="shared" si="4"/>
        <v>0.70980645853705082</v>
      </c>
      <c r="I48" s="197"/>
      <c r="J48" s="235"/>
      <c r="O48" s="241">
        <v>75</v>
      </c>
      <c r="P48" s="251">
        <v>280</v>
      </c>
      <c r="Q48" s="263">
        <v>10.7</v>
      </c>
    </row>
    <row r="49" spans="4:17" ht="13.8">
      <c r="D49" s="244">
        <f>AM36+AM35+AM34+SUM(AO31:AO36)</f>
        <v>1234.9159999999999</v>
      </c>
      <c r="E49" s="231"/>
      <c r="F49" s="239"/>
      <c r="H49" s="287">
        <f t="shared" si="4"/>
        <v>0.73631376851343944</v>
      </c>
      <c r="I49" s="231"/>
      <c r="J49" s="239"/>
      <c r="O49" s="241">
        <v>90</v>
      </c>
      <c r="P49" s="251">
        <v>280</v>
      </c>
      <c r="Q49" s="263">
        <v>10.7</v>
      </c>
    </row>
    <row r="50" spans="4:17" ht="13.8">
      <c r="O50" s="241">
        <v>105</v>
      </c>
      <c r="P50" s="251">
        <v>280</v>
      </c>
      <c r="Q50" s="263">
        <v>10.7</v>
      </c>
    </row>
    <row r="51" spans="4:17" ht="13.8">
      <c r="O51" s="242">
        <v>120</v>
      </c>
      <c r="P51" s="253">
        <v>280</v>
      </c>
      <c r="Q51" s="264">
        <v>10.7</v>
      </c>
    </row>
  </sheetData>
  <mergeCells count="63">
    <mergeCell ref="T27:V27"/>
    <mergeCell ref="X27:Z27"/>
    <mergeCell ref="AB27:AJ27"/>
    <mergeCell ref="AL27:AQ27"/>
    <mergeCell ref="B2:F2"/>
    <mergeCell ref="U4:X4"/>
    <mergeCell ref="Y4:AB4"/>
    <mergeCell ref="B9:D9"/>
    <mergeCell ref="F9:I9"/>
    <mergeCell ref="K9:M9"/>
    <mergeCell ref="Q33:R33"/>
    <mergeCell ref="O34:P34"/>
    <mergeCell ref="Q34:R34"/>
    <mergeCell ref="AP28:AQ28"/>
    <mergeCell ref="O30:P30"/>
    <mergeCell ref="Q30:R30"/>
    <mergeCell ref="O31:P31"/>
    <mergeCell ref="Q31:R31"/>
    <mergeCell ref="U28:U29"/>
    <mergeCell ref="V28:V29"/>
    <mergeCell ref="AB28:AD28"/>
    <mergeCell ref="AE28:AG28"/>
    <mergeCell ref="AH28:AJ28"/>
    <mergeCell ref="AL28:AM28"/>
    <mergeCell ref="AN28:AO28"/>
    <mergeCell ref="E39:G39"/>
    <mergeCell ref="O39:P39"/>
    <mergeCell ref="Q39:R39"/>
    <mergeCell ref="O35:P35"/>
    <mergeCell ref="Q35:R35"/>
    <mergeCell ref="O36:P36"/>
    <mergeCell ref="Q36:R36"/>
    <mergeCell ref="O37:P37"/>
    <mergeCell ref="Q37:R37"/>
    <mergeCell ref="D41:F41"/>
    <mergeCell ref="H41:J41"/>
    <mergeCell ref="O41:Q41"/>
    <mergeCell ref="D42:F42"/>
    <mergeCell ref="H42:J42"/>
    <mergeCell ref="D28:D29"/>
    <mergeCell ref="F15:F16"/>
    <mergeCell ref="F19:F20"/>
    <mergeCell ref="G15:G16"/>
    <mergeCell ref="H15:H16"/>
    <mergeCell ref="H28:H29"/>
    <mergeCell ref="E28:G29"/>
    <mergeCell ref="D27:R27"/>
    <mergeCell ref="I15:I16"/>
    <mergeCell ref="P42:P43"/>
    <mergeCell ref="Q42:Q43"/>
    <mergeCell ref="S4:S6"/>
    <mergeCell ref="T5:T6"/>
    <mergeCell ref="T28:T29"/>
    <mergeCell ref="I28:J29"/>
    <mergeCell ref="K28:L29"/>
    <mergeCell ref="M28:N29"/>
    <mergeCell ref="O28:P29"/>
    <mergeCell ref="Q28:R29"/>
    <mergeCell ref="O38:P38"/>
    <mergeCell ref="Q38:R38"/>
    <mergeCell ref="O32:P32"/>
    <mergeCell ref="Q32:R32"/>
    <mergeCell ref="O33:P33"/>
  </mergeCells>
  <pageMargins left="0.7" right="0.7" top="0.75" bottom="0.75" header="0.511811023622047" footer="0.511811023622047"/>
  <pageSetup orientation="portrait" horizontalDpi="300" verticalDpi="300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theme="7"/>
  </sheetPr>
  <dimension ref="B2:AQ49"/>
  <sheetViews>
    <sheetView zoomScale="60" zoomScaleNormal="60" workbookViewId="0">
      <selection activeCell="T59" sqref="T59"/>
    </sheetView>
  </sheetViews>
  <sheetFormatPr defaultColWidth="10" defaultRowHeight="16.2" customHeight="1"/>
  <cols>
    <col min="1" max="1" width="10" style="192"/>
    <col min="2" max="2" width="23.8984375" style="192" customWidth="1"/>
    <col min="3" max="3" width="2.3984375" style="192" customWidth="1"/>
    <col min="4" max="4" width="19.5" style="192" customWidth="1"/>
    <col min="5" max="5" width="10" style="192"/>
    <col min="6" max="6" width="16.69921875" style="192" customWidth="1"/>
    <col min="7" max="7" width="10" style="192"/>
    <col min="8" max="8" width="15.296875" style="192" customWidth="1"/>
    <col min="9" max="12" width="10" style="192"/>
    <col min="13" max="13" width="13" style="192" customWidth="1"/>
    <col min="14" max="19" width="10" style="192"/>
    <col min="20" max="20" width="27" style="192" customWidth="1"/>
    <col min="21" max="16384" width="10" style="192"/>
  </cols>
  <sheetData>
    <row r="2" spans="2:28" ht="13.8">
      <c r="B2" s="416" t="s">
        <v>116</v>
      </c>
      <c r="C2" s="416"/>
      <c r="D2" s="416"/>
      <c r="E2" s="416"/>
      <c r="F2" s="416"/>
    </row>
    <row r="4" spans="2:28" ht="13.8">
      <c r="B4" s="226" t="s">
        <v>121</v>
      </c>
      <c r="C4" s="227" t="s">
        <v>122</v>
      </c>
      <c r="D4" s="228" t="s">
        <v>237</v>
      </c>
      <c r="E4" s="228"/>
      <c r="F4" s="245"/>
      <c r="S4" s="400" t="s">
        <v>117</v>
      </c>
      <c r="T4" s="278" t="s">
        <v>118</v>
      </c>
      <c r="U4" s="414" t="s">
        <v>119</v>
      </c>
      <c r="V4" s="414"/>
      <c r="W4" s="414"/>
      <c r="X4" s="414"/>
      <c r="Y4" s="415" t="s">
        <v>120</v>
      </c>
      <c r="Z4" s="415"/>
      <c r="AA4" s="415"/>
      <c r="AB4" s="415"/>
    </row>
    <row r="5" spans="2:28" ht="13.8">
      <c r="B5" s="229" t="s">
        <v>129</v>
      </c>
      <c r="C5" s="197" t="s">
        <v>122</v>
      </c>
      <c r="D5" s="192" t="s">
        <v>260</v>
      </c>
      <c r="F5" s="246"/>
      <c r="S5" s="400"/>
      <c r="T5" s="401" t="s">
        <v>124</v>
      </c>
      <c r="U5" s="259" t="s">
        <v>125</v>
      </c>
      <c r="V5" s="259" t="s">
        <v>126</v>
      </c>
      <c r="W5" s="259" t="s">
        <v>127</v>
      </c>
      <c r="X5" s="259" t="s">
        <v>128</v>
      </c>
      <c r="Y5" s="259" t="s">
        <v>125</v>
      </c>
      <c r="Z5" s="259" t="s">
        <v>126</v>
      </c>
      <c r="AA5" s="259" t="s">
        <v>127</v>
      </c>
      <c r="AB5" s="280" t="s">
        <v>128</v>
      </c>
    </row>
    <row r="6" spans="2:28" ht="13.8">
      <c r="B6" s="229" t="s">
        <v>132</v>
      </c>
      <c r="C6" s="197" t="s">
        <v>122</v>
      </c>
      <c r="D6" s="192" t="s">
        <v>226</v>
      </c>
      <c r="F6" s="246"/>
      <c r="S6" s="400"/>
      <c r="T6" s="401"/>
      <c r="U6" s="259" t="s">
        <v>131</v>
      </c>
      <c r="V6" s="259" t="s">
        <v>106</v>
      </c>
      <c r="W6" s="259" t="s">
        <v>106</v>
      </c>
      <c r="X6" s="259" t="s">
        <v>106</v>
      </c>
      <c r="Y6" s="259" t="s">
        <v>131</v>
      </c>
      <c r="Z6" s="259" t="s">
        <v>106</v>
      </c>
      <c r="AA6" s="259" t="s">
        <v>106</v>
      </c>
      <c r="AB6" s="280" t="s">
        <v>106</v>
      </c>
    </row>
    <row r="7" spans="2:28" ht="13.8">
      <c r="B7" s="230" t="s">
        <v>135</v>
      </c>
      <c r="C7" s="231" t="s">
        <v>122</v>
      </c>
      <c r="D7" s="232" t="s">
        <v>136</v>
      </c>
      <c r="E7" s="232"/>
      <c r="F7" s="247"/>
      <c r="S7" s="241">
        <v>1</v>
      </c>
      <c r="T7" s="251" t="s">
        <v>261</v>
      </c>
      <c r="U7" s="274">
        <v>30.012</v>
      </c>
      <c r="V7" s="251">
        <v>0.875</v>
      </c>
      <c r="W7" s="251">
        <v>1.32</v>
      </c>
      <c r="X7" s="274">
        <v>0.67</v>
      </c>
      <c r="Y7" s="251"/>
      <c r="Z7" s="251"/>
      <c r="AA7" s="251"/>
      <c r="AB7" s="263"/>
    </row>
    <row r="8" spans="2:28" ht="13.8">
      <c r="S8" s="241">
        <v>2</v>
      </c>
      <c r="T8" s="251" t="s">
        <v>262</v>
      </c>
      <c r="U8" s="251">
        <v>30.024000000000001</v>
      </c>
      <c r="V8" s="251">
        <v>0.86599999999999999</v>
      </c>
      <c r="W8" s="274">
        <v>1.27</v>
      </c>
      <c r="X8" s="251">
        <v>0.63</v>
      </c>
      <c r="Y8" s="251"/>
      <c r="Z8" s="251"/>
      <c r="AA8" s="251"/>
      <c r="AB8" s="263"/>
    </row>
    <row r="9" spans="2:28" ht="13.8">
      <c r="B9" s="416" t="s">
        <v>139</v>
      </c>
      <c r="C9" s="416"/>
      <c r="D9" s="416"/>
      <c r="F9" s="417" t="s">
        <v>140</v>
      </c>
      <c r="G9" s="417"/>
      <c r="H9" s="417"/>
      <c r="I9" s="417"/>
      <c r="K9" s="405" t="s">
        <v>141</v>
      </c>
      <c r="L9" s="405"/>
      <c r="M9" s="405"/>
      <c r="S9" s="241">
        <v>3</v>
      </c>
      <c r="T9" s="251" t="s">
        <v>263</v>
      </c>
      <c r="U9" s="251">
        <v>30.009</v>
      </c>
      <c r="V9" s="274">
        <v>0.84599999999999997</v>
      </c>
      <c r="W9" s="251">
        <v>1.37</v>
      </c>
      <c r="X9" s="251">
        <v>0.69</v>
      </c>
      <c r="Y9" s="251"/>
      <c r="Z9" s="251"/>
      <c r="AA9" s="251"/>
      <c r="AB9" s="263"/>
    </row>
    <row r="10" spans="2:28" ht="13.8">
      <c r="B10" s="233" t="s">
        <v>108</v>
      </c>
      <c r="C10" s="197" t="s">
        <v>122</v>
      </c>
      <c r="D10" s="234" t="s">
        <v>264</v>
      </c>
      <c r="F10" s="248"/>
      <c r="G10" s="249" t="s">
        <v>126</v>
      </c>
      <c r="H10" s="249" t="s">
        <v>127</v>
      </c>
      <c r="I10" s="261" t="s">
        <v>128</v>
      </c>
      <c r="K10" s="240" t="s">
        <v>144</v>
      </c>
      <c r="L10" s="262">
        <f>(F38/1012)*1000</f>
        <v>0</v>
      </c>
      <c r="M10" s="263" t="s">
        <v>145</v>
      </c>
      <c r="S10" s="241">
        <v>4</v>
      </c>
      <c r="T10" s="251" t="s">
        <v>265</v>
      </c>
      <c r="U10" s="274">
        <v>30.016999999999999</v>
      </c>
      <c r="V10" s="251">
        <v>0.84199999999999997</v>
      </c>
      <c r="W10" s="274">
        <v>1.38</v>
      </c>
      <c r="X10" s="251">
        <v>0.69</v>
      </c>
      <c r="Y10" s="251"/>
      <c r="Z10" s="251"/>
      <c r="AA10" s="251"/>
      <c r="AB10" s="263"/>
    </row>
    <row r="11" spans="2:28" ht="13.8">
      <c r="B11" s="233" t="s">
        <v>147</v>
      </c>
      <c r="C11" s="197" t="s">
        <v>122</v>
      </c>
      <c r="D11" s="235">
        <v>1000</v>
      </c>
      <c r="F11" s="250" t="s">
        <v>148</v>
      </c>
      <c r="G11" s="251">
        <f>AVERAGE(V7:V10)</f>
        <v>0.85725000000000007</v>
      </c>
      <c r="H11" s="251">
        <f>AVERAGE(W7:W10)</f>
        <v>1.335</v>
      </c>
      <c r="I11" s="263">
        <f>AVERAGE(X7:X10)</f>
        <v>0.66999999999999993</v>
      </c>
      <c r="K11" s="240" t="s">
        <v>149</v>
      </c>
      <c r="L11" s="262">
        <f>((1.5-(($J37*1518)/10000000))/1012)*1000</f>
        <v>1.4762134387351777</v>
      </c>
      <c r="M11" s="263" t="s">
        <v>145</v>
      </c>
      <c r="S11" s="241">
        <v>5</v>
      </c>
      <c r="T11" s="251" t="s">
        <v>266</v>
      </c>
      <c r="U11" s="274">
        <v>30.007999999999999</v>
      </c>
      <c r="V11" s="274">
        <v>8.4000000000000005E-2</v>
      </c>
      <c r="W11" s="251">
        <v>0.3</v>
      </c>
      <c r="X11" s="251">
        <v>8.3699999999999992</v>
      </c>
      <c r="Y11" s="251"/>
      <c r="Z11" s="251"/>
      <c r="AA11" s="251"/>
      <c r="AB11" s="263"/>
    </row>
    <row r="12" spans="2:28" ht="13.8">
      <c r="B12" s="233" t="s">
        <v>151</v>
      </c>
      <c r="C12" s="197" t="s">
        <v>122</v>
      </c>
      <c r="D12" s="236">
        <v>0.4</v>
      </c>
      <c r="F12" s="252" t="s">
        <v>152</v>
      </c>
      <c r="G12" s="253">
        <f>AVERAGE(V11:V14)</f>
        <v>8.8249999999999995E-2</v>
      </c>
      <c r="H12" s="253">
        <f>AVERAGE(W11:W14)</f>
        <v>0.33666666666666667</v>
      </c>
      <c r="I12" s="264">
        <f>AVERAGE(X11:X14)</f>
        <v>8.1999999999999993</v>
      </c>
      <c r="K12" s="265" t="s">
        <v>153</v>
      </c>
      <c r="L12" s="253"/>
      <c r="M12" s="264"/>
      <c r="S12" s="241">
        <v>6</v>
      </c>
      <c r="T12" s="251" t="s">
        <v>267</v>
      </c>
      <c r="U12" s="274">
        <v>30.04</v>
      </c>
      <c r="V12" s="251">
        <v>8.2000000000000003E-2</v>
      </c>
      <c r="W12" s="251">
        <v>0.37</v>
      </c>
      <c r="X12" s="274">
        <v>8.19</v>
      </c>
      <c r="Y12" s="251"/>
      <c r="Z12" s="251"/>
      <c r="AA12" s="251"/>
      <c r="AB12" s="263"/>
    </row>
    <row r="13" spans="2:28" ht="13.8">
      <c r="B13" s="233" t="s">
        <v>155</v>
      </c>
      <c r="C13" s="197" t="s">
        <v>122</v>
      </c>
      <c r="D13" s="236">
        <v>0.8</v>
      </c>
      <c r="S13" s="279">
        <v>7</v>
      </c>
      <c r="T13" s="251" t="s">
        <v>268</v>
      </c>
      <c r="U13" s="281">
        <v>30.04</v>
      </c>
      <c r="V13" s="260">
        <v>8.8999999999999996E-2</v>
      </c>
      <c r="W13" s="260">
        <v>0.34</v>
      </c>
      <c r="X13" s="260">
        <v>8.0399999999999991</v>
      </c>
      <c r="Y13" s="260"/>
      <c r="Z13" s="260"/>
      <c r="AA13" s="260"/>
      <c r="AB13" s="282"/>
    </row>
    <row r="14" spans="2:28" ht="13.8">
      <c r="B14" s="233" t="s">
        <v>157</v>
      </c>
      <c r="C14" s="197" t="s">
        <v>122</v>
      </c>
      <c r="D14" s="235" t="s">
        <v>158</v>
      </c>
      <c r="F14" s="254" t="s">
        <v>159</v>
      </c>
      <c r="G14" s="255">
        <f>G12*D20</f>
        <v>89.308999999999997</v>
      </c>
      <c r="H14" s="256" t="s">
        <v>269</v>
      </c>
      <c r="I14" s="266"/>
      <c r="S14" s="241">
        <v>8</v>
      </c>
      <c r="T14" s="251" t="s">
        <v>270</v>
      </c>
      <c r="U14" s="251">
        <v>30.021999999999998</v>
      </c>
      <c r="V14" s="251">
        <v>9.8000000000000004E-2</v>
      </c>
      <c r="W14" s="251"/>
      <c r="X14" s="251"/>
      <c r="Y14" s="251"/>
      <c r="Z14" s="251"/>
      <c r="AA14" s="251"/>
      <c r="AB14" s="263"/>
    </row>
    <row r="15" spans="2:28" ht="16.2" customHeight="1">
      <c r="B15" s="233" t="s">
        <v>161</v>
      </c>
      <c r="C15" s="197" t="s">
        <v>122</v>
      </c>
      <c r="D15" s="235">
        <v>2.1</v>
      </c>
      <c r="F15" s="403" t="s">
        <v>162</v>
      </c>
      <c r="G15" s="404">
        <f>(G14+D49)</f>
        <v>812.62900000000002</v>
      </c>
      <c r="H15" s="420">
        <f>(G11-(G15/1000))/G11</f>
        <v>5.2051326917468672E-2</v>
      </c>
      <c r="I15" s="399"/>
      <c r="S15" s="241">
        <v>9</v>
      </c>
      <c r="T15" s="251" t="s">
        <v>160</v>
      </c>
      <c r="U15" s="251"/>
      <c r="V15" s="251"/>
      <c r="W15" s="251"/>
      <c r="X15" s="251"/>
      <c r="Y15" s="251"/>
      <c r="Z15" s="251">
        <v>0.19500000000000001</v>
      </c>
      <c r="AA15" s="251"/>
      <c r="AB15" s="263"/>
    </row>
    <row r="16" spans="2:28" ht="13.8">
      <c r="B16" s="233" t="s">
        <v>164</v>
      </c>
      <c r="C16" s="197" t="s">
        <v>122</v>
      </c>
      <c r="D16" s="235">
        <v>1.27</v>
      </c>
      <c r="F16" s="403"/>
      <c r="G16" s="404"/>
      <c r="H16" s="404"/>
      <c r="I16" s="399"/>
      <c r="S16" s="241">
        <v>10</v>
      </c>
      <c r="T16" s="251" t="s">
        <v>163</v>
      </c>
      <c r="U16" s="251"/>
      <c r="V16" s="251"/>
      <c r="W16" s="251"/>
      <c r="X16" s="251"/>
      <c r="Y16" s="251"/>
      <c r="Z16" s="251">
        <v>0.219</v>
      </c>
      <c r="AA16" s="251"/>
      <c r="AB16" s="263"/>
    </row>
    <row r="17" spans="2:43" ht="13.8">
      <c r="B17" s="233" t="s">
        <v>166</v>
      </c>
      <c r="C17" s="197" t="s">
        <v>122</v>
      </c>
      <c r="D17" s="235">
        <v>2</v>
      </c>
      <c r="S17" s="241">
        <v>11</v>
      </c>
      <c r="T17" s="251" t="s">
        <v>165</v>
      </c>
      <c r="U17" s="251"/>
      <c r="V17" s="251"/>
      <c r="W17" s="251"/>
      <c r="X17" s="251"/>
      <c r="Y17" s="251"/>
      <c r="Z17" s="251">
        <v>0.22500000000000001</v>
      </c>
      <c r="AA17" s="251"/>
      <c r="AB17" s="263"/>
    </row>
    <row r="18" spans="2:43" ht="13.8">
      <c r="B18" s="233" t="s">
        <v>168</v>
      </c>
      <c r="C18" s="197" t="s">
        <v>122</v>
      </c>
      <c r="D18" s="235">
        <v>48</v>
      </c>
      <c r="F18" s="254" t="s">
        <v>169</v>
      </c>
      <c r="G18" s="255"/>
      <c r="H18" s="255"/>
      <c r="I18" s="266"/>
      <c r="S18" s="241">
        <v>12</v>
      </c>
      <c r="T18" s="251" t="s">
        <v>167</v>
      </c>
      <c r="Z18" s="197">
        <v>0.222</v>
      </c>
      <c r="AA18" s="260"/>
      <c r="AB18" s="282"/>
    </row>
    <row r="19" spans="2:43" ht="16.2" customHeight="1">
      <c r="B19" s="233" t="s">
        <v>171</v>
      </c>
      <c r="C19" s="197" t="s">
        <v>122</v>
      </c>
      <c r="D19" s="237">
        <v>1290</v>
      </c>
      <c r="F19" s="403" t="s">
        <v>172</v>
      </c>
      <c r="G19" s="258"/>
      <c r="H19" s="258"/>
      <c r="I19" s="268"/>
      <c r="S19" s="241">
        <v>13</v>
      </c>
      <c r="T19" s="251" t="s">
        <v>170</v>
      </c>
      <c r="U19" s="251"/>
      <c r="V19" s="251"/>
      <c r="W19" s="251"/>
      <c r="X19" s="251"/>
      <c r="Y19" s="251"/>
      <c r="Z19" s="283">
        <v>0.21</v>
      </c>
      <c r="AA19" s="197"/>
      <c r="AB19" s="235"/>
    </row>
    <row r="20" spans="2:43" ht="13.8">
      <c r="B20" s="233" t="s">
        <v>174</v>
      </c>
      <c r="C20" s="197" t="s">
        <v>122</v>
      </c>
      <c r="D20" s="235">
        <v>1012</v>
      </c>
      <c r="F20" s="403"/>
      <c r="G20" s="257"/>
      <c r="H20" s="257"/>
      <c r="I20" s="267"/>
      <c r="S20" s="242">
        <v>14</v>
      </c>
      <c r="T20" s="253" t="s">
        <v>173</v>
      </c>
      <c r="U20" s="253"/>
      <c r="V20" s="253"/>
      <c r="W20" s="253"/>
      <c r="X20" s="253"/>
      <c r="Y20" s="253"/>
      <c r="Z20" s="284">
        <v>1.2999999999999999E-2</v>
      </c>
      <c r="AA20" s="232"/>
      <c r="AB20" s="247"/>
    </row>
    <row r="21" spans="2:43" ht="13.8">
      <c r="B21" s="233" t="s">
        <v>175</v>
      </c>
      <c r="C21" s="197" t="s">
        <v>122</v>
      </c>
      <c r="D21" s="235">
        <v>1518</v>
      </c>
    </row>
    <row r="22" spans="2:43" ht="13.8">
      <c r="B22" s="233" t="s">
        <v>176</v>
      </c>
      <c r="C22" s="197" t="s">
        <v>122</v>
      </c>
      <c r="D22" s="235">
        <v>2000</v>
      </c>
    </row>
    <row r="23" spans="2:43" ht="13.8">
      <c r="B23" s="238" t="s">
        <v>177</v>
      </c>
      <c r="C23" s="231" t="s">
        <v>122</v>
      </c>
      <c r="D23" s="239">
        <v>1012</v>
      </c>
    </row>
    <row r="24" spans="2:43" ht="13.8">
      <c r="B24" s="197"/>
      <c r="C24" s="197"/>
      <c r="D24" s="197"/>
    </row>
    <row r="27" spans="2:43" ht="13.8">
      <c r="D27" s="413" t="s">
        <v>178</v>
      </c>
      <c r="E27" s="413"/>
      <c r="F27" s="413"/>
      <c r="G27" s="413"/>
      <c r="H27" s="413"/>
      <c r="I27" s="413"/>
      <c r="J27" s="413"/>
      <c r="K27" s="413"/>
      <c r="L27" s="413"/>
      <c r="M27" s="413"/>
      <c r="N27" s="413"/>
      <c r="O27" s="413"/>
      <c r="P27" s="413"/>
      <c r="Q27" s="413"/>
      <c r="R27" s="413"/>
      <c r="T27" s="413" t="s">
        <v>179</v>
      </c>
      <c r="U27" s="413"/>
      <c r="V27" s="413"/>
      <c r="X27" s="413" t="s">
        <v>180</v>
      </c>
      <c r="Y27" s="413"/>
      <c r="Z27" s="413"/>
      <c r="AB27" s="413" t="s">
        <v>181</v>
      </c>
      <c r="AC27" s="413"/>
      <c r="AD27" s="413"/>
      <c r="AE27" s="413"/>
      <c r="AF27" s="413"/>
      <c r="AG27" s="413"/>
      <c r="AH27" s="413"/>
      <c r="AI27" s="413"/>
      <c r="AJ27" s="413"/>
      <c r="AL27" s="413" t="s">
        <v>182</v>
      </c>
      <c r="AM27" s="413"/>
      <c r="AN27" s="413"/>
      <c r="AO27" s="413"/>
      <c r="AP27" s="413"/>
      <c r="AQ27" s="413"/>
    </row>
    <row r="28" spans="2:43" ht="13.8">
      <c r="D28" s="407" t="s">
        <v>185</v>
      </c>
      <c r="E28" s="401" t="s">
        <v>186</v>
      </c>
      <c r="F28" s="401"/>
      <c r="G28" s="401"/>
      <c r="H28" s="401" t="s">
        <v>187</v>
      </c>
      <c r="I28" s="401" t="s">
        <v>188</v>
      </c>
      <c r="J28" s="401"/>
      <c r="K28" s="401" t="s">
        <v>108</v>
      </c>
      <c r="L28" s="401"/>
      <c r="M28" s="401" t="s">
        <v>189</v>
      </c>
      <c r="N28" s="401"/>
      <c r="O28" s="401" t="s">
        <v>190</v>
      </c>
      <c r="P28" s="401"/>
      <c r="Q28" s="402" t="s">
        <v>191</v>
      </c>
      <c r="R28" s="402"/>
      <c r="T28" s="407" t="s">
        <v>192</v>
      </c>
      <c r="U28" s="401" t="s">
        <v>193</v>
      </c>
      <c r="V28" s="402" t="s">
        <v>194</v>
      </c>
      <c r="X28" s="240" t="s">
        <v>192</v>
      </c>
      <c r="Y28" s="259" t="s">
        <v>193</v>
      </c>
      <c r="Z28" s="280" t="s">
        <v>194</v>
      </c>
      <c r="AB28" s="412" t="s">
        <v>126</v>
      </c>
      <c r="AC28" s="412"/>
      <c r="AD28" s="412"/>
      <c r="AE28" s="407" t="s">
        <v>127</v>
      </c>
      <c r="AF28" s="407"/>
      <c r="AG28" s="407"/>
      <c r="AH28" s="402" t="s">
        <v>128</v>
      </c>
      <c r="AI28" s="402"/>
      <c r="AJ28" s="402"/>
      <c r="AL28" s="407" t="s">
        <v>195</v>
      </c>
      <c r="AM28" s="407"/>
      <c r="AN28" s="401" t="s">
        <v>196</v>
      </c>
      <c r="AO28" s="401"/>
      <c r="AP28" s="402" t="s">
        <v>197</v>
      </c>
      <c r="AQ28" s="402"/>
    </row>
    <row r="29" spans="2:43" ht="13.8">
      <c r="D29" s="407"/>
      <c r="E29" s="401"/>
      <c r="F29" s="401"/>
      <c r="G29" s="401"/>
      <c r="H29" s="401"/>
      <c r="I29" s="401"/>
      <c r="J29" s="401"/>
      <c r="K29" s="401"/>
      <c r="L29" s="401"/>
      <c r="M29" s="401"/>
      <c r="N29" s="401"/>
      <c r="O29" s="401"/>
      <c r="P29" s="401"/>
      <c r="Q29" s="402"/>
      <c r="R29" s="402"/>
      <c r="T29" s="407"/>
      <c r="U29" s="401"/>
      <c r="V29" s="402"/>
      <c r="X29" s="240"/>
      <c r="Y29" s="259"/>
      <c r="Z29" s="280"/>
      <c r="AB29" s="240" t="s">
        <v>192</v>
      </c>
      <c r="AC29" s="259" t="s">
        <v>193</v>
      </c>
      <c r="AD29" s="259" t="s">
        <v>194</v>
      </c>
      <c r="AE29" s="259" t="s">
        <v>192</v>
      </c>
      <c r="AF29" s="259" t="s">
        <v>198</v>
      </c>
      <c r="AG29" s="259" t="s">
        <v>194</v>
      </c>
      <c r="AH29" s="259" t="s">
        <v>192</v>
      </c>
      <c r="AI29" s="259" t="s">
        <v>193</v>
      </c>
      <c r="AJ29" s="280" t="s">
        <v>194</v>
      </c>
      <c r="AL29" s="240" t="s">
        <v>199</v>
      </c>
      <c r="AM29" s="259" t="s">
        <v>200</v>
      </c>
      <c r="AN29" s="259" t="s">
        <v>199</v>
      </c>
      <c r="AO29" s="259" t="s">
        <v>201</v>
      </c>
      <c r="AP29" s="259" t="s">
        <v>199</v>
      </c>
      <c r="AQ29" s="280" t="s">
        <v>201</v>
      </c>
    </row>
    <row r="30" spans="2:43" ht="13.8">
      <c r="C30" s="197"/>
      <c r="D30" s="240" t="s">
        <v>202</v>
      </c>
      <c r="E30" s="259" t="s">
        <v>203</v>
      </c>
      <c r="F30" s="259" t="s">
        <v>204</v>
      </c>
      <c r="G30" s="259" t="s">
        <v>205</v>
      </c>
      <c r="H30" s="259" t="s">
        <v>106</v>
      </c>
      <c r="I30" s="259" t="s">
        <v>206</v>
      </c>
      <c r="J30" s="259" t="s">
        <v>207</v>
      </c>
      <c r="K30" s="259" t="s">
        <v>206</v>
      </c>
      <c r="L30" s="259" t="s">
        <v>207</v>
      </c>
      <c r="M30" s="259" t="s">
        <v>206</v>
      </c>
      <c r="N30" s="259" t="s">
        <v>207</v>
      </c>
      <c r="O30" s="401" t="s">
        <v>208</v>
      </c>
      <c r="P30" s="401"/>
      <c r="Q30" s="402" t="s">
        <v>208</v>
      </c>
      <c r="R30" s="402"/>
      <c r="T30" s="240" t="s">
        <v>208</v>
      </c>
      <c r="U30" s="259" t="s">
        <v>209</v>
      </c>
      <c r="V30" s="280" t="s">
        <v>209</v>
      </c>
      <c r="X30" s="240" t="s">
        <v>209</v>
      </c>
      <c r="Y30" s="259" t="s">
        <v>208</v>
      </c>
      <c r="Z30" s="280" t="s">
        <v>209</v>
      </c>
      <c r="AB30" s="241"/>
      <c r="AC30" s="251"/>
      <c r="AD30" s="251"/>
      <c r="AE30" s="251"/>
      <c r="AF30" s="251"/>
      <c r="AG30" s="251"/>
      <c r="AH30" s="251"/>
      <c r="AI30" s="251"/>
      <c r="AJ30" s="263"/>
      <c r="AL30" s="241"/>
      <c r="AM30" s="251"/>
      <c r="AN30" s="251"/>
      <c r="AO30" s="251"/>
      <c r="AP30" s="251"/>
      <c r="AQ30" s="263"/>
    </row>
    <row r="31" spans="2:43" ht="13.8">
      <c r="D31" s="241">
        <v>0</v>
      </c>
      <c r="E31" s="251">
        <v>1.52</v>
      </c>
      <c r="F31" s="251">
        <v>0</v>
      </c>
      <c r="G31" s="251"/>
      <c r="H31" s="251"/>
      <c r="I31" s="251">
        <v>0</v>
      </c>
      <c r="J31" s="251">
        <v>40</v>
      </c>
      <c r="K31" s="251"/>
      <c r="L31" s="251">
        <v>8</v>
      </c>
      <c r="M31" s="273">
        <v>3830</v>
      </c>
      <c r="N31" s="273">
        <v>3840</v>
      </c>
      <c r="O31" s="408">
        <v>2000</v>
      </c>
      <c r="P31" s="408"/>
      <c r="Q31" s="409"/>
      <c r="R31" s="409"/>
      <c r="T31" s="241">
        <f>D20</f>
        <v>1012</v>
      </c>
      <c r="U31" s="251">
        <f t="shared" ref="U31:U37" si="0">M31-$D$20-$D$19</f>
        <v>1528</v>
      </c>
      <c r="V31" s="263"/>
      <c r="X31" s="241"/>
      <c r="Y31" s="251">
        <v>40</v>
      </c>
      <c r="Z31" s="263"/>
      <c r="AB31" s="241"/>
      <c r="AC31" s="251">
        <f>Z15</f>
        <v>0.19500000000000001</v>
      </c>
      <c r="AD31" s="251"/>
      <c r="AE31" s="251"/>
      <c r="AF31" s="251"/>
      <c r="AG31" s="251"/>
      <c r="AH31" s="251"/>
      <c r="AI31" s="251"/>
      <c r="AJ31" s="263"/>
      <c r="AL31" s="241"/>
      <c r="AM31" s="285">
        <f t="shared" ref="AM31:AM36" si="1">AC31*U32</f>
        <v>298.935</v>
      </c>
      <c r="AN31" s="251"/>
      <c r="AO31" s="251">
        <f t="shared" ref="AO31:AO36" si="2">AC31*Y32</f>
        <v>7.8000000000000007</v>
      </c>
      <c r="AP31" s="251"/>
      <c r="AQ31" s="263"/>
    </row>
    <row r="32" spans="2:43" ht="13.8">
      <c r="D32" s="241">
        <v>2</v>
      </c>
      <c r="E32" s="251"/>
      <c r="F32" s="251">
        <v>0</v>
      </c>
      <c r="G32" s="251"/>
      <c r="H32" s="251"/>
      <c r="I32" s="251"/>
      <c r="J32" s="251">
        <v>40</v>
      </c>
      <c r="K32" s="251"/>
      <c r="L32" s="251">
        <v>8</v>
      </c>
      <c r="M32" s="273">
        <v>3835</v>
      </c>
      <c r="N32" s="273">
        <v>3840</v>
      </c>
      <c r="O32" s="408">
        <v>2000</v>
      </c>
      <c r="P32" s="408"/>
      <c r="Q32" s="409">
        <v>40</v>
      </c>
      <c r="R32" s="409"/>
      <c r="T32" s="241"/>
      <c r="U32" s="251">
        <f t="shared" si="0"/>
        <v>1533</v>
      </c>
      <c r="V32" s="263"/>
      <c r="X32" s="241"/>
      <c r="Y32" s="251">
        <v>40</v>
      </c>
      <c r="Z32" s="263"/>
      <c r="AB32" s="241"/>
      <c r="AC32" s="251">
        <f t="shared" ref="AC32:AC36" si="3">Z16</f>
        <v>0.219</v>
      </c>
      <c r="AD32" s="251"/>
      <c r="AE32" s="251"/>
      <c r="AF32" s="251"/>
      <c r="AG32" s="251"/>
      <c r="AH32" s="251"/>
      <c r="AI32" s="251"/>
      <c r="AJ32" s="263"/>
      <c r="AL32" s="241"/>
      <c r="AM32" s="285">
        <f t="shared" si="1"/>
        <v>334.63200000000001</v>
      </c>
      <c r="AN32" s="251"/>
      <c r="AO32" s="251">
        <f t="shared" si="2"/>
        <v>8.76</v>
      </c>
      <c r="AP32" s="251"/>
      <c r="AQ32" s="263"/>
    </row>
    <row r="33" spans="4:43" ht="13.8">
      <c r="D33" s="241">
        <v>4</v>
      </c>
      <c r="E33" s="251"/>
      <c r="F33" s="251">
        <v>0</v>
      </c>
      <c r="G33" s="251"/>
      <c r="H33" s="251"/>
      <c r="I33" s="251"/>
      <c r="J33" s="251">
        <v>40</v>
      </c>
      <c r="K33" s="251"/>
      <c r="L33" s="251">
        <v>8</v>
      </c>
      <c r="M33" s="273">
        <v>3830</v>
      </c>
      <c r="N33" s="273">
        <v>3840</v>
      </c>
      <c r="O33" s="408">
        <v>2000</v>
      </c>
      <c r="P33" s="408"/>
      <c r="Q33" s="409">
        <v>40</v>
      </c>
      <c r="R33" s="409"/>
      <c r="T33" s="241"/>
      <c r="U33" s="251">
        <f t="shared" si="0"/>
        <v>1528</v>
      </c>
      <c r="V33" s="263"/>
      <c r="X33" s="241"/>
      <c r="Y33" s="251">
        <v>40</v>
      </c>
      <c r="Z33" s="263"/>
      <c r="AB33" s="241"/>
      <c r="AC33" s="251">
        <f t="shared" si="3"/>
        <v>0.22500000000000001</v>
      </c>
      <c r="AD33" s="251"/>
      <c r="AE33" s="251"/>
      <c r="AF33" s="251"/>
      <c r="AG33" s="251"/>
      <c r="AH33" s="251"/>
      <c r="AI33" s="251"/>
      <c r="AJ33" s="263"/>
      <c r="AL33" s="241"/>
      <c r="AM33" s="285">
        <f t="shared" si="1"/>
        <v>343.8</v>
      </c>
      <c r="AN33" s="251"/>
      <c r="AO33" s="251">
        <f t="shared" si="2"/>
        <v>9</v>
      </c>
      <c r="AP33" s="251"/>
      <c r="AQ33" s="263"/>
    </row>
    <row r="34" spans="4:43" ht="13.8">
      <c r="D34" s="241">
        <v>8</v>
      </c>
      <c r="E34" s="251"/>
      <c r="F34" s="251">
        <v>0</v>
      </c>
      <c r="G34" s="251"/>
      <c r="H34" s="251"/>
      <c r="I34" s="251"/>
      <c r="J34" s="251">
        <v>40</v>
      </c>
      <c r="K34" s="251"/>
      <c r="L34" s="251">
        <v>7</v>
      </c>
      <c r="M34" s="273">
        <v>3830</v>
      </c>
      <c r="N34" s="273">
        <v>3840</v>
      </c>
      <c r="O34" s="408">
        <v>2000</v>
      </c>
      <c r="P34" s="408"/>
      <c r="Q34" s="409">
        <v>40</v>
      </c>
      <c r="R34" s="409"/>
      <c r="T34" s="241"/>
      <c r="U34" s="251">
        <f t="shared" si="0"/>
        <v>1528</v>
      </c>
      <c r="V34" s="263"/>
      <c r="X34" s="241"/>
      <c r="Y34" s="251">
        <v>40</v>
      </c>
      <c r="Z34" s="263"/>
      <c r="AB34" s="241"/>
      <c r="AC34" s="251">
        <f t="shared" si="3"/>
        <v>0.222</v>
      </c>
      <c r="AD34" s="251"/>
      <c r="AE34" s="251"/>
      <c r="AF34" s="251"/>
      <c r="AG34" s="251"/>
      <c r="AH34" s="251"/>
      <c r="AI34" s="251"/>
      <c r="AJ34" s="263"/>
      <c r="AL34" s="241"/>
      <c r="AM34" s="285">
        <f t="shared" si="1"/>
        <v>339.21600000000001</v>
      </c>
      <c r="AN34" s="251"/>
      <c r="AO34" s="251">
        <f t="shared" si="2"/>
        <v>8.8800000000000008</v>
      </c>
      <c r="AP34" s="251"/>
      <c r="AQ34" s="263"/>
    </row>
    <row r="35" spans="4:43" ht="13.8">
      <c r="D35" s="241">
        <v>12</v>
      </c>
      <c r="E35" s="251"/>
      <c r="F35" s="251">
        <v>0</v>
      </c>
      <c r="G35" s="251">
        <v>2</v>
      </c>
      <c r="H35" s="251"/>
      <c r="I35" s="251"/>
      <c r="J35" s="251">
        <v>40</v>
      </c>
      <c r="K35" s="251"/>
      <c r="L35" s="251">
        <v>7</v>
      </c>
      <c r="M35" s="273">
        <v>3830</v>
      </c>
      <c r="N35" s="273">
        <v>3845</v>
      </c>
      <c r="O35" s="408">
        <v>2000</v>
      </c>
      <c r="P35" s="408"/>
      <c r="Q35" s="409">
        <v>40</v>
      </c>
      <c r="R35" s="409"/>
      <c r="T35" s="241"/>
      <c r="U35" s="251">
        <f t="shared" si="0"/>
        <v>1528</v>
      </c>
      <c r="V35" s="263"/>
      <c r="X35" s="241"/>
      <c r="Y35" s="251">
        <v>40</v>
      </c>
      <c r="Z35" s="263"/>
      <c r="AB35" s="241"/>
      <c r="AC35" s="274">
        <f t="shared" si="3"/>
        <v>0.21</v>
      </c>
      <c r="AD35" s="251"/>
      <c r="AE35" s="251"/>
      <c r="AF35" s="251"/>
      <c r="AG35" s="251"/>
      <c r="AH35" s="251"/>
      <c r="AI35" s="251"/>
      <c r="AJ35" s="263"/>
      <c r="AL35" s="241"/>
      <c r="AM35" s="285">
        <f t="shared" si="1"/>
        <v>320.88</v>
      </c>
      <c r="AN35" s="251"/>
      <c r="AO35" s="251">
        <f t="shared" si="2"/>
        <v>8.4</v>
      </c>
      <c r="AP35" s="251"/>
      <c r="AQ35" s="263"/>
    </row>
    <row r="36" spans="4:43" ht="13.8">
      <c r="D36" s="241">
        <v>24</v>
      </c>
      <c r="E36" s="251"/>
      <c r="F36" s="251">
        <v>0</v>
      </c>
      <c r="G36" s="251"/>
      <c r="H36" s="251"/>
      <c r="I36" s="251"/>
      <c r="J36" s="251">
        <v>40</v>
      </c>
      <c r="K36" s="251"/>
      <c r="L36" s="251">
        <v>7</v>
      </c>
      <c r="M36" s="273">
        <v>3830</v>
      </c>
      <c r="N36" s="273">
        <v>3845</v>
      </c>
      <c r="O36" s="408">
        <v>2000</v>
      </c>
      <c r="P36" s="408"/>
      <c r="Q36" s="409">
        <v>40</v>
      </c>
      <c r="R36" s="409"/>
      <c r="T36" s="241"/>
      <c r="U36" s="251">
        <f t="shared" si="0"/>
        <v>1528</v>
      </c>
      <c r="V36" s="263"/>
      <c r="X36" s="241"/>
      <c r="Y36" s="251">
        <v>40</v>
      </c>
      <c r="Z36" s="263"/>
      <c r="AB36" s="241">
        <f>G12</f>
        <v>8.8249999999999995E-2</v>
      </c>
      <c r="AC36" s="251">
        <f t="shared" si="3"/>
        <v>1.2999999999999999E-2</v>
      </c>
      <c r="AD36" s="251"/>
      <c r="AE36" s="251">
        <f>H12</f>
        <v>0.33666666666666667</v>
      </c>
      <c r="AF36" s="251"/>
      <c r="AG36" s="251"/>
      <c r="AH36" s="251">
        <f>I12</f>
        <v>8.1999999999999993</v>
      </c>
      <c r="AI36" s="251"/>
      <c r="AJ36" s="263"/>
      <c r="AL36" s="241">
        <f>AB36*D20</f>
        <v>89.308999999999997</v>
      </c>
      <c r="AM36" s="285">
        <f t="shared" si="1"/>
        <v>19.864000000000001</v>
      </c>
      <c r="AN36" s="251"/>
      <c r="AO36" s="251">
        <f t="shared" si="2"/>
        <v>0.52</v>
      </c>
      <c r="AP36" s="251"/>
      <c r="AQ36" s="263"/>
    </row>
    <row r="37" spans="4:43" ht="13.8">
      <c r="D37" s="241">
        <v>48</v>
      </c>
      <c r="E37" s="251"/>
      <c r="F37" s="251">
        <v>0</v>
      </c>
      <c r="G37" s="251"/>
      <c r="H37" s="251"/>
      <c r="I37" s="251"/>
      <c r="J37" s="251">
        <v>40</v>
      </c>
      <c r="K37" s="251"/>
      <c r="L37" s="251">
        <v>7</v>
      </c>
      <c r="M37" s="273">
        <v>3830</v>
      </c>
      <c r="N37" s="273">
        <v>3830</v>
      </c>
      <c r="O37" s="408">
        <v>2000</v>
      </c>
      <c r="P37" s="408"/>
      <c r="Q37" s="409">
        <v>40</v>
      </c>
      <c r="R37" s="409"/>
      <c r="T37" s="241"/>
      <c r="U37" s="251">
        <f t="shared" si="0"/>
        <v>1528</v>
      </c>
      <c r="V37" s="263"/>
      <c r="X37" s="241">
        <f>D20</f>
        <v>1012</v>
      </c>
      <c r="Y37" s="251">
        <v>40</v>
      </c>
      <c r="Z37" s="263">
        <f>G35</f>
        <v>2</v>
      </c>
      <c r="AB37" s="229"/>
      <c r="AC37" s="251"/>
      <c r="AD37" s="251"/>
      <c r="AE37" s="251"/>
      <c r="AF37" s="251"/>
      <c r="AG37" s="251"/>
      <c r="AH37" s="251"/>
      <c r="AI37" s="251"/>
      <c r="AJ37" s="263"/>
      <c r="AL37" s="241"/>
      <c r="AM37" s="251"/>
      <c r="AN37" s="251"/>
      <c r="AO37" s="251"/>
      <c r="AP37" s="251"/>
      <c r="AQ37" s="263"/>
    </row>
    <row r="38" spans="4:43" ht="13.8">
      <c r="D38" s="241" t="s">
        <v>210</v>
      </c>
      <c r="E38" s="251">
        <v>1.52</v>
      </c>
      <c r="F38" s="251">
        <f>SUM(F31:F37)</f>
        <v>0</v>
      </c>
      <c r="G38" s="251">
        <f>G35</f>
        <v>2</v>
      </c>
      <c r="H38" s="251"/>
      <c r="I38" s="251"/>
      <c r="J38" s="251"/>
      <c r="K38" s="251"/>
      <c r="L38" s="251"/>
      <c r="M38" s="274"/>
      <c r="N38" s="274"/>
      <c r="O38" s="408"/>
      <c r="P38" s="408"/>
      <c r="Q38" s="409"/>
      <c r="R38" s="409"/>
      <c r="T38" s="241"/>
      <c r="U38" s="251"/>
      <c r="V38" s="263"/>
      <c r="X38" s="241"/>
      <c r="Y38" s="251"/>
      <c r="Z38" s="263"/>
      <c r="AB38" s="241"/>
      <c r="AC38" s="251"/>
      <c r="AD38" s="251"/>
      <c r="AE38" s="251"/>
      <c r="AF38" s="251"/>
      <c r="AG38" s="251"/>
      <c r="AH38" s="251"/>
      <c r="AI38" s="251"/>
      <c r="AJ38" s="263"/>
      <c r="AL38" s="241"/>
      <c r="AM38" s="251"/>
      <c r="AN38" s="251"/>
      <c r="AO38" s="251"/>
      <c r="AP38" s="251"/>
      <c r="AQ38" s="263"/>
    </row>
    <row r="39" spans="4:43" ht="13.8">
      <c r="D39" s="242" t="s">
        <v>211</v>
      </c>
      <c r="E39" s="410">
        <v>0</v>
      </c>
      <c r="F39" s="410"/>
      <c r="G39" s="410"/>
      <c r="H39" s="253"/>
      <c r="I39" s="253"/>
      <c r="J39" s="253"/>
      <c r="K39" s="253"/>
      <c r="L39" s="253"/>
      <c r="M39" s="275"/>
      <c r="N39" s="275"/>
      <c r="O39" s="410"/>
      <c r="P39" s="410"/>
      <c r="Q39" s="411"/>
      <c r="R39" s="411"/>
      <c r="T39" s="242"/>
      <c r="U39" s="253"/>
      <c r="V39" s="264"/>
      <c r="X39" s="242"/>
      <c r="Y39" s="253"/>
      <c r="Z39" s="264"/>
      <c r="AB39" s="242"/>
      <c r="AC39" s="253"/>
      <c r="AD39" s="253"/>
      <c r="AE39" s="253"/>
      <c r="AF39" s="253"/>
      <c r="AG39" s="253"/>
      <c r="AH39" s="253"/>
      <c r="AI39" s="253"/>
      <c r="AJ39" s="264"/>
      <c r="AL39" s="242"/>
      <c r="AM39" s="253"/>
      <c r="AN39" s="253"/>
      <c r="AO39" s="253"/>
      <c r="AP39" s="253"/>
      <c r="AQ39" s="264"/>
    </row>
    <row r="40" spans="4:43" ht="13.8">
      <c r="N40" s="276"/>
    </row>
    <row r="41" spans="4:43" ht="13.8">
      <c r="D41" s="405" t="s">
        <v>212</v>
      </c>
      <c r="E41" s="405"/>
      <c r="F41" s="405"/>
      <c r="H41" s="421" t="s">
        <v>213</v>
      </c>
      <c r="I41" s="421"/>
      <c r="J41" s="421"/>
      <c r="K41" s="421"/>
    </row>
    <row r="42" spans="4:43" ht="13.8">
      <c r="D42" s="406" t="s">
        <v>214</v>
      </c>
      <c r="E42" s="406"/>
      <c r="F42" s="406"/>
      <c r="H42" s="422" t="s">
        <v>215</v>
      </c>
      <c r="I42" s="422"/>
      <c r="J42" s="422"/>
      <c r="K42" s="422"/>
    </row>
    <row r="43" spans="4:43" ht="13.8">
      <c r="D43" s="243" t="s">
        <v>126</v>
      </c>
      <c r="E43" s="197" t="s">
        <v>127</v>
      </c>
      <c r="F43" s="235" t="s">
        <v>128</v>
      </c>
      <c r="H43" s="209" t="s">
        <v>202</v>
      </c>
      <c r="I43" s="269" t="s">
        <v>126</v>
      </c>
      <c r="J43" s="269" t="s">
        <v>127</v>
      </c>
      <c r="K43" s="270" t="s">
        <v>128</v>
      </c>
    </row>
    <row r="44" spans="4:43" ht="13.8">
      <c r="D44" s="243">
        <f>AM31+AO31</f>
        <v>306.73500000000001</v>
      </c>
      <c r="E44" s="197"/>
      <c r="F44" s="235"/>
      <c r="H44" s="206">
        <v>2</v>
      </c>
      <c r="I44" s="271">
        <f t="shared" ref="I44:I49" si="4">D44/$G$15</f>
        <v>0.37746007095488843</v>
      </c>
      <c r="J44" s="197"/>
      <c r="K44" s="207"/>
      <c r="P44" s="277"/>
    </row>
    <row r="45" spans="4:43" ht="13.8">
      <c r="D45" s="243">
        <f>AM32+SUM(AO31:AO32)</f>
        <v>351.19200000000001</v>
      </c>
      <c r="E45" s="197"/>
      <c r="F45" s="235"/>
      <c r="H45" s="206">
        <v>4</v>
      </c>
      <c r="I45" s="271">
        <f t="shared" si="4"/>
        <v>0.43216769276016487</v>
      </c>
      <c r="J45" s="197"/>
      <c r="K45" s="207"/>
    </row>
    <row r="46" spans="4:43" ht="13.8">
      <c r="D46" s="243">
        <f>AM33+SUM(AO31:AO33)</f>
        <v>369.36</v>
      </c>
      <c r="E46" s="197"/>
      <c r="F46" s="235"/>
      <c r="H46" s="206">
        <v>8</v>
      </c>
      <c r="I46" s="271">
        <f t="shared" si="4"/>
        <v>0.45452475853064561</v>
      </c>
      <c r="J46" s="197"/>
      <c r="K46" s="207"/>
    </row>
    <row r="47" spans="4:43" ht="13.8">
      <c r="D47" s="243">
        <f>AM34+SUM(AO31:AO34)</f>
        <v>373.65600000000001</v>
      </c>
      <c r="E47" s="197"/>
      <c r="F47" s="235"/>
      <c r="H47" s="206">
        <v>12</v>
      </c>
      <c r="I47" s="271">
        <f t="shared" si="4"/>
        <v>0.45981130380530355</v>
      </c>
      <c r="J47" s="197"/>
      <c r="K47" s="207"/>
    </row>
    <row r="48" spans="4:43" ht="13.8">
      <c r="D48" s="243">
        <f>AM35+AM34+SUM(AO31:AO35)</f>
        <v>702.93600000000004</v>
      </c>
      <c r="E48" s="197"/>
      <c r="F48" s="235"/>
      <c r="H48" s="206">
        <v>24</v>
      </c>
      <c r="I48" s="271">
        <f t="shared" si="4"/>
        <v>0.86501466228746449</v>
      </c>
      <c r="J48" s="197"/>
      <c r="K48" s="207"/>
    </row>
    <row r="49" spans="4:11" ht="13.8">
      <c r="D49" s="244">
        <f>AM36+AM35+AM34+SUM(AO31:AO36)</f>
        <v>723.32</v>
      </c>
      <c r="E49" s="231"/>
      <c r="F49" s="239"/>
      <c r="H49" s="209">
        <v>48</v>
      </c>
      <c r="I49" s="272">
        <f t="shared" si="4"/>
        <v>0.8900986797173126</v>
      </c>
      <c r="J49" s="269"/>
      <c r="K49" s="270"/>
    </row>
  </sheetData>
  <mergeCells count="60">
    <mergeCell ref="X27:Z27"/>
    <mergeCell ref="AB27:AJ27"/>
    <mergeCell ref="AL27:AQ27"/>
    <mergeCell ref="B2:F2"/>
    <mergeCell ref="U4:X4"/>
    <mergeCell ref="Y4:AB4"/>
    <mergeCell ref="B9:D9"/>
    <mergeCell ref="F9:I9"/>
    <mergeCell ref="K9:M9"/>
    <mergeCell ref="AP28:AQ28"/>
    <mergeCell ref="O30:P30"/>
    <mergeCell ref="Q30:R30"/>
    <mergeCell ref="O31:P31"/>
    <mergeCell ref="Q31:R31"/>
    <mergeCell ref="V28:V29"/>
    <mergeCell ref="AB28:AD28"/>
    <mergeCell ref="AE28:AG28"/>
    <mergeCell ref="AH28:AJ28"/>
    <mergeCell ref="AL28:AM28"/>
    <mergeCell ref="AN28:AO28"/>
    <mergeCell ref="O32:P32"/>
    <mergeCell ref="Q32:R32"/>
    <mergeCell ref="O33:P33"/>
    <mergeCell ref="Q33:R33"/>
    <mergeCell ref="O34:P34"/>
    <mergeCell ref="Q34:R34"/>
    <mergeCell ref="O35:P35"/>
    <mergeCell ref="Q35:R35"/>
    <mergeCell ref="O36:P36"/>
    <mergeCell ref="Q36:R36"/>
    <mergeCell ref="O37:P37"/>
    <mergeCell ref="Q37:R37"/>
    <mergeCell ref="O38:P38"/>
    <mergeCell ref="Q38:R38"/>
    <mergeCell ref="E39:G39"/>
    <mergeCell ref="O39:P39"/>
    <mergeCell ref="Q39:R39"/>
    <mergeCell ref="D41:F41"/>
    <mergeCell ref="H41:K41"/>
    <mergeCell ref="D42:F42"/>
    <mergeCell ref="H42:K42"/>
    <mergeCell ref="D28:D29"/>
    <mergeCell ref="F15:F16"/>
    <mergeCell ref="F19:F20"/>
    <mergeCell ref="G15:G16"/>
    <mergeCell ref="H15:H16"/>
    <mergeCell ref="H28:H29"/>
    <mergeCell ref="E28:G29"/>
    <mergeCell ref="D27:R27"/>
    <mergeCell ref="I15:I16"/>
    <mergeCell ref="S4:S6"/>
    <mergeCell ref="T5:T6"/>
    <mergeCell ref="T28:T29"/>
    <mergeCell ref="U28:U29"/>
    <mergeCell ref="I28:J29"/>
    <mergeCell ref="K28:L29"/>
    <mergeCell ref="M28:N29"/>
    <mergeCell ref="O28:P29"/>
    <mergeCell ref="Q28:R29"/>
    <mergeCell ref="T27:V27"/>
  </mergeCells>
  <pageMargins left="0.7" right="0.7" top="0.75" bottom="0.75" header="0.511811023622047" footer="0.511811023622047"/>
  <pageSetup orientation="portrait" horizontalDpi="300" verticalDpi="300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>
    <tabColor theme="7"/>
  </sheetPr>
  <dimension ref="C2:M22"/>
  <sheetViews>
    <sheetView topLeftCell="B1" zoomScale="70" zoomScaleNormal="70" workbookViewId="0"/>
  </sheetViews>
  <sheetFormatPr defaultColWidth="10" defaultRowHeight="16.2" customHeight="1"/>
  <cols>
    <col min="3" max="3" width="14.296875" customWidth="1"/>
    <col min="5" max="5" width="25.3984375" customWidth="1"/>
    <col min="6" max="6" width="26.69921875" customWidth="1"/>
    <col min="7" max="7" width="21.796875" customWidth="1"/>
    <col min="8" max="8" width="22.8984375" customWidth="1"/>
    <col min="13" max="13" width="12.5" customWidth="1"/>
  </cols>
  <sheetData>
    <row r="2" spans="3:13" ht="16.2" customHeight="1">
      <c r="C2" t="s">
        <v>271</v>
      </c>
      <c r="D2" t="s">
        <v>272</v>
      </c>
    </row>
    <row r="4" spans="3:13" ht="16.2" customHeight="1">
      <c r="C4" s="423" t="s">
        <v>273</v>
      </c>
      <c r="D4" s="423"/>
      <c r="E4" s="423"/>
      <c r="F4" s="423"/>
      <c r="G4" s="423"/>
      <c r="H4" s="423"/>
      <c r="I4" s="423"/>
    </row>
    <row r="5" spans="3:13" ht="16.2" customHeight="1">
      <c r="C5" s="124"/>
      <c r="D5" s="124"/>
      <c r="E5" s="124"/>
      <c r="F5" s="124"/>
      <c r="G5" s="124"/>
      <c r="H5" s="124"/>
      <c r="I5" s="124"/>
    </row>
    <row r="6" spans="3:13" ht="16.2" customHeight="1">
      <c r="C6" s="211" t="s">
        <v>77</v>
      </c>
      <c r="D6" s="212" t="s">
        <v>274</v>
      </c>
      <c r="E6" s="212" t="s">
        <v>275</v>
      </c>
      <c r="F6" s="212" t="s">
        <v>276</v>
      </c>
      <c r="G6" s="212" t="s">
        <v>277</v>
      </c>
      <c r="H6" s="212" t="s">
        <v>278</v>
      </c>
      <c r="I6" s="217" t="s">
        <v>279</v>
      </c>
      <c r="K6" s="218" t="s">
        <v>280</v>
      </c>
      <c r="L6" s="219" t="s">
        <v>281</v>
      </c>
      <c r="M6" s="223" t="s">
        <v>282</v>
      </c>
    </row>
    <row r="7" spans="3:13" ht="16.2" customHeight="1">
      <c r="C7" s="213">
        <v>1</v>
      </c>
      <c r="D7" s="124">
        <v>0.17499999999999999</v>
      </c>
      <c r="E7" s="124">
        <v>500</v>
      </c>
      <c r="F7" s="124">
        <v>225</v>
      </c>
      <c r="G7" s="124">
        <v>75</v>
      </c>
      <c r="H7" s="124">
        <v>20</v>
      </c>
      <c r="I7" s="125">
        <f t="shared" ref="I7:I19" si="0">((E7-F7)/E7)*100</f>
        <v>55.000000000000007</v>
      </c>
      <c r="K7" s="215">
        <f>INTERCEPT(I7:I11,H7:H11)</f>
        <v>46.600000000000009</v>
      </c>
      <c r="L7" s="216">
        <f>SLOPE(I7:I11,H7:H11)</f>
        <v>0.3899999999999999</v>
      </c>
      <c r="M7" s="222">
        <f>RSQ(I7:I16,H7:H16)</f>
        <v>0.97555472172386426</v>
      </c>
    </row>
    <row r="8" spans="3:13" ht="16.2" customHeight="1">
      <c r="C8" s="213">
        <v>2</v>
      </c>
      <c r="D8" s="124">
        <v>0.17499999999999999</v>
      </c>
      <c r="E8" s="124">
        <v>500</v>
      </c>
      <c r="F8" s="124">
        <v>215</v>
      </c>
      <c r="G8" s="124">
        <v>75</v>
      </c>
      <c r="H8" s="124">
        <v>30</v>
      </c>
      <c r="I8" s="125">
        <f t="shared" si="0"/>
        <v>56.999999999999993</v>
      </c>
      <c r="K8" s="124"/>
      <c r="L8" s="124"/>
      <c r="M8" s="124"/>
    </row>
    <row r="9" spans="3:13" ht="16.2" customHeight="1">
      <c r="C9" s="213">
        <v>3</v>
      </c>
      <c r="D9" s="124">
        <v>0.17499999999999999</v>
      </c>
      <c r="E9" s="124">
        <v>500</v>
      </c>
      <c r="F9" s="124">
        <v>185</v>
      </c>
      <c r="G9" s="124">
        <v>75</v>
      </c>
      <c r="H9" s="124">
        <v>40</v>
      </c>
      <c r="I9" s="125">
        <f t="shared" si="0"/>
        <v>63</v>
      </c>
      <c r="K9" s="124"/>
      <c r="L9" s="124"/>
      <c r="M9" s="124"/>
    </row>
    <row r="10" spans="3:13" ht="16.2" customHeight="1">
      <c r="C10" s="213">
        <v>4</v>
      </c>
      <c r="D10" s="124">
        <v>0.17499999999999999</v>
      </c>
      <c r="E10" s="124">
        <v>500</v>
      </c>
      <c r="F10" s="124">
        <v>170</v>
      </c>
      <c r="G10" s="124">
        <v>75</v>
      </c>
      <c r="H10" s="124">
        <v>50</v>
      </c>
      <c r="I10" s="125">
        <f t="shared" si="0"/>
        <v>66</v>
      </c>
      <c r="K10" s="124"/>
      <c r="L10" s="124"/>
      <c r="M10" s="124">
        <f>RSQ(I15:I17,H15:H17)</f>
        <v>0.99324324324324331</v>
      </c>
    </row>
    <row r="11" spans="3:13" ht="16.2" customHeight="1">
      <c r="C11" s="213">
        <v>5</v>
      </c>
      <c r="D11" s="124">
        <v>0.17499999999999999</v>
      </c>
      <c r="E11" s="124">
        <v>500</v>
      </c>
      <c r="F11" s="124">
        <v>150</v>
      </c>
      <c r="G11" s="124">
        <v>75</v>
      </c>
      <c r="H11" s="124">
        <v>60</v>
      </c>
      <c r="I11" s="125">
        <f t="shared" si="0"/>
        <v>70</v>
      </c>
      <c r="K11" s="124"/>
      <c r="L11" s="124"/>
      <c r="M11" s="124"/>
    </row>
    <row r="12" spans="3:13" ht="16.2" customHeight="1">
      <c r="C12" s="213">
        <v>6</v>
      </c>
      <c r="D12" s="124">
        <v>0.17499999999999999</v>
      </c>
      <c r="E12" s="124">
        <v>500</v>
      </c>
      <c r="F12" s="124">
        <v>140</v>
      </c>
      <c r="G12" s="124">
        <v>75</v>
      </c>
      <c r="H12" s="124">
        <v>70</v>
      </c>
      <c r="I12" s="220">
        <f t="shared" si="0"/>
        <v>72</v>
      </c>
      <c r="K12" t="s">
        <v>283</v>
      </c>
      <c r="L12" t="s">
        <v>284</v>
      </c>
    </row>
    <row r="13" spans="3:13" ht="16.2" customHeight="1">
      <c r="C13" s="213">
        <v>7</v>
      </c>
      <c r="D13" s="124">
        <v>0.17499999999999999</v>
      </c>
      <c r="E13" s="124">
        <v>500</v>
      </c>
      <c r="F13" s="124">
        <v>130</v>
      </c>
      <c r="G13" s="124">
        <v>75</v>
      </c>
      <c r="H13" s="124">
        <v>80</v>
      </c>
      <c r="I13" s="125">
        <f t="shared" si="0"/>
        <v>74</v>
      </c>
      <c r="K13">
        <f>SLOPE(CHOOSE({1,2,3},I7,I9,I11),CHOOSE({1,2,3},H7,H9,H11))</f>
        <v>0.37499999999999983</v>
      </c>
      <c r="L13" s="221">
        <f>(INTERCEPT(CHOOSE({1,2,3},I7,I9,I11),CHOOSE({1,2,3},H7,H9,H11)))/100</f>
        <v>0.47666666666666674</v>
      </c>
      <c r="M13" s="224">
        <f>RSQ(CHOOSE({1,2,3},I7,I9,I11),CHOOSE({1,2,3},H7,H9,H11))</f>
        <v>0.99852071005917198</v>
      </c>
    </row>
    <row r="14" spans="3:13" ht="16.2" customHeight="1">
      <c r="C14" s="213">
        <v>8</v>
      </c>
      <c r="D14" s="124">
        <v>0.17499999999999999</v>
      </c>
      <c r="E14" s="124">
        <v>500</v>
      </c>
      <c r="F14" s="124">
        <v>120</v>
      </c>
      <c r="G14" s="124">
        <v>75</v>
      </c>
      <c r="H14" s="124">
        <v>90</v>
      </c>
      <c r="I14" s="125">
        <f t="shared" si="0"/>
        <v>76</v>
      </c>
    </row>
    <row r="15" spans="3:13" ht="16.2" customHeight="1">
      <c r="C15" s="213">
        <v>9</v>
      </c>
      <c r="D15" s="124">
        <v>0.17499999999999999</v>
      </c>
      <c r="E15" s="124">
        <v>500</v>
      </c>
      <c r="F15" s="124">
        <f>265-175</f>
        <v>90</v>
      </c>
      <c r="G15" s="124">
        <v>75</v>
      </c>
      <c r="H15" s="124">
        <v>100</v>
      </c>
      <c r="I15" s="125">
        <f t="shared" si="0"/>
        <v>82</v>
      </c>
      <c r="M15" s="225">
        <f>((60/100-L13)/K13)*100</f>
        <v>32.888888888888879</v>
      </c>
    </row>
    <row r="16" spans="3:13" ht="16.2" customHeight="1">
      <c r="C16" s="213">
        <v>10</v>
      </c>
      <c r="D16" s="214">
        <v>0.17</v>
      </c>
      <c r="E16" s="124">
        <v>500</v>
      </c>
      <c r="F16" s="124">
        <f>250-170</f>
        <v>80</v>
      </c>
      <c r="G16" s="124">
        <v>75</v>
      </c>
      <c r="H16" s="124">
        <v>120</v>
      </c>
      <c r="I16" s="125">
        <f t="shared" si="0"/>
        <v>84</v>
      </c>
    </row>
    <row r="17" spans="3:11" ht="16.2" customHeight="1">
      <c r="C17" s="213">
        <v>11</v>
      </c>
      <c r="D17" s="124">
        <v>0.17499999999999999</v>
      </c>
      <c r="E17" s="124">
        <v>500</v>
      </c>
      <c r="F17" s="124">
        <v>70</v>
      </c>
      <c r="G17" s="124">
        <v>75</v>
      </c>
      <c r="H17" s="124">
        <v>135</v>
      </c>
      <c r="I17" s="125">
        <f t="shared" si="0"/>
        <v>86</v>
      </c>
      <c r="K17" t="s">
        <v>285</v>
      </c>
    </row>
    <row r="18" spans="3:11" ht="16.2" customHeight="1">
      <c r="C18" s="213">
        <v>12</v>
      </c>
      <c r="D18" s="124">
        <v>0.17499999999999999</v>
      </c>
      <c r="E18" s="124">
        <v>500</v>
      </c>
      <c r="F18" s="124">
        <v>65</v>
      </c>
      <c r="G18" s="124">
        <v>75</v>
      </c>
      <c r="H18" s="124">
        <v>149</v>
      </c>
      <c r="I18" s="125">
        <f t="shared" si="0"/>
        <v>87</v>
      </c>
      <c r="K18" t="s">
        <v>286</v>
      </c>
    </row>
    <row r="19" spans="3:11" ht="16.2" customHeight="1">
      <c r="C19" s="215">
        <v>13</v>
      </c>
      <c r="D19" s="216">
        <v>0.17499999999999999</v>
      </c>
      <c r="E19" s="216">
        <v>500</v>
      </c>
      <c r="F19" s="216">
        <v>45</v>
      </c>
      <c r="G19" s="216">
        <v>75</v>
      </c>
      <c r="H19" s="216">
        <v>308</v>
      </c>
      <c r="I19" s="222">
        <f t="shared" si="0"/>
        <v>91</v>
      </c>
      <c r="K19" t="s">
        <v>287</v>
      </c>
    </row>
    <row r="20" spans="3:11" ht="16.2" customHeight="1">
      <c r="C20" s="124"/>
      <c r="D20" s="124"/>
      <c r="E20" s="124"/>
      <c r="F20" s="124"/>
      <c r="G20" s="124"/>
      <c r="H20" s="124"/>
      <c r="I20" s="124"/>
    </row>
    <row r="21" spans="3:11" ht="16.2" customHeight="1">
      <c r="C21" s="124"/>
      <c r="D21" s="124"/>
      <c r="E21" s="124"/>
      <c r="F21" s="124"/>
      <c r="G21" s="124"/>
      <c r="H21" s="124"/>
      <c r="I21" s="124"/>
    </row>
    <row r="22" spans="3:11" ht="16.2" customHeight="1">
      <c r="C22" s="124"/>
      <c r="D22" s="124"/>
      <c r="E22" s="124"/>
      <c r="F22" s="124"/>
      <c r="G22" s="124"/>
      <c r="H22" s="124"/>
      <c r="I22" s="124"/>
    </row>
  </sheetData>
  <mergeCells count="1">
    <mergeCell ref="C4:I4"/>
  </mergeCells>
  <pageMargins left="0.7" right="0.7" top="0.75" bottom="0.75" header="0.511811023622047" footer="0.511811023622047"/>
  <pageSetup orientation="portrait" horizontalDpi="300" verticalDpi="300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>
    <tabColor theme="7"/>
  </sheetPr>
  <dimension ref="AE5:AQ27"/>
  <sheetViews>
    <sheetView topLeftCell="AC4" zoomScale="60" zoomScaleNormal="60" workbookViewId="0">
      <selection activeCell="AN68" sqref="AN68"/>
    </sheetView>
  </sheetViews>
  <sheetFormatPr defaultColWidth="10.5" defaultRowHeight="13.8" customHeight="1"/>
  <cols>
    <col min="1" max="30" width="10.5" style="192"/>
    <col min="31" max="31" width="13.59765625" style="192" customWidth="1"/>
    <col min="32" max="32" width="15.59765625" style="192" customWidth="1"/>
    <col min="33" max="33" width="18.296875" style="192" customWidth="1"/>
    <col min="34" max="34" width="30.5" style="192" customWidth="1"/>
    <col min="35" max="35" width="21.19921875" style="192" customWidth="1"/>
    <col min="36" max="36" width="17.296875" style="192" customWidth="1"/>
    <col min="37" max="37" width="20.8984375" style="192" customWidth="1"/>
    <col min="38" max="38" width="17.796875" style="192" customWidth="1"/>
    <col min="39" max="39" width="22.69921875" style="192" customWidth="1"/>
    <col min="40" max="40" width="20.3984375" style="192" customWidth="1"/>
    <col min="41" max="41" width="15.8984375" style="192" customWidth="1"/>
    <col min="42" max="42" width="24.59765625" style="192" customWidth="1"/>
    <col min="43" max="16384" width="10.5" style="192"/>
  </cols>
  <sheetData>
    <row r="5" spans="31:43" ht="13.8" customHeight="1">
      <c r="AE5" s="193" t="s">
        <v>101</v>
      </c>
      <c r="AF5" s="431" t="s">
        <v>288</v>
      </c>
      <c r="AG5" s="431"/>
    </row>
    <row r="6" spans="31:43" ht="13.8" customHeight="1">
      <c r="AE6" s="194" t="s">
        <v>132</v>
      </c>
      <c r="AF6" s="432">
        <v>46199</v>
      </c>
      <c r="AG6" s="432"/>
    </row>
    <row r="7" spans="31:43" ht="13.8" customHeight="1">
      <c r="AE7" s="195" t="s">
        <v>289</v>
      </c>
      <c r="AF7" s="433" t="s">
        <v>290</v>
      </c>
      <c r="AG7" s="433"/>
    </row>
    <row r="14" spans="31:43" ht="13.8" customHeight="1">
      <c r="AJ14" s="197"/>
      <c r="AK14" s="197"/>
      <c r="AL14" s="197"/>
      <c r="AM14" s="197"/>
    </row>
    <row r="15" spans="31:43" ht="13.8" customHeight="1">
      <c r="AE15" s="434" t="s">
        <v>291</v>
      </c>
      <c r="AF15" s="435"/>
      <c r="AG15" s="435"/>
      <c r="AH15" s="435"/>
      <c r="AI15" s="436"/>
      <c r="AK15" s="428" t="s">
        <v>292</v>
      </c>
      <c r="AL15" s="429"/>
      <c r="AM15" s="429"/>
      <c r="AN15" s="430"/>
      <c r="AP15" s="424" t="s">
        <v>293</v>
      </c>
      <c r="AQ15" s="424"/>
    </row>
    <row r="16" spans="31:43" ht="13.8" customHeight="1">
      <c r="AE16" s="196" t="s">
        <v>294</v>
      </c>
      <c r="AF16" s="197" t="s">
        <v>295</v>
      </c>
      <c r="AG16" s="197" t="s">
        <v>296</v>
      </c>
      <c r="AH16" s="197" t="s">
        <v>297</v>
      </c>
      <c r="AI16" s="201" t="s">
        <v>298</v>
      </c>
      <c r="AK16" s="196" t="s">
        <v>294</v>
      </c>
      <c r="AL16" s="197" t="s">
        <v>295</v>
      </c>
      <c r="AM16" s="197" t="s">
        <v>296</v>
      </c>
      <c r="AN16" s="204" t="s">
        <v>297</v>
      </c>
      <c r="AP16" s="206" t="s">
        <v>299</v>
      </c>
      <c r="AQ16" s="207" t="s">
        <v>300</v>
      </c>
    </row>
    <row r="17" spans="31:43" ht="13.8" customHeight="1">
      <c r="AE17" s="196" t="s">
        <v>301</v>
      </c>
      <c r="AF17" s="198">
        <f>'TESTWORK LEACHING &amp; CIP'!L11</f>
        <v>1.470213438735178</v>
      </c>
      <c r="AG17" s="198">
        <f>'TESTWORK LEACHING &amp; CIP'!L10</f>
        <v>4.4466403162055341</v>
      </c>
      <c r="AH17" s="197" t="s">
        <v>302</v>
      </c>
      <c r="AI17" s="201" t="str">
        <f>'TESTWORK LEACHING &amp; CIP'!D6</f>
        <v>Rabu</v>
      </c>
      <c r="AK17" s="196" t="s">
        <v>301</v>
      </c>
      <c r="AL17" s="197">
        <v>1.52</v>
      </c>
      <c r="AM17" s="198">
        <f>'TESTWORK LEACHING &amp; CIP'!L10</f>
        <v>4.4466403162055341</v>
      </c>
      <c r="AN17" s="204"/>
      <c r="AP17" s="206" t="s">
        <v>301</v>
      </c>
      <c r="AQ17" s="208">
        <f>'TESTWORK LEACHING &amp; CIP'!H50</f>
        <v>0.86665098967751353</v>
      </c>
    </row>
    <row r="18" spans="31:43" ht="13.8" customHeight="1">
      <c r="AE18" s="196" t="s">
        <v>303</v>
      </c>
      <c r="AF18" s="198">
        <f>'TESTWORK LEACHING &amp; CIP (2)'!L11</f>
        <v>1.4417134387351778</v>
      </c>
      <c r="AG18" s="198">
        <f>'TESTWORK LEACHING &amp; CIP (2)'!L10</f>
        <v>5.0395256916996045</v>
      </c>
      <c r="AH18" s="197" t="s">
        <v>304</v>
      </c>
      <c r="AI18" s="201" t="str">
        <f>'TESTWORK LEACHING &amp; CIP (2)'!D6</f>
        <v>Rabu</v>
      </c>
      <c r="AK18" s="196" t="s">
        <v>303</v>
      </c>
      <c r="AL18" s="197">
        <v>1.52</v>
      </c>
      <c r="AM18" s="198">
        <f>'TESTWORK LEACHING &amp; CIP (2)'!L10</f>
        <v>5.0395256916996045</v>
      </c>
      <c r="AN18" s="204"/>
      <c r="AP18" s="206" t="s">
        <v>303</v>
      </c>
      <c r="AQ18" s="208">
        <f>'TESTWORK LEACHING &amp; CIP (2)'!H49</f>
        <v>0.81736468477738256</v>
      </c>
    </row>
    <row r="19" spans="31:43" ht="13.8" customHeight="1">
      <c r="AE19" s="196" t="s">
        <v>305</v>
      </c>
      <c r="AF19" s="198">
        <f>'TW CIP SMBS-1'!L11</f>
        <v>1.4222134387351779</v>
      </c>
      <c r="AG19" s="198">
        <f>'TW CIP SMBS-1'!L10</f>
        <v>8.3992094861660078</v>
      </c>
      <c r="AH19" s="197" t="s">
        <v>306</v>
      </c>
      <c r="AI19" s="201" t="str">
        <f>'TW CIP SMBS-1'!D6</f>
        <v>Sabtu, 27 June 2026</v>
      </c>
      <c r="AK19" s="196" t="s">
        <v>305</v>
      </c>
      <c r="AL19" s="197">
        <v>1.52</v>
      </c>
      <c r="AM19" s="198">
        <f>'TW CIP SMBS-1'!L10</f>
        <v>8.3992094861660078</v>
      </c>
      <c r="AN19" s="204"/>
      <c r="AP19" s="206" t="s">
        <v>305</v>
      </c>
      <c r="AQ19" s="208">
        <f>'TW CIP SMBS-1'!H49</f>
        <v>0.84671473240275119</v>
      </c>
    </row>
    <row r="20" spans="31:43" ht="13.8" customHeight="1">
      <c r="AE20" s="199" t="s">
        <v>307</v>
      </c>
      <c r="AF20" s="200">
        <f>'TW CIP SMBS-2'!L11</f>
        <v>1.4222134387351779</v>
      </c>
      <c r="AG20" s="200">
        <f>'TW CIP SMBS-2'!L10</f>
        <v>8.3992094861660078</v>
      </c>
      <c r="AH20" s="202" t="s">
        <v>308</v>
      </c>
      <c r="AI20" s="203" t="str">
        <f>'TW CIP SMBS-2'!D6</f>
        <v>Sabtu, 27 June 2026</v>
      </c>
      <c r="AK20" s="199" t="s">
        <v>307</v>
      </c>
      <c r="AL20" s="202">
        <v>1.52</v>
      </c>
      <c r="AM20" s="200">
        <f>'TW CIP SMBS-2'!L10</f>
        <v>8.3992094861660078</v>
      </c>
      <c r="AN20" s="205"/>
      <c r="AP20" s="209" t="s">
        <v>307</v>
      </c>
      <c r="AQ20" s="210">
        <f>'TW CIP SMBS-2'!H49</f>
        <v>0.73631376851343944</v>
      </c>
    </row>
    <row r="21" spans="31:43" ht="13.8" customHeight="1">
      <c r="AE21" s="197"/>
      <c r="AF21" s="197"/>
      <c r="AG21" s="197"/>
    </row>
    <row r="22" spans="31:43" ht="13.8" customHeight="1">
      <c r="AE22" s="425" t="s">
        <v>291</v>
      </c>
      <c r="AF22" s="426"/>
      <c r="AG22" s="426"/>
      <c r="AH22" s="426"/>
      <c r="AI22" s="427"/>
      <c r="AK22" s="428" t="s">
        <v>292</v>
      </c>
      <c r="AL22" s="429"/>
      <c r="AM22" s="429"/>
      <c r="AN22" s="430"/>
      <c r="AP22" s="424" t="s">
        <v>293</v>
      </c>
      <c r="AQ22" s="424"/>
    </row>
    <row r="23" spans="31:43" ht="13.8" customHeight="1">
      <c r="AE23" s="196" t="s">
        <v>294</v>
      </c>
      <c r="AF23" s="197" t="s">
        <v>295</v>
      </c>
      <c r="AG23" s="197" t="s">
        <v>296</v>
      </c>
      <c r="AH23" s="197" t="s">
        <v>297</v>
      </c>
      <c r="AI23" s="201" t="s">
        <v>298</v>
      </c>
      <c r="AK23" s="196" t="s">
        <v>294</v>
      </c>
      <c r="AL23" s="197" t="s">
        <v>295</v>
      </c>
      <c r="AM23" s="197" t="s">
        <v>296</v>
      </c>
      <c r="AN23" s="204" t="s">
        <v>297</v>
      </c>
      <c r="AP23" s="206" t="s">
        <v>299</v>
      </c>
      <c r="AQ23" s="207" t="s">
        <v>300</v>
      </c>
    </row>
    <row r="24" spans="31:43" ht="13.8" customHeight="1">
      <c r="AE24" s="196" t="s">
        <v>309</v>
      </c>
      <c r="AF24" s="198">
        <f>'CIP VARIASI PH 8-9'!L11</f>
        <v>1.4814634387351779</v>
      </c>
      <c r="AG24" s="198">
        <v>0</v>
      </c>
      <c r="AH24" s="197" t="s">
        <v>310</v>
      </c>
      <c r="AI24" s="201" t="str">
        <f>'CIP VARIASI PH 8-9'!D6</f>
        <v>Sabtu, 27 June 2026</v>
      </c>
      <c r="AK24" s="196" t="s">
        <v>309</v>
      </c>
      <c r="AL24" s="198">
        <v>1.52</v>
      </c>
      <c r="AM24" s="198">
        <f>'TESTWORK LEACHING &amp; CIP'!Q17</f>
        <v>0</v>
      </c>
      <c r="AN24" s="204" t="s">
        <v>310</v>
      </c>
      <c r="AP24" s="206" t="s">
        <v>309</v>
      </c>
      <c r="AQ24" s="208">
        <f>(('CIP VARIASI PH 8-9'!G11-'CIP VARIASI PH 8-9'!G12)/'CIP VARIASI PH 8-9'!G11)</f>
        <v>0.81691150125403078</v>
      </c>
    </row>
    <row r="25" spans="31:43" ht="13.8" customHeight="1">
      <c r="AE25" s="196" t="s">
        <v>311</v>
      </c>
      <c r="AF25" s="198">
        <f>'CIP VARIASI PH 8-9 (RETEST)'!L11</f>
        <v>1.4762134387351777</v>
      </c>
      <c r="AG25" s="198">
        <v>0</v>
      </c>
      <c r="AH25" s="197" t="s">
        <v>310</v>
      </c>
      <c r="AI25" s="201" t="str">
        <f>'CIP VARIASI PH 8-9 (RETEST)'!D6</f>
        <v>Sabtu, 27 June 2026</v>
      </c>
      <c r="AK25" s="196" t="s">
        <v>311</v>
      </c>
      <c r="AL25" s="198">
        <v>1.52</v>
      </c>
      <c r="AM25" s="198">
        <f>'TESTWORK LEACHING &amp; CIP (2)'!Q17</f>
        <v>0</v>
      </c>
      <c r="AN25" s="204" t="s">
        <v>310</v>
      </c>
      <c r="AP25" s="206" t="s">
        <v>309</v>
      </c>
      <c r="AQ25" s="208">
        <f>'CIP VARIASI PH 8-9 (RETEST)'!I49</f>
        <v>0.8900986797173126</v>
      </c>
    </row>
    <row r="26" spans="31:43" ht="13.8" customHeight="1">
      <c r="AE26" s="196"/>
      <c r="AF26" s="198"/>
      <c r="AG26" s="198"/>
      <c r="AH26" s="197"/>
      <c r="AI26" s="201"/>
      <c r="AK26" s="196"/>
      <c r="AL26" s="198"/>
      <c r="AM26" s="198"/>
      <c r="AN26" s="204"/>
      <c r="AP26" s="206"/>
      <c r="AQ26" s="208"/>
    </row>
    <row r="27" spans="31:43" ht="13.8" customHeight="1">
      <c r="AE27" s="199"/>
      <c r="AF27" s="200"/>
      <c r="AG27" s="200"/>
      <c r="AH27" s="202"/>
      <c r="AI27" s="203"/>
      <c r="AK27" s="199"/>
      <c r="AL27" s="200"/>
      <c r="AM27" s="200"/>
      <c r="AN27" s="205"/>
      <c r="AP27" s="209"/>
      <c r="AQ27" s="210"/>
    </row>
  </sheetData>
  <mergeCells count="9">
    <mergeCell ref="AP15:AQ15"/>
    <mergeCell ref="AE22:AI22"/>
    <mergeCell ref="AK22:AN22"/>
    <mergeCell ref="AP22:AQ22"/>
    <mergeCell ref="AF5:AG5"/>
    <mergeCell ref="AF6:AG6"/>
    <mergeCell ref="AF7:AG7"/>
    <mergeCell ref="AE15:AI15"/>
    <mergeCell ref="AK15:AN15"/>
  </mergeCells>
  <pageMargins left="0.78749999999999998" right="0.78749999999999998" top="1.05277777777778" bottom="1.05277777777778" header="0.78749999999999998" footer="0.78749999999999998"/>
  <pageSetup orientation="portrait" horizontalDpi="300" verticalDpi="300"/>
  <headerFooter>
    <oddHeader>&amp;C&amp;"Times New Roman,Regular"&amp;12&amp;A</oddHeader>
    <oddFooter>&amp;C&amp;"Times New Roman,Regular"&amp;12Page &amp;P</oddFooter>
  </headerFooter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B2:BE50"/>
  <sheetViews>
    <sheetView zoomScale="60" zoomScaleNormal="60" workbookViewId="0">
      <selection activeCell="N18" sqref="N18"/>
    </sheetView>
  </sheetViews>
  <sheetFormatPr defaultColWidth="10" defaultRowHeight="16.2" customHeight="1"/>
  <cols>
    <col min="1" max="1" width="10" style="45"/>
    <col min="2" max="2" width="23.8984375" style="45" customWidth="1"/>
    <col min="3" max="3" width="2.3984375" style="45" customWidth="1"/>
    <col min="4" max="4" width="19.5" style="45" customWidth="1"/>
    <col min="5" max="5" width="10" style="45"/>
    <col min="6" max="6" width="16.69921875" style="45" customWidth="1"/>
    <col min="7" max="8" width="11.09765625" style="45" customWidth="1"/>
    <col min="9" max="19" width="10" style="45"/>
    <col min="20" max="20" width="26.296875" style="45" customWidth="1"/>
    <col min="21" max="16384" width="10" style="45"/>
  </cols>
  <sheetData>
    <row r="2" spans="2:28" ht="13.8">
      <c r="B2" s="356" t="s">
        <v>116</v>
      </c>
      <c r="C2" s="356"/>
      <c r="D2" s="356"/>
      <c r="E2" s="356"/>
      <c r="F2" s="356"/>
    </row>
    <row r="3" spans="2:28" ht="13.8">
      <c r="S3" s="357" t="s">
        <v>117</v>
      </c>
      <c r="T3" s="103" t="s">
        <v>118</v>
      </c>
      <c r="U3" s="358" t="s">
        <v>119</v>
      </c>
      <c r="V3" s="358"/>
      <c r="W3" s="358"/>
      <c r="X3" s="358"/>
      <c r="Y3" s="359" t="s">
        <v>120</v>
      </c>
      <c r="Z3" s="359"/>
      <c r="AA3" s="359"/>
      <c r="AB3" s="359"/>
    </row>
    <row r="4" spans="2:28" ht="13.8">
      <c r="B4" s="183" t="s">
        <v>121</v>
      </c>
      <c r="C4" s="184" t="s">
        <v>122</v>
      </c>
      <c r="D4" s="185"/>
      <c r="E4" s="185"/>
      <c r="F4" s="189"/>
      <c r="S4" s="357"/>
      <c r="T4" s="360" t="s">
        <v>124</v>
      </c>
      <c r="U4" s="104" t="s">
        <v>125</v>
      </c>
      <c r="V4" s="104" t="s">
        <v>126</v>
      </c>
      <c r="W4" s="104" t="s">
        <v>127</v>
      </c>
      <c r="X4" s="104" t="s">
        <v>128</v>
      </c>
      <c r="Y4" s="104" t="s">
        <v>125</v>
      </c>
      <c r="Z4" s="104" t="s">
        <v>126</v>
      </c>
      <c r="AA4" s="104" t="s">
        <v>127</v>
      </c>
      <c r="AB4" s="122" t="s">
        <v>128</v>
      </c>
    </row>
    <row r="5" spans="2:28" ht="13.8">
      <c r="B5" s="186" t="s">
        <v>129</v>
      </c>
      <c r="C5" s="50" t="s">
        <v>122</v>
      </c>
      <c r="F5" s="190"/>
      <c r="S5" s="357"/>
      <c r="T5" s="360"/>
      <c r="U5" s="104" t="s">
        <v>131</v>
      </c>
      <c r="V5" s="104" t="s">
        <v>106</v>
      </c>
      <c r="W5" s="104" t="s">
        <v>106</v>
      </c>
      <c r="X5" s="104" t="s">
        <v>106</v>
      </c>
      <c r="Y5" s="104" t="s">
        <v>131</v>
      </c>
      <c r="Z5" s="104" t="s">
        <v>106</v>
      </c>
      <c r="AA5" s="104" t="s">
        <v>106</v>
      </c>
      <c r="AB5" s="122" t="s">
        <v>106</v>
      </c>
    </row>
    <row r="6" spans="2:28" ht="13.8">
      <c r="B6" s="186" t="s">
        <v>132</v>
      </c>
      <c r="C6" s="50" t="s">
        <v>122</v>
      </c>
      <c r="D6" s="45" t="s">
        <v>133</v>
      </c>
      <c r="F6" s="190"/>
      <c r="S6" s="105">
        <v>1</v>
      </c>
      <c r="T6" s="34" t="s">
        <v>134</v>
      </c>
      <c r="U6" s="112"/>
      <c r="V6" s="34"/>
      <c r="W6" s="34"/>
      <c r="X6" s="34"/>
      <c r="Y6" s="34"/>
      <c r="Z6" s="34"/>
      <c r="AA6" s="34"/>
      <c r="AB6" s="120"/>
    </row>
    <row r="7" spans="2:28" ht="13.8">
      <c r="B7" s="187" t="s">
        <v>135</v>
      </c>
      <c r="C7" s="60" t="s">
        <v>122</v>
      </c>
      <c r="D7" s="188" t="s">
        <v>136</v>
      </c>
      <c r="E7" s="188"/>
      <c r="F7" s="191"/>
      <c r="S7" s="105">
        <v>2</v>
      </c>
      <c r="T7" s="34" t="s">
        <v>137</v>
      </c>
      <c r="U7" s="34"/>
      <c r="V7" s="112"/>
      <c r="W7" s="112"/>
      <c r="X7" s="34"/>
      <c r="Y7" s="34"/>
      <c r="Z7" s="34"/>
      <c r="AA7" s="34"/>
      <c r="AB7" s="120"/>
    </row>
    <row r="8" spans="2:28" ht="13.8">
      <c r="S8" s="105">
        <v>3</v>
      </c>
      <c r="T8" s="34" t="s">
        <v>138</v>
      </c>
      <c r="U8" s="34"/>
      <c r="V8" s="112"/>
      <c r="W8" s="34"/>
      <c r="X8" s="34"/>
      <c r="Y8" s="34"/>
      <c r="Z8" s="34"/>
      <c r="AA8" s="34"/>
      <c r="AB8" s="120"/>
    </row>
    <row r="9" spans="2:28" ht="13.8">
      <c r="B9" s="361" t="s">
        <v>139</v>
      </c>
      <c r="C9" s="361"/>
      <c r="D9" s="361"/>
      <c r="F9" s="362" t="s">
        <v>140</v>
      </c>
      <c r="G9" s="362"/>
      <c r="H9" s="362"/>
      <c r="I9" s="362"/>
      <c r="K9" s="363" t="s">
        <v>141</v>
      </c>
      <c r="L9" s="363"/>
      <c r="M9" s="363"/>
      <c r="S9" s="105">
        <v>4</v>
      </c>
      <c r="T9" s="106" t="s">
        <v>142</v>
      </c>
      <c r="U9" s="112"/>
      <c r="V9" s="34"/>
      <c r="W9" s="34"/>
      <c r="X9" s="34"/>
      <c r="Y9" s="34"/>
      <c r="Z9" s="34"/>
      <c r="AA9" s="34"/>
      <c r="AB9" s="120"/>
    </row>
    <row r="10" spans="2:28" ht="13.8">
      <c r="B10" s="55" t="s">
        <v>108</v>
      </c>
      <c r="C10" s="50" t="s">
        <v>122</v>
      </c>
      <c r="D10" s="56" t="s">
        <v>143</v>
      </c>
      <c r="F10" s="69"/>
      <c r="G10" s="70" t="s">
        <v>126</v>
      </c>
      <c r="H10" s="70" t="s">
        <v>127</v>
      </c>
      <c r="I10" s="90" t="s">
        <v>128</v>
      </c>
      <c r="K10" s="62" t="s">
        <v>144</v>
      </c>
      <c r="L10" s="91">
        <f>(F38/1012)*1000</f>
        <v>4.7934782608695663</v>
      </c>
      <c r="M10" s="100" t="s">
        <v>145</v>
      </c>
      <c r="S10" s="105">
        <v>5</v>
      </c>
      <c r="T10" s="34" t="s">
        <v>146</v>
      </c>
      <c r="U10" s="112"/>
      <c r="V10" s="34"/>
      <c r="W10" s="113"/>
      <c r="X10" s="34"/>
      <c r="Y10" s="34"/>
      <c r="Z10" s="34"/>
      <c r="AA10" s="34"/>
      <c r="AB10" s="120"/>
    </row>
    <row r="11" spans="2:28" ht="13.8">
      <c r="B11" s="55" t="s">
        <v>147</v>
      </c>
      <c r="C11" s="50" t="s">
        <v>122</v>
      </c>
      <c r="D11" s="56">
        <v>1000</v>
      </c>
      <c r="F11" s="71" t="s">
        <v>148</v>
      </c>
      <c r="G11" s="72" t="e">
        <f>AVERAGE(V6:V9)</f>
        <v>#DIV/0!</v>
      </c>
      <c r="H11" s="72" t="e">
        <f>AVERAGE(W6:W8)</f>
        <v>#DIV/0!</v>
      </c>
      <c r="I11" s="92" t="e">
        <f>AVERAGE(X6:X8)</f>
        <v>#DIV/0!</v>
      </c>
      <c r="K11" s="62" t="s">
        <v>149</v>
      </c>
      <c r="L11" s="91">
        <f>((E31-(($J37*1518)/10000000))/1012)*1000</f>
        <v>1.5019762845849802</v>
      </c>
      <c r="M11" s="100" t="s">
        <v>145</v>
      </c>
      <c r="S11" s="105">
        <v>6</v>
      </c>
      <c r="T11" s="34" t="s">
        <v>150</v>
      </c>
      <c r="U11" s="34"/>
      <c r="V11" s="34"/>
      <c r="W11" s="34"/>
      <c r="X11" s="112"/>
      <c r="Y11" s="34"/>
      <c r="Z11" s="34"/>
      <c r="AA11" s="34"/>
      <c r="AB11" s="120"/>
    </row>
    <row r="12" spans="2:28" ht="13.8">
      <c r="B12" s="55" t="s">
        <v>151</v>
      </c>
      <c r="C12" s="50" t="s">
        <v>122</v>
      </c>
      <c r="D12" s="57">
        <v>0.4</v>
      </c>
      <c r="F12" s="73" t="s">
        <v>152</v>
      </c>
      <c r="G12" s="74" t="e">
        <f t="shared" ref="G12:I12" si="0">AVERAGE(V10:V13)</f>
        <v>#DIV/0!</v>
      </c>
      <c r="H12" s="74" t="e">
        <f t="shared" si="0"/>
        <v>#DIV/0!</v>
      </c>
      <c r="I12" s="93" t="e">
        <f t="shared" si="0"/>
        <v>#DIV/0!</v>
      </c>
      <c r="K12" s="94" t="s">
        <v>153</v>
      </c>
      <c r="L12" s="81"/>
      <c r="M12" s="101"/>
      <c r="S12" s="107">
        <v>7</v>
      </c>
      <c r="T12" s="34" t="s">
        <v>154</v>
      </c>
      <c r="U12" s="114"/>
      <c r="V12" s="114"/>
      <c r="W12" s="114"/>
      <c r="X12" s="114"/>
      <c r="Y12" s="114"/>
      <c r="Z12" s="114"/>
      <c r="AA12" s="114"/>
      <c r="AB12" s="123"/>
    </row>
    <row r="13" spans="2:28" ht="13.8">
      <c r="B13" s="55" t="s">
        <v>155</v>
      </c>
      <c r="C13" s="50" t="s">
        <v>122</v>
      </c>
      <c r="D13" s="57">
        <v>0.6</v>
      </c>
      <c r="S13" s="105">
        <v>8</v>
      </c>
      <c r="T13" s="34" t="s">
        <v>156</v>
      </c>
      <c r="U13" s="34"/>
      <c r="V13" s="112"/>
      <c r="W13" s="113"/>
      <c r="X13" s="34"/>
      <c r="Y13" s="34"/>
      <c r="Z13" s="34"/>
      <c r="AA13" s="34"/>
      <c r="AB13" s="120"/>
    </row>
    <row r="14" spans="2:28" ht="13.8">
      <c r="B14" s="55" t="s">
        <v>157</v>
      </c>
      <c r="C14" s="50" t="s">
        <v>122</v>
      </c>
      <c r="D14" s="56" t="s">
        <v>158</v>
      </c>
      <c r="F14" s="75" t="s">
        <v>159</v>
      </c>
      <c r="G14" s="76" t="e">
        <f>G12*D20</f>
        <v>#DIV/0!</v>
      </c>
      <c r="H14" s="76"/>
      <c r="I14" s="95"/>
      <c r="S14" s="105">
        <v>9</v>
      </c>
      <c r="T14" s="34" t="s">
        <v>160</v>
      </c>
      <c r="U14" s="34"/>
      <c r="V14" s="34"/>
      <c r="W14" s="34"/>
      <c r="X14" s="34"/>
      <c r="Y14" s="34"/>
      <c r="Z14" s="34"/>
      <c r="AA14" s="34"/>
      <c r="AB14" s="120"/>
    </row>
    <row r="15" spans="2:28" ht="16.2" customHeight="1">
      <c r="B15" s="55" t="s">
        <v>161</v>
      </c>
      <c r="C15" s="50" t="s">
        <v>122</v>
      </c>
      <c r="D15" s="56">
        <v>2.1</v>
      </c>
      <c r="F15" s="351" t="s">
        <v>162</v>
      </c>
      <c r="G15" s="77" t="e">
        <f>G14+D50</f>
        <v>#DIV/0!</v>
      </c>
      <c r="H15" s="77"/>
      <c r="I15" s="96"/>
      <c r="S15" s="105">
        <v>10</v>
      </c>
      <c r="T15" s="34" t="s">
        <v>163</v>
      </c>
      <c r="U15" s="34"/>
      <c r="V15" s="34"/>
      <c r="W15" s="34"/>
      <c r="X15" s="34"/>
      <c r="Y15" s="34"/>
      <c r="Z15" s="34"/>
      <c r="AA15" s="34"/>
      <c r="AB15" s="120"/>
    </row>
    <row r="16" spans="2:28" ht="13.8">
      <c r="B16" s="55" t="s">
        <v>164</v>
      </c>
      <c r="C16" s="50" t="s">
        <v>122</v>
      </c>
      <c r="D16" s="56">
        <v>1.27</v>
      </c>
      <c r="F16" s="351"/>
      <c r="G16" s="78"/>
      <c r="H16" s="78"/>
      <c r="I16" s="97"/>
      <c r="J16" s="45" t="e">
        <f>G15/D23</f>
        <v>#DIV/0!</v>
      </c>
      <c r="S16" s="105">
        <v>11</v>
      </c>
      <c r="T16" s="34" t="s">
        <v>165</v>
      </c>
      <c r="U16" s="34"/>
      <c r="V16" s="34"/>
      <c r="W16" s="34"/>
      <c r="X16" s="34"/>
      <c r="Y16" s="34"/>
      <c r="Z16" s="34"/>
      <c r="AA16" s="34"/>
      <c r="AB16" s="120"/>
    </row>
    <row r="17" spans="2:57" ht="13.8">
      <c r="B17" s="55" t="s">
        <v>166</v>
      </c>
      <c r="C17" s="50" t="s">
        <v>122</v>
      </c>
      <c r="D17" s="56">
        <v>2</v>
      </c>
      <c r="S17" s="105">
        <v>12</v>
      </c>
      <c r="T17" s="34" t="s">
        <v>167</v>
      </c>
      <c r="Z17" s="124"/>
      <c r="AA17" s="114"/>
      <c r="AB17" s="123"/>
    </row>
    <row r="18" spans="2:57" ht="13.8">
      <c r="B18" s="55" t="s">
        <v>168</v>
      </c>
      <c r="C18" s="50" t="s">
        <v>122</v>
      </c>
      <c r="D18" s="56">
        <v>48</v>
      </c>
      <c r="F18" s="75" t="s">
        <v>169</v>
      </c>
      <c r="G18" s="76"/>
      <c r="H18" s="76"/>
      <c r="I18" s="95"/>
      <c r="O18" s="45">
        <v>4</v>
      </c>
      <c r="S18" s="105">
        <v>13</v>
      </c>
      <c r="T18" s="34" t="s">
        <v>170</v>
      </c>
      <c r="U18" s="34"/>
      <c r="V18" s="34"/>
      <c r="W18" s="34"/>
      <c r="X18" s="34"/>
      <c r="Y18" s="34"/>
      <c r="Z18" s="145"/>
      <c r="AA18" s="124"/>
      <c r="AB18" s="125"/>
    </row>
    <row r="19" spans="2:57" ht="16.2" customHeight="1">
      <c r="B19" s="55" t="s">
        <v>171</v>
      </c>
      <c r="C19" s="50" t="s">
        <v>122</v>
      </c>
      <c r="D19" s="58">
        <v>1295</v>
      </c>
      <c r="F19" s="351" t="s">
        <v>172</v>
      </c>
      <c r="G19" s="77"/>
      <c r="H19" s="77"/>
      <c r="I19" s="96"/>
      <c r="S19" s="108">
        <v>14</v>
      </c>
      <c r="T19" s="109" t="s">
        <v>173</v>
      </c>
      <c r="U19" s="109"/>
      <c r="V19" s="109"/>
      <c r="W19" s="109"/>
      <c r="X19" s="109"/>
      <c r="Y19" s="109"/>
      <c r="Z19" s="146"/>
      <c r="AA19" s="126"/>
      <c r="AB19" s="127"/>
    </row>
    <row r="20" spans="2:57" ht="13.8">
      <c r="B20" s="55" t="s">
        <v>174</v>
      </c>
      <c r="C20" s="50" t="s">
        <v>122</v>
      </c>
      <c r="D20" s="56">
        <v>1012</v>
      </c>
      <c r="F20" s="351"/>
      <c r="G20" s="78"/>
      <c r="H20" s="78"/>
      <c r="I20" s="97"/>
    </row>
    <row r="21" spans="2:57" ht="13.8">
      <c r="B21" s="55" t="s">
        <v>175</v>
      </c>
      <c r="C21" s="50" t="s">
        <v>122</v>
      </c>
      <c r="D21" s="56">
        <v>1518</v>
      </c>
    </row>
    <row r="22" spans="2:57" ht="13.8">
      <c r="B22" s="55" t="s">
        <v>176</v>
      </c>
      <c r="C22" s="50" t="s">
        <v>122</v>
      </c>
      <c r="D22" s="56">
        <v>2000</v>
      </c>
    </row>
    <row r="23" spans="2:57" ht="13.8">
      <c r="B23" s="59" t="s">
        <v>177</v>
      </c>
      <c r="C23" s="60" t="s">
        <v>122</v>
      </c>
      <c r="D23" s="61">
        <v>1012</v>
      </c>
    </row>
    <row r="24" spans="2:57" ht="13.8">
      <c r="B24" s="50"/>
      <c r="C24" s="50"/>
      <c r="D24" s="50"/>
    </row>
    <row r="27" spans="2:57" ht="13.8">
      <c r="D27" s="352" t="s">
        <v>178</v>
      </c>
      <c r="E27" s="352"/>
      <c r="F27" s="352"/>
      <c r="G27" s="352"/>
      <c r="H27" s="352"/>
      <c r="I27" s="352"/>
      <c r="J27" s="352"/>
      <c r="K27" s="352"/>
      <c r="L27" s="352"/>
      <c r="M27" s="352"/>
      <c r="N27" s="352"/>
      <c r="O27" s="352"/>
      <c r="P27" s="352"/>
      <c r="Q27" s="352"/>
      <c r="R27" s="352"/>
      <c r="T27" s="353" t="s">
        <v>179</v>
      </c>
      <c r="U27" s="353"/>
      <c r="V27" s="353"/>
      <c r="X27" s="354" t="s">
        <v>180</v>
      </c>
      <c r="Y27" s="354"/>
      <c r="Z27" s="354"/>
      <c r="AA27"/>
      <c r="AB27" s="355" t="s">
        <v>181</v>
      </c>
      <c r="AC27" s="355"/>
      <c r="AD27" s="355"/>
      <c r="AE27" s="355"/>
      <c r="AF27" s="355"/>
      <c r="AG27" s="355"/>
      <c r="AH27" s="355"/>
      <c r="AI27" s="355"/>
      <c r="AJ27" s="355"/>
      <c r="AK27"/>
      <c r="AL27" s="346" t="s">
        <v>182</v>
      </c>
      <c r="AM27" s="346"/>
      <c r="AN27" s="346"/>
      <c r="AO27" s="346"/>
      <c r="AP27" s="346"/>
      <c r="AQ27" s="346"/>
      <c r="AS27" s="347" t="s">
        <v>183</v>
      </c>
      <c r="AT27" s="347"/>
      <c r="AU27" s="347"/>
      <c r="AV27" s="347"/>
      <c r="AW27" s="347"/>
      <c r="AX27" s="347"/>
      <c r="AZ27" s="348" t="s">
        <v>184</v>
      </c>
      <c r="BA27" s="348"/>
      <c r="BB27" s="348"/>
      <c r="BC27" s="348"/>
      <c r="BD27" s="348"/>
      <c r="BE27" s="348"/>
    </row>
    <row r="28" spans="2:57" ht="13.8">
      <c r="D28" s="349" t="s">
        <v>185</v>
      </c>
      <c r="E28" s="350" t="s">
        <v>186</v>
      </c>
      <c r="F28" s="350"/>
      <c r="G28" s="350"/>
      <c r="H28" s="350" t="s">
        <v>187</v>
      </c>
      <c r="I28" s="350" t="s">
        <v>188</v>
      </c>
      <c r="J28" s="350"/>
      <c r="K28" s="350" t="s">
        <v>108</v>
      </c>
      <c r="L28" s="350"/>
      <c r="M28" s="350" t="s">
        <v>189</v>
      </c>
      <c r="N28" s="350"/>
      <c r="O28" s="350" t="s">
        <v>190</v>
      </c>
      <c r="P28" s="350"/>
      <c r="Q28" s="340" t="s">
        <v>191</v>
      </c>
      <c r="R28" s="340"/>
      <c r="T28" s="110" t="s">
        <v>192</v>
      </c>
      <c r="U28" s="115" t="s">
        <v>193</v>
      </c>
      <c r="V28" s="116" t="s">
        <v>194</v>
      </c>
      <c r="X28" s="117" t="s">
        <v>192</v>
      </c>
      <c r="Y28" s="128" t="s">
        <v>193</v>
      </c>
      <c r="Z28" s="129" t="s">
        <v>194</v>
      </c>
      <c r="AA28"/>
      <c r="AB28" s="341" t="s">
        <v>126</v>
      </c>
      <c r="AC28" s="341"/>
      <c r="AD28" s="341"/>
      <c r="AE28" s="342" t="s">
        <v>127</v>
      </c>
      <c r="AF28" s="342"/>
      <c r="AG28" s="342"/>
      <c r="AH28" s="343" t="s">
        <v>128</v>
      </c>
      <c r="AI28" s="343"/>
      <c r="AJ28" s="343"/>
      <c r="AK28"/>
      <c r="AL28" s="344" t="s">
        <v>195</v>
      </c>
      <c r="AM28" s="344"/>
      <c r="AN28" s="345" t="s">
        <v>196</v>
      </c>
      <c r="AO28" s="345"/>
      <c r="AP28" s="334" t="s">
        <v>197</v>
      </c>
      <c r="AQ28" s="334"/>
      <c r="AS28" s="335" t="s">
        <v>195</v>
      </c>
      <c r="AT28" s="335"/>
      <c r="AU28" s="336" t="s">
        <v>196</v>
      </c>
      <c r="AV28" s="336"/>
      <c r="AW28" s="337" t="s">
        <v>197</v>
      </c>
      <c r="AX28" s="337"/>
      <c r="AZ28" s="338" t="s">
        <v>195</v>
      </c>
      <c r="BA28" s="338"/>
      <c r="BB28" s="339" t="s">
        <v>196</v>
      </c>
      <c r="BC28" s="339"/>
      <c r="BD28" s="331" t="s">
        <v>197</v>
      </c>
      <c r="BE28" s="331"/>
    </row>
    <row r="29" spans="2:57" ht="13.8">
      <c r="D29" s="349"/>
      <c r="E29" s="350"/>
      <c r="F29" s="350"/>
      <c r="G29" s="350"/>
      <c r="H29" s="350"/>
      <c r="I29" s="350"/>
      <c r="J29" s="350"/>
      <c r="K29" s="350"/>
      <c r="L29" s="350"/>
      <c r="M29" s="350"/>
      <c r="N29" s="350"/>
      <c r="O29" s="350"/>
      <c r="P29" s="350"/>
      <c r="Q29" s="340"/>
      <c r="R29" s="340"/>
      <c r="T29" s="110"/>
      <c r="U29" s="115"/>
      <c r="V29" s="116"/>
      <c r="X29" s="117"/>
      <c r="Y29" s="128"/>
      <c r="Z29" s="129"/>
      <c r="AA29"/>
      <c r="AB29" s="130" t="s">
        <v>192</v>
      </c>
      <c r="AC29" s="132" t="s">
        <v>193</v>
      </c>
      <c r="AD29" s="132" t="s">
        <v>194</v>
      </c>
      <c r="AE29" s="132" t="s">
        <v>192</v>
      </c>
      <c r="AF29" s="132" t="s">
        <v>198</v>
      </c>
      <c r="AG29" s="132" t="s">
        <v>194</v>
      </c>
      <c r="AH29" s="132" t="s">
        <v>192</v>
      </c>
      <c r="AI29" s="132" t="s">
        <v>193</v>
      </c>
      <c r="AJ29" s="133" t="s">
        <v>194</v>
      </c>
      <c r="AK29"/>
      <c r="AL29" s="134" t="s">
        <v>199</v>
      </c>
      <c r="AM29" s="135" t="s">
        <v>200</v>
      </c>
      <c r="AN29" s="135" t="s">
        <v>199</v>
      </c>
      <c r="AO29" s="135" t="s">
        <v>201</v>
      </c>
      <c r="AP29" s="135" t="s">
        <v>199</v>
      </c>
      <c r="AQ29" s="137" t="s">
        <v>201</v>
      </c>
      <c r="AS29" s="138" t="s">
        <v>199</v>
      </c>
      <c r="AT29" s="139" t="s">
        <v>200</v>
      </c>
      <c r="AU29" s="139" t="s">
        <v>199</v>
      </c>
      <c r="AV29" s="139" t="s">
        <v>201</v>
      </c>
      <c r="AW29" s="139" t="s">
        <v>199</v>
      </c>
      <c r="AX29" s="140" t="s">
        <v>201</v>
      </c>
      <c r="AZ29" s="141" t="s">
        <v>199</v>
      </c>
      <c r="BA29" s="142" t="s">
        <v>200</v>
      </c>
      <c r="BB29" s="142" t="s">
        <v>199</v>
      </c>
      <c r="BC29" s="142" t="s">
        <v>201</v>
      </c>
      <c r="BD29" s="142" t="s">
        <v>199</v>
      </c>
      <c r="BE29" s="143" t="s">
        <v>201</v>
      </c>
    </row>
    <row r="30" spans="2:57" ht="13.8">
      <c r="C30" s="50"/>
      <c r="D30" s="62" t="s">
        <v>202</v>
      </c>
      <c r="E30" s="79" t="s">
        <v>203</v>
      </c>
      <c r="F30" s="79" t="s">
        <v>204</v>
      </c>
      <c r="G30" s="79" t="s">
        <v>205</v>
      </c>
      <c r="H30" s="79" t="s">
        <v>106</v>
      </c>
      <c r="I30" s="79" t="s">
        <v>206</v>
      </c>
      <c r="J30" s="79" t="s">
        <v>207</v>
      </c>
      <c r="K30" s="79" t="s">
        <v>206</v>
      </c>
      <c r="L30" s="79" t="s">
        <v>207</v>
      </c>
      <c r="M30" s="79" t="s">
        <v>206</v>
      </c>
      <c r="N30" s="79" t="s">
        <v>207</v>
      </c>
      <c r="O30" s="332" t="s">
        <v>208</v>
      </c>
      <c r="P30" s="332"/>
      <c r="Q30" s="333" t="s">
        <v>208</v>
      </c>
      <c r="R30" s="333"/>
      <c r="T30" s="111" t="s">
        <v>208</v>
      </c>
      <c r="U30" s="118" t="s">
        <v>209</v>
      </c>
      <c r="V30" s="119" t="s">
        <v>209</v>
      </c>
      <c r="X30" s="111" t="s">
        <v>209</v>
      </c>
      <c r="Y30" s="118" t="s">
        <v>208</v>
      </c>
      <c r="Z30" s="119" t="s">
        <v>209</v>
      </c>
      <c r="AA30"/>
      <c r="AB30" s="105"/>
      <c r="AC30" s="34"/>
      <c r="AD30" s="34"/>
      <c r="AE30" s="34"/>
      <c r="AF30" s="34"/>
      <c r="AG30" s="34"/>
      <c r="AH30" s="34"/>
      <c r="AI30" s="34"/>
      <c r="AJ30" s="120"/>
      <c r="AK30"/>
      <c r="AL30" s="105"/>
      <c r="AM30" s="34"/>
      <c r="AN30" s="34"/>
      <c r="AO30" s="34"/>
      <c r="AP30" s="34"/>
      <c r="AQ30" s="120"/>
      <c r="AS30" s="105"/>
      <c r="AT30" s="34"/>
      <c r="AU30" s="34"/>
      <c r="AV30" s="34"/>
      <c r="AW30" s="34"/>
      <c r="AX30" s="120"/>
      <c r="AZ30" s="105"/>
      <c r="BA30" s="34"/>
      <c r="BB30" s="34"/>
      <c r="BC30" s="34"/>
      <c r="BD30" s="34"/>
      <c r="BE30" s="120"/>
    </row>
    <row r="31" spans="2:57" ht="13.8">
      <c r="D31" s="63">
        <v>0</v>
      </c>
      <c r="E31" s="80">
        <v>1.52</v>
      </c>
      <c r="F31" s="80">
        <f>1.289+0.123</f>
        <v>1.4119999999999999</v>
      </c>
      <c r="G31" s="80"/>
      <c r="H31" s="80"/>
      <c r="I31" s="80">
        <v>0</v>
      </c>
      <c r="J31" s="80"/>
      <c r="K31" s="80"/>
      <c r="L31" s="80">
        <v>11.5</v>
      </c>
      <c r="M31" s="34">
        <v>3825</v>
      </c>
      <c r="N31" s="34">
        <v>3825</v>
      </c>
      <c r="O31" s="329">
        <v>2000</v>
      </c>
      <c r="P31" s="329"/>
      <c r="Q31" s="330">
        <v>0</v>
      </c>
      <c r="R31" s="330"/>
      <c r="T31" s="105">
        <v>1012</v>
      </c>
      <c r="U31" s="34">
        <f>M31-$D$20-$D$19</f>
        <v>1518</v>
      </c>
      <c r="V31" s="120"/>
      <c r="X31" s="105"/>
      <c r="Y31" s="34">
        <v>40</v>
      </c>
      <c r="Z31" s="120"/>
      <c r="AA31"/>
      <c r="AB31" s="105"/>
      <c r="AC31" s="34"/>
      <c r="AD31" s="34"/>
      <c r="AE31" s="34"/>
      <c r="AF31" s="34"/>
      <c r="AG31" s="34"/>
      <c r="AH31" s="34"/>
      <c r="AI31" s="34"/>
      <c r="AJ31" s="120"/>
      <c r="AK31"/>
      <c r="AL31" s="105"/>
      <c r="AM31" s="136">
        <f t="shared" ref="AM31:AM37" si="1">AC31*U32</f>
        <v>0</v>
      </c>
      <c r="AN31" s="34"/>
      <c r="AO31" s="34">
        <f t="shared" ref="AO31:AO37" si="2">Y31*AC31</f>
        <v>0</v>
      </c>
      <c r="AP31" s="34"/>
      <c r="AQ31" s="120"/>
      <c r="AS31" s="105"/>
      <c r="AT31" s="34"/>
      <c r="AU31" s="34"/>
      <c r="AV31" s="34"/>
      <c r="AW31" s="34"/>
      <c r="AX31" s="120"/>
      <c r="AZ31" s="105"/>
      <c r="BA31" s="34"/>
      <c r="BB31" s="34"/>
      <c r="BC31" s="34"/>
      <c r="BD31" s="34"/>
      <c r="BE31" s="120"/>
    </row>
    <row r="32" spans="2:57" ht="13.8">
      <c r="C32" s="45">
        <v>4</v>
      </c>
      <c r="D32" s="63">
        <v>2</v>
      </c>
      <c r="E32" s="80"/>
      <c r="F32" s="80">
        <v>0.94199999999999995</v>
      </c>
      <c r="G32" s="80"/>
      <c r="H32" s="80"/>
      <c r="I32" s="80"/>
      <c r="J32" s="80">
        <v>80</v>
      </c>
      <c r="K32" s="80">
        <v>8</v>
      </c>
      <c r="L32" s="80">
        <v>11.2</v>
      </c>
      <c r="M32" s="34">
        <v>3820</v>
      </c>
      <c r="N32" s="34">
        <v>3825</v>
      </c>
      <c r="O32" s="329">
        <v>2000</v>
      </c>
      <c r="P32" s="329"/>
      <c r="Q32" s="330">
        <v>40</v>
      </c>
      <c r="R32" s="330"/>
      <c r="T32" s="105"/>
      <c r="U32" s="34">
        <f t="shared" ref="U32:U34" si="3">M32-$D$20-$D$19-Q32</f>
        <v>1473</v>
      </c>
      <c r="V32" s="120"/>
      <c r="X32" s="105"/>
      <c r="Y32" s="34">
        <v>40</v>
      </c>
      <c r="Z32" s="120"/>
      <c r="AA32"/>
      <c r="AB32" s="105"/>
      <c r="AC32" s="34"/>
      <c r="AD32" s="34"/>
      <c r="AE32" s="34"/>
      <c r="AF32" s="34"/>
      <c r="AG32" s="34"/>
      <c r="AH32" s="34"/>
      <c r="AI32" s="34"/>
      <c r="AJ32" s="120"/>
      <c r="AK32"/>
      <c r="AL32" s="105"/>
      <c r="AM32" s="136">
        <f t="shared" si="1"/>
        <v>0</v>
      </c>
      <c r="AN32" s="34"/>
      <c r="AO32" s="34">
        <f t="shared" si="2"/>
        <v>0</v>
      </c>
      <c r="AP32" s="34"/>
      <c r="AQ32" s="120"/>
      <c r="AS32" s="105"/>
      <c r="AT32" s="34"/>
      <c r="AU32" s="34"/>
      <c r="AV32" s="34"/>
      <c r="AW32" s="34"/>
      <c r="AX32" s="120"/>
      <c r="AZ32" s="105"/>
      <c r="BA32" s="34"/>
      <c r="BB32" s="34"/>
      <c r="BC32" s="34"/>
      <c r="BD32" s="34"/>
      <c r="BE32" s="120"/>
    </row>
    <row r="33" spans="3:57" ht="13.8">
      <c r="C33" s="45">
        <v>4</v>
      </c>
      <c r="D33" s="63">
        <v>4</v>
      </c>
      <c r="E33" s="80"/>
      <c r="F33" s="80">
        <f>0.411+0.1+0.309</f>
        <v>0.82000000000000006</v>
      </c>
      <c r="G33" s="80"/>
      <c r="H33" s="80"/>
      <c r="I33" s="80"/>
      <c r="J33" s="80">
        <v>5</v>
      </c>
      <c r="K33" s="80">
        <v>9.4</v>
      </c>
      <c r="L33" s="80">
        <v>11.5</v>
      </c>
      <c r="M33" s="34">
        <v>3695</v>
      </c>
      <c r="N33" s="34">
        <v>3825</v>
      </c>
      <c r="O33" s="329">
        <v>2000</v>
      </c>
      <c r="P33" s="329"/>
      <c r="Q33" s="330">
        <v>40</v>
      </c>
      <c r="R33" s="330"/>
      <c r="T33" s="105"/>
      <c r="U33" s="34">
        <f t="shared" si="3"/>
        <v>1348</v>
      </c>
      <c r="V33" s="120"/>
      <c r="X33" s="105"/>
      <c r="Y33" s="34">
        <v>40</v>
      </c>
      <c r="Z33" s="120"/>
      <c r="AA33"/>
      <c r="AB33" s="105"/>
      <c r="AC33" s="34"/>
      <c r="AD33" s="34"/>
      <c r="AE33" s="34"/>
      <c r="AF33" s="34"/>
      <c r="AG33" s="34"/>
      <c r="AH33" s="34"/>
      <c r="AI33" s="34"/>
      <c r="AJ33" s="120"/>
      <c r="AK33"/>
      <c r="AL33" s="105"/>
      <c r="AM33" s="136">
        <f t="shared" si="1"/>
        <v>0</v>
      </c>
      <c r="AN33" s="34"/>
      <c r="AO33" s="34">
        <f t="shared" si="2"/>
        <v>0</v>
      </c>
      <c r="AP33" s="34"/>
      <c r="AQ33" s="120"/>
      <c r="AS33" s="105"/>
      <c r="AT33" s="34"/>
      <c r="AU33" s="34"/>
      <c r="AV33" s="34"/>
      <c r="AW33" s="34"/>
      <c r="AX33" s="120"/>
      <c r="AZ33" s="105"/>
      <c r="BA33" s="34"/>
      <c r="BB33" s="34"/>
      <c r="BC33" s="34"/>
      <c r="BD33" s="34"/>
      <c r="BE33" s="120"/>
    </row>
    <row r="34" spans="3:57" ht="13.8">
      <c r="C34" s="45">
        <v>4</v>
      </c>
      <c r="D34" s="63">
        <v>8</v>
      </c>
      <c r="E34" s="80"/>
      <c r="F34" s="80">
        <v>0.80400000000000005</v>
      </c>
      <c r="G34" s="80"/>
      <c r="H34" s="80"/>
      <c r="I34" s="80"/>
      <c r="J34" s="80">
        <v>5</v>
      </c>
      <c r="K34" s="80">
        <v>104</v>
      </c>
      <c r="L34" s="80">
        <v>11.5</v>
      </c>
      <c r="M34" s="34">
        <v>3660</v>
      </c>
      <c r="N34" s="34">
        <v>3825</v>
      </c>
      <c r="O34" s="329">
        <v>2000</v>
      </c>
      <c r="P34" s="329"/>
      <c r="Q34" s="330">
        <v>40</v>
      </c>
      <c r="R34" s="330"/>
      <c r="T34" s="105"/>
      <c r="U34" s="34">
        <f t="shared" si="3"/>
        <v>1313</v>
      </c>
      <c r="V34" s="120"/>
      <c r="X34" s="105"/>
      <c r="Y34" s="34">
        <v>40</v>
      </c>
      <c r="Z34" s="120"/>
      <c r="AA34"/>
      <c r="AB34" s="105"/>
      <c r="AC34" s="34"/>
      <c r="AD34" s="34"/>
      <c r="AE34" s="34"/>
      <c r="AF34" s="34"/>
      <c r="AG34" s="34"/>
      <c r="AH34" s="34"/>
      <c r="AI34" s="34"/>
      <c r="AJ34" s="120"/>
      <c r="AK34"/>
      <c r="AL34" s="105"/>
      <c r="AM34" s="136">
        <f t="shared" si="1"/>
        <v>0</v>
      </c>
      <c r="AN34" s="34"/>
      <c r="AO34" s="34">
        <f t="shared" si="2"/>
        <v>0</v>
      </c>
      <c r="AP34" s="34"/>
      <c r="AQ34" s="120"/>
      <c r="AS34" s="105"/>
      <c r="AT34" s="34"/>
      <c r="AU34" s="34"/>
      <c r="AV34" s="34"/>
      <c r="AW34" s="34"/>
      <c r="AX34" s="120"/>
      <c r="AZ34" s="105"/>
      <c r="BA34" s="34"/>
      <c r="BB34" s="34"/>
      <c r="BC34" s="34"/>
      <c r="BD34" s="34"/>
      <c r="BE34" s="120"/>
    </row>
    <row r="35" spans="3:57" ht="13.8">
      <c r="C35" s="45">
        <v>4</v>
      </c>
      <c r="D35" s="63">
        <v>12</v>
      </c>
      <c r="E35" s="80"/>
      <c r="F35" s="80">
        <v>0</v>
      </c>
      <c r="G35" s="80">
        <f>D17</f>
        <v>2</v>
      </c>
      <c r="H35" s="80"/>
      <c r="I35" s="80"/>
      <c r="J35" s="80">
        <v>5</v>
      </c>
      <c r="K35" s="80">
        <v>11.4</v>
      </c>
      <c r="L35" s="80">
        <v>11.4</v>
      </c>
      <c r="M35" s="34">
        <v>3710</v>
      </c>
      <c r="N35" s="34">
        <v>3825</v>
      </c>
      <c r="O35" s="329">
        <v>2000</v>
      </c>
      <c r="P35" s="329"/>
      <c r="Q35" s="330">
        <v>40</v>
      </c>
      <c r="R35" s="330"/>
      <c r="T35" s="105"/>
      <c r="U35" s="34">
        <f t="shared" ref="U35:U37" si="4">M35-$D$20-$D$19-4-Q35</f>
        <v>1359</v>
      </c>
      <c r="V35" s="120"/>
      <c r="X35" s="105"/>
      <c r="Y35" s="34">
        <v>40</v>
      </c>
      <c r="Z35" s="120"/>
      <c r="AA35"/>
      <c r="AB35" s="105"/>
      <c r="AC35" s="34"/>
      <c r="AD35" s="34"/>
      <c r="AE35" s="34"/>
      <c r="AF35" s="34"/>
      <c r="AG35" s="34"/>
      <c r="AH35" s="34"/>
      <c r="AI35" s="34"/>
      <c r="AJ35" s="120"/>
      <c r="AK35"/>
      <c r="AL35" s="105"/>
      <c r="AM35" s="136">
        <f t="shared" si="1"/>
        <v>0</v>
      </c>
      <c r="AN35" s="34"/>
      <c r="AO35" s="34">
        <f t="shared" si="2"/>
        <v>0</v>
      </c>
      <c r="AP35" s="34"/>
      <c r="AQ35" s="120"/>
      <c r="AS35" s="105"/>
      <c r="AT35" s="34"/>
      <c r="AU35" s="34"/>
      <c r="AV35" s="34"/>
      <c r="AW35" s="34"/>
      <c r="AX35" s="120"/>
      <c r="AZ35" s="105"/>
      <c r="BA35" s="34"/>
      <c r="BB35" s="34"/>
      <c r="BC35" s="34"/>
      <c r="BD35" s="34"/>
      <c r="BE35" s="120"/>
    </row>
    <row r="36" spans="3:57" ht="13.8">
      <c r="D36" s="63">
        <v>24</v>
      </c>
      <c r="E36" s="80"/>
      <c r="F36" s="80">
        <v>0.873</v>
      </c>
      <c r="G36" s="80"/>
      <c r="H36" s="80"/>
      <c r="I36" s="80"/>
      <c r="J36" s="80">
        <v>5</v>
      </c>
      <c r="K36" s="80">
        <v>11.3</v>
      </c>
      <c r="L36" s="80">
        <v>11.3</v>
      </c>
      <c r="M36" s="34">
        <v>3600</v>
      </c>
      <c r="N36" s="34">
        <v>3825</v>
      </c>
      <c r="O36" s="329">
        <v>2000</v>
      </c>
      <c r="P36" s="329"/>
      <c r="Q36" s="330">
        <v>40</v>
      </c>
      <c r="R36" s="330"/>
      <c r="T36" s="105"/>
      <c r="U36" s="34">
        <f t="shared" si="4"/>
        <v>1249</v>
      </c>
      <c r="V36" s="120"/>
      <c r="X36" s="105"/>
      <c r="Y36" s="34">
        <v>40</v>
      </c>
      <c r="Z36" s="120"/>
      <c r="AA36"/>
      <c r="AB36" s="131" t="e">
        <f>G12</f>
        <v>#DIV/0!</v>
      </c>
      <c r="AC36" s="34"/>
      <c r="AD36" s="34"/>
      <c r="AE36" s="34" t="e">
        <f>H12</f>
        <v>#DIV/0!</v>
      </c>
      <c r="AF36" s="34"/>
      <c r="AG36" s="34"/>
      <c r="AH36" s="112" t="e">
        <f>I12</f>
        <v>#DIV/0!</v>
      </c>
      <c r="AI36" s="34"/>
      <c r="AJ36" s="120"/>
      <c r="AK36"/>
      <c r="AL36" s="105" t="e">
        <f>AB36*T31</f>
        <v>#DIV/0!</v>
      </c>
      <c r="AM36" s="136">
        <f t="shared" si="1"/>
        <v>0</v>
      </c>
      <c r="AN36" s="34"/>
      <c r="AO36" s="34">
        <f t="shared" si="2"/>
        <v>0</v>
      </c>
      <c r="AP36" s="34"/>
      <c r="AQ36" s="120"/>
      <c r="AS36" s="105"/>
      <c r="AT36" s="34"/>
      <c r="AU36" s="34"/>
      <c r="AV36" s="34"/>
      <c r="AW36" s="34"/>
      <c r="AX36" s="120"/>
      <c r="AZ36" s="105"/>
      <c r="BA36" s="34"/>
      <c r="BB36" s="34"/>
      <c r="BC36" s="34"/>
      <c r="BD36" s="34"/>
      <c r="BE36" s="120"/>
    </row>
    <row r="37" spans="3:57" ht="13.8">
      <c r="D37" s="63">
        <v>48</v>
      </c>
      <c r="E37" s="80"/>
      <c r="F37" s="80"/>
      <c r="G37" s="80"/>
      <c r="H37" s="80"/>
      <c r="I37" s="80"/>
      <c r="J37" s="80"/>
      <c r="K37" s="80"/>
      <c r="L37" s="80"/>
      <c r="M37" s="34">
        <v>3670</v>
      </c>
      <c r="N37" s="34"/>
      <c r="O37" s="329">
        <v>2000</v>
      </c>
      <c r="P37" s="329"/>
      <c r="Q37" s="330">
        <v>40</v>
      </c>
      <c r="R37" s="330"/>
      <c r="T37" s="105"/>
      <c r="U37" s="34">
        <f t="shared" si="4"/>
        <v>1319</v>
      </c>
      <c r="V37" s="120"/>
      <c r="X37" s="105">
        <v>1012</v>
      </c>
      <c r="Y37" s="34">
        <v>40</v>
      </c>
      <c r="Z37" s="120">
        <v>4</v>
      </c>
      <c r="AA37"/>
      <c r="AB37" s="105"/>
      <c r="AC37" s="34"/>
      <c r="AD37" s="34"/>
      <c r="AE37" s="34"/>
      <c r="AF37" s="34"/>
      <c r="AG37" s="34"/>
      <c r="AH37" s="34"/>
      <c r="AI37" s="34"/>
      <c r="AJ37" s="120"/>
      <c r="AK37"/>
      <c r="AL37" s="105"/>
      <c r="AM37" s="136">
        <f t="shared" si="1"/>
        <v>0</v>
      </c>
      <c r="AN37" s="34"/>
      <c r="AO37" s="34">
        <f t="shared" si="2"/>
        <v>0</v>
      </c>
      <c r="AP37" s="34"/>
      <c r="AQ37" s="120"/>
      <c r="AS37" s="105"/>
      <c r="AT37" s="34"/>
      <c r="AU37" s="34"/>
      <c r="AV37" s="34"/>
      <c r="AW37" s="34"/>
      <c r="AX37" s="120"/>
      <c r="AZ37" s="105"/>
      <c r="BA37" s="34"/>
      <c r="BB37" s="34"/>
      <c r="BC37" s="34"/>
      <c r="BD37" s="34"/>
      <c r="BE37" s="120"/>
    </row>
    <row r="38" spans="3:57" ht="13.8">
      <c r="D38" s="64" t="s">
        <v>210</v>
      </c>
      <c r="E38" s="80">
        <v>1.52</v>
      </c>
      <c r="F38" s="80">
        <f>SUM(F31:F37)</f>
        <v>4.8510000000000009</v>
      </c>
      <c r="G38" s="80">
        <f>G35</f>
        <v>2</v>
      </c>
      <c r="H38" s="80"/>
      <c r="I38" s="80"/>
      <c r="J38" s="80"/>
      <c r="K38" s="80"/>
      <c r="L38" s="80"/>
      <c r="M38" s="80"/>
      <c r="N38" s="80"/>
      <c r="O38" s="329"/>
      <c r="P38" s="329"/>
      <c r="Q38" s="330"/>
      <c r="R38" s="330"/>
      <c r="T38" s="105"/>
      <c r="U38" s="34"/>
      <c r="V38" s="120"/>
      <c r="X38" s="105"/>
      <c r="Y38" s="34"/>
      <c r="Z38" s="120"/>
      <c r="AA38"/>
      <c r="AB38" s="105"/>
      <c r="AC38" s="34"/>
      <c r="AD38" s="34"/>
      <c r="AE38" s="34"/>
      <c r="AF38" s="34"/>
      <c r="AG38" s="34"/>
      <c r="AH38" s="34"/>
      <c r="AI38" s="34"/>
      <c r="AJ38" s="120"/>
      <c r="AK38"/>
      <c r="AL38" s="105"/>
      <c r="AM38" s="34"/>
      <c r="AN38" s="34"/>
      <c r="AO38" s="34"/>
      <c r="AP38" s="34"/>
      <c r="AQ38" s="120"/>
      <c r="AS38" s="105"/>
      <c r="AT38" s="34"/>
      <c r="AU38" s="34"/>
      <c r="AV38" s="34"/>
      <c r="AW38" s="34"/>
      <c r="AX38" s="120"/>
      <c r="AZ38" s="105"/>
      <c r="BA38" s="34"/>
      <c r="BB38" s="34"/>
      <c r="BC38" s="34"/>
      <c r="BD38" s="34"/>
      <c r="BE38" s="120"/>
    </row>
    <row r="39" spans="3:57" ht="13.8">
      <c r="D39" s="65" t="s">
        <v>211</v>
      </c>
      <c r="E39" s="323">
        <v>0</v>
      </c>
      <c r="F39" s="323"/>
      <c r="G39" s="323"/>
      <c r="H39" s="81"/>
      <c r="I39" s="81"/>
      <c r="J39" s="81"/>
      <c r="K39" s="81"/>
      <c r="L39" s="81"/>
      <c r="M39" s="81"/>
      <c r="N39" s="81"/>
      <c r="O39" s="323"/>
      <c r="P39" s="323"/>
      <c r="Q39" s="324"/>
      <c r="R39" s="324"/>
      <c r="T39" s="108"/>
      <c r="U39" s="109"/>
      <c r="V39" s="121"/>
      <c r="X39" s="108"/>
      <c r="Y39" s="109"/>
      <c r="Z39" s="121"/>
      <c r="AA39"/>
      <c r="AB39" s="108"/>
      <c r="AC39" s="109"/>
      <c r="AD39" s="109"/>
      <c r="AE39" s="109"/>
      <c r="AF39" s="109"/>
      <c r="AG39" s="109"/>
      <c r="AH39" s="109"/>
      <c r="AI39" s="109"/>
      <c r="AJ39" s="121"/>
      <c r="AK39"/>
      <c r="AL39" s="108"/>
      <c r="AM39" s="109"/>
      <c r="AN39" s="109"/>
      <c r="AO39" s="109"/>
      <c r="AP39" s="109"/>
      <c r="AQ39" s="121"/>
      <c r="AS39" s="108"/>
      <c r="AT39" s="109"/>
      <c r="AU39" s="109"/>
      <c r="AV39" s="109"/>
      <c r="AW39" s="109"/>
      <c r="AX39" s="121"/>
      <c r="AZ39" s="108"/>
      <c r="BA39" s="109"/>
      <c r="BB39" s="109"/>
      <c r="BC39" s="109"/>
      <c r="BD39" s="109"/>
      <c r="BE39" s="121"/>
    </row>
    <row r="42" spans="3:57" ht="13.8">
      <c r="D42" s="325" t="s">
        <v>212</v>
      </c>
      <c r="E42" s="325"/>
      <c r="F42" s="325"/>
      <c r="H42" s="326" t="s">
        <v>213</v>
      </c>
      <c r="I42" s="326"/>
      <c r="J42" s="326"/>
    </row>
    <row r="43" spans="3:57" ht="13.8">
      <c r="D43" s="327" t="s">
        <v>214</v>
      </c>
      <c r="E43" s="327"/>
      <c r="F43" s="327"/>
      <c r="H43" s="328" t="s">
        <v>215</v>
      </c>
      <c r="I43" s="328"/>
      <c r="J43" s="328"/>
    </row>
    <row r="44" spans="3:57" ht="13.8">
      <c r="D44" s="66" t="s">
        <v>126</v>
      </c>
      <c r="E44" s="82" t="s">
        <v>127</v>
      </c>
      <c r="F44" s="83" t="s">
        <v>128</v>
      </c>
      <c r="H44" s="84" t="s">
        <v>126</v>
      </c>
      <c r="I44" s="98" t="s">
        <v>127</v>
      </c>
      <c r="J44" s="99" t="s">
        <v>128</v>
      </c>
    </row>
    <row r="45" spans="3:57" ht="13.8">
      <c r="D45" s="67">
        <f>AM31+AO31</f>
        <v>0</v>
      </c>
      <c r="E45" s="50"/>
      <c r="F45" s="56"/>
      <c r="H45" s="85" t="e">
        <f t="shared" ref="H45:H50" si="5">D45/$G$15</f>
        <v>#DIV/0!</v>
      </c>
      <c r="I45" s="50"/>
      <c r="J45" s="56"/>
    </row>
    <row r="46" spans="3:57" ht="13.8">
      <c r="D46" s="67">
        <f>AM32+AO31+AO32</f>
        <v>0</v>
      </c>
      <c r="E46" s="50"/>
      <c r="F46" s="56"/>
      <c r="H46" s="85" t="e">
        <f t="shared" si="5"/>
        <v>#DIV/0!</v>
      </c>
      <c r="I46" s="50"/>
      <c r="J46" s="56"/>
    </row>
    <row r="47" spans="3:57" ht="13.8">
      <c r="D47" s="67">
        <f>AM33+SUM(AO31:AO33)</f>
        <v>0</v>
      </c>
      <c r="E47" s="50"/>
      <c r="F47" s="56"/>
      <c r="H47" s="85" t="e">
        <f t="shared" si="5"/>
        <v>#DIV/0!</v>
      </c>
      <c r="I47" s="50"/>
      <c r="J47" s="56"/>
    </row>
    <row r="48" spans="3:57" ht="13.8">
      <c r="D48" s="67">
        <f>AM34+SUM(AO31:AO34)</f>
        <v>0</v>
      </c>
      <c r="E48" s="50"/>
      <c r="F48" s="56"/>
      <c r="H48" s="85" t="e">
        <f t="shared" si="5"/>
        <v>#DIV/0!</v>
      </c>
      <c r="I48" s="50"/>
      <c r="J48" s="56"/>
    </row>
    <row r="49" spans="4:10" ht="13.8">
      <c r="D49" s="67">
        <f>AM35+AM34+SUM(AO31:AO35)</f>
        <v>0</v>
      </c>
      <c r="E49" s="50"/>
      <c r="F49" s="56"/>
      <c r="H49" s="85" t="e">
        <f t="shared" si="5"/>
        <v>#DIV/0!</v>
      </c>
      <c r="I49" s="50"/>
      <c r="J49" s="56"/>
    </row>
    <row r="50" spans="4:10" ht="13.8">
      <c r="D50" s="68">
        <f>AM36+AM35+AM34+SUM(AO31:AO36)</f>
        <v>0</v>
      </c>
      <c r="E50" s="60"/>
      <c r="F50" s="61"/>
      <c r="H50" s="86" t="e">
        <f t="shared" si="5"/>
        <v>#DIV/0!</v>
      </c>
      <c r="I50" s="60"/>
      <c r="J50" s="61"/>
    </row>
  </sheetData>
  <mergeCells count="62">
    <mergeCell ref="T27:V27"/>
    <mergeCell ref="X27:Z27"/>
    <mergeCell ref="AB27:AJ27"/>
    <mergeCell ref="AL27:AQ27"/>
    <mergeCell ref="B2:F2"/>
    <mergeCell ref="U3:X3"/>
    <mergeCell ref="Y3:AB3"/>
    <mergeCell ref="B9:D9"/>
    <mergeCell ref="F9:I9"/>
    <mergeCell ref="K9:M9"/>
    <mergeCell ref="S3:S5"/>
    <mergeCell ref="T4:T5"/>
    <mergeCell ref="AS27:AX27"/>
    <mergeCell ref="AZ27:BE27"/>
    <mergeCell ref="AB28:AD28"/>
    <mergeCell ref="AE28:AG28"/>
    <mergeCell ref="AH28:AJ28"/>
    <mergeCell ref="AL28:AM28"/>
    <mergeCell ref="AN28:AO28"/>
    <mergeCell ref="AP28:AQ28"/>
    <mergeCell ref="AS28:AT28"/>
    <mergeCell ref="AU28:AV28"/>
    <mergeCell ref="AW28:AX28"/>
    <mergeCell ref="AZ28:BA28"/>
    <mergeCell ref="BB28:BC28"/>
    <mergeCell ref="BD28:BE28"/>
    <mergeCell ref="O30:P30"/>
    <mergeCell ref="Q30:R30"/>
    <mergeCell ref="O31:P31"/>
    <mergeCell ref="Q31:R31"/>
    <mergeCell ref="O32:P32"/>
    <mergeCell ref="Q32:R32"/>
    <mergeCell ref="O38:P38"/>
    <mergeCell ref="Q38:R38"/>
    <mergeCell ref="O33:P33"/>
    <mergeCell ref="Q33:R33"/>
    <mergeCell ref="O34:P34"/>
    <mergeCell ref="Q34:R34"/>
    <mergeCell ref="O35:P35"/>
    <mergeCell ref="Q35:R35"/>
    <mergeCell ref="F15:F16"/>
    <mergeCell ref="F19:F20"/>
    <mergeCell ref="H28:H29"/>
    <mergeCell ref="E28:G29"/>
    <mergeCell ref="I28:J29"/>
    <mergeCell ref="D27:R27"/>
    <mergeCell ref="K28:L29"/>
    <mergeCell ref="M28:N29"/>
    <mergeCell ref="O28:P29"/>
    <mergeCell ref="Q28:R29"/>
    <mergeCell ref="D43:F43"/>
    <mergeCell ref="H43:J43"/>
    <mergeCell ref="D28:D29"/>
    <mergeCell ref="E39:G39"/>
    <mergeCell ref="O39:P39"/>
    <mergeCell ref="Q39:R39"/>
    <mergeCell ref="D42:F42"/>
    <mergeCell ref="H42:J42"/>
    <mergeCell ref="O36:P36"/>
    <mergeCell ref="Q36:R36"/>
    <mergeCell ref="O37:P37"/>
    <mergeCell ref="Q37:R37"/>
  </mergeCells>
  <pageMargins left="0.7" right="0.7" top="0.75" bottom="0.75" header="0.511811023622047" footer="0.511811023622047"/>
  <pageSetup orientation="portrait" horizontalDpi="300" verticalDpi="30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>
    <tabColor theme="9" tint="0.59999389629810485"/>
  </sheetPr>
  <dimension ref="B2:BE50"/>
  <sheetViews>
    <sheetView zoomScale="60" zoomScaleNormal="60" workbookViewId="0">
      <selection activeCell="P19" sqref="P19"/>
    </sheetView>
  </sheetViews>
  <sheetFormatPr defaultColWidth="10" defaultRowHeight="16.2" customHeight="1"/>
  <cols>
    <col min="1" max="1" width="10" style="45"/>
    <col min="2" max="2" width="23.8984375" style="45" customWidth="1"/>
    <col min="3" max="3" width="2.3984375" style="45" customWidth="1"/>
    <col min="4" max="4" width="19.5" style="45" customWidth="1"/>
    <col min="5" max="5" width="10" style="45"/>
    <col min="6" max="6" width="16.69921875" style="45" customWidth="1"/>
    <col min="7" max="8" width="11.09765625" style="45" customWidth="1"/>
    <col min="9" max="19" width="10" style="45"/>
    <col min="20" max="20" width="26.296875" style="45" customWidth="1"/>
    <col min="21" max="16384" width="10" style="45"/>
  </cols>
  <sheetData>
    <row r="2" spans="2:28" ht="13.8">
      <c r="B2" s="356" t="s">
        <v>116</v>
      </c>
      <c r="C2" s="356"/>
      <c r="D2" s="356"/>
      <c r="E2" s="356"/>
      <c r="F2" s="356"/>
    </row>
    <row r="3" spans="2:28" ht="13.8">
      <c r="S3" s="357" t="s">
        <v>117</v>
      </c>
      <c r="T3" s="103" t="s">
        <v>118</v>
      </c>
      <c r="U3" s="358" t="s">
        <v>119</v>
      </c>
      <c r="V3" s="358"/>
      <c r="W3" s="358"/>
      <c r="X3" s="358"/>
      <c r="Y3" s="359" t="s">
        <v>120</v>
      </c>
      <c r="Z3" s="359"/>
      <c r="AA3" s="359"/>
      <c r="AB3" s="359"/>
    </row>
    <row r="4" spans="2:28" ht="13.8">
      <c r="B4" s="183" t="s">
        <v>121</v>
      </c>
      <c r="C4" s="184" t="s">
        <v>122</v>
      </c>
      <c r="D4" s="185"/>
      <c r="E4" s="185"/>
      <c r="F4" s="189"/>
      <c r="S4" s="357"/>
      <c r="T4" s="360" t="s">
        <v>124</v>
      </c>
      <c r="U4" s="104" t="s">
        <v>125</v>
      </c>
      <c r="V4" s="104" t="s">
        <v>126</v>
      </c>
      <c r="W4" s="104" t="s">
        <v>127</v>
      </c>
      <c r="X4" s="104" t="s">
        <v>128</v>
      </c>
      <c r="Y4" s="104" t="s">
        <v>125</v>
      </c>
      <c r="Z4" s="104" t="s">
        <v>126</v>
      </c>
      <c r="AA4" s="104" t="s">
        <v>127</v>
      </c>
      <c r="AB4" s="122" t="s">
        <v>128</v>
      </c>
    </row>
    <row r="5" spans="2:28" ht="13.8">
      <c r="B5" s="186" t="s">
        <v>129</v>
      </c>
      <c r="C5" s="50" t="s">
        <v>122</v>
      </c>
      <c r="F5" s="190"/>
      <c r="S5" s="357"/>
      <c r="T5" s="360"/>
      <c r="U5" s="104" t="s">
        <v>131</v>
      </c>
      <c r="V5" s="104" t="s">
        <v>106</v>
      </c>
      <c r="W5" s="104" t="s">
        <v>106</v>
      </c>
      <c r="X5" s="104" t="s">
        <v>106</v>
      </c>
      <c r="Y5" s="104" t="s">
        <v>131</v>
      </c>
      <c r="Z5" s="104" t="s">
        <v>106</v>
      </c>
      <c r="AA5" s="104" t="s">
        <v>106</v>
      </c>
      <c r="AB5" s="122" t="s">
        <v>106</v>
      </c>
    </row>
    <row r="6" spans="2:28" ht="13.8">
      <c r="B6" s="186" t="s">
        <v>132</v>
      </c>
      <c r="C6" s="50" t="s">
        <v>122</v>
      </c>
      <c r="D6" s="51"/>
      <c r="F6" s="190"/>
      <c r="S6" s="105">
        <v>1</v>
      </c>
      <c r="T6" s="34" t="s">
        <v>134</v>
      </c>
      <c r="U6" s="112"/>
      <c r="V6" s="34"/>
      <c r="W6" s="34"/>
      <c r="X6" s="34"/>
      <c r="Y6" s="34"/>
      <c r="Z6" s="34"/>
      <c r="AA6" s="34"/>
      <c r="AB6" s="120"/>
    </row>
    <row r="7" spans="2:28" ht="13.8">
      <c r="B7" s="187" t="s">
        <v>135</v>
      </c>
      <c r="C7" s="60" t="s">
        <v>122</v>
      </c>
      <c r="D7" s="188"/>
      <c r="E7" s="188"/>
      <c r="F7" s="191"/>
      <c r="S7" s="105">
        <v>2</v>
      </c>
      <c r="T7" s="34" t="s">
        <v>137</v>
      </c>
      <c r="U7" s="34"/>
      <c r="V7" s="112"/>
      <c r="W7" s="112"/>
      <c r="X7" s="34"/>
      <c r="Y7" s="34"/>
      <c r="Z7" s="34"/>
      <c r="AA7" s="34"/>
      <c r="AB7" s="120"/>
    </row>
    <row r="8" spans="2:28" ht="13.8">
      <c r="S8" s="105">
        <v>3</v>
      </c>
      <c r="T8" s="34" t="s">
        <v>138</v>
      </c>
      <c r="U8" s="34"/>
      <c r="V8" s="112"/>
      <c r="W8" s="34"/>
      <c r="X8" s="34"/>
      <c r="Y8" s="34"/>
      <c r="Z8" s="34"/>
      <c r="AA8" s="34"/>
      <c r="AB8" s="120"/>
    </row>
    <row r="9" spans="2:28" ht="13.8">
      <c r="B9" s="361" t="s">
        <v>139</v>
      </c>
      <c r="C9" s="361"/>
      <c r="D9" s="361"/>
      <c r="F9" s="362" t="s">
        <v>140</v>
      </c>
      <c r="G9" s="362"/>
      <c r="H9" s="362"/>
      <c r="I9" s="362"/>
      <c r="K9" s="363" t="s">
        <v>141</v>
      </c>
      <c r="L9" s="363"/>
      <c r="M9" s="363"/>
      <c r="S9" s="105">
        <v>4</v>
      </c>
      <c r="T9" s="106" t="s">
        <v>142</v>
      </c>
      <c r="U9" s="112"/>
      <c r="V9" s="34"/>
      <c r="W9" s="34"/>
      <c r="X9" s="34"/>
      <c r="Y9" s="34"/>
      <c r="Z9" s="34"/>
      <c r="AA9" s="34"/>
      <c r="AB9" s="120"/>
    </row>
    <row r="10" spans="2:28" ht="13.8">
      <c r="B10" s="55" t="s">
        <v>108</v>
      </c>
      <c r="C10" s="50" t="s">
        <v>122</v>
      </c>
      <c r="D10" s="56" t="s">
        <v>143</v>
      </c>
      <c r="F10" s="69"/>
      <c r="G10" s="70" t="s">
        <v>126</v>
      </c>
      <c r="H10" s="70" t="s">
        <v>127</v>
      </c>
      <c r="I10" s="90" t="s">
        <v>128</v>
      </c>
      <c r="K10" s="62" t="s">
        <v>144</v>
      </c>
      <c r="L10" s="91">
        <f>(4.5/1012)*1000</f>
        <v>4.4466403162055341</v>
      </c>
      <c r="M10" s="100" t="s">
        <v>145</v>
      </c>
      <c r="S10" s="105">
        <v>5</v>
      </c>
      <c r="T10" s="34" t="s">
        <v>146</v>
      </c>
      <c r="U10" s="112"/>
      <c r="V10" s="34"/>
      <c r="W10" s="113"/>
      <c r="X10" s="34"/>
      <c r="Y10" s="34"/>
      <c r="Z10" s="34"/>
      <c r="AA10" s="34"/>
      <c r="AB10" s="120"/>
    </row>
    <row r="11" spans="2:28" ht="13.8">
      <c r="B11" s="55" t="s">
        <v>147</v>
      </c>
      <c r="C11" s="50" t="s">
        <v>122</v>
      </c>
      <c r="D11" s="56">
        <v>1000</v>
      </c>
      <c r="F11" s="71" t="s">
        <v>148</v>
      </c>
      <c r="G11" s="72" t="e">
        <f>AVERAGE(V6:V9)</f>
        <v>#DIV/0!</v>
      </c>
      <c r="H11" s="72" t="e">
        <f>AVERAGE(W6:W8)</f>
        <v>#DIV/0!</v>
      </c>
      <c r="I11" s="92" t="e">
        <f>AVERAGE(X6:X8)</f>
        <v>#DIV/0!</v>
      </c>
      <c r="K11" s="62" t="s">
        <v>149</v>
      </c>
      <c r="L11" s="91">
        <f>((1.5-(($J37*1518)/10000000))/1012)*1000</f>
        <v>1.4822134387351777</v>
      </c>
      <c r="M11" s="100" t="s">
        <v>145</v>
      </c>
      <c r="S11" s="105">
        <v>6</v>
      </c>
      <c r="T11" s="34" t="s">
        <v>150</v>
      </c>
      <c r="U11" s="34"/>
      <c r="V11" s="34"/>
      <c r="W11" s="34"/>
      <c r="X11" s="112"/>
      <c r="Y11" s="34"/>
      <c r="Z11" s="34"/>
      <c r="AA11" s="34"/>
      <c r="AB11" s="120"/>
    </row>
    <row r="12" spans="2:28" ht="13.8">
      <c r="B12" s="55" t="s">
        <v>151</v>
      </c>
      <c r="C12" s="50" t="s">
        <v>122</v>
      </c>
      <c r="D12" s="57">
        <v>0.4</v>
      </c>
      <c r="F12" s="73" t="s">
        <v>152</v>
      </c>
      <c r="G12" s="74" t="e">
        <f t="shared" ref="G12:I12" si="0">AVERAGE(V10:V13)</f>
        <v>#DIV/0!</v>
      </c>
      <c r="H12" s="74" t="e">
        <f t="shared" si="0"/>
        <v>#DIV/0!</v>
      </c>
      <c r="I12" s="93" t="e">
        <f t="shared" si="0"/>
        <v>#DIV/0!</v>
      </c>
      <c r="K12" s="94" t="s">
        <v>153</v>
      </c>
      <c r="L12" s="81"/>
      <c r="M12" s="101"/>
      <c r="S12" s="107">
        <v>7</v>
      </c>
      <c r="T12" s="34" t="s">
        <v>154</v>
      </c>
      <c r="U12" s="114"/>
      <c r="V12" s="114"/>
      <c r="W12" s="114"/>
      <c r="X12" s="114"/>
      <c r="Y12" s="114"/>
      <c r="Z12" s="114"/>
      <c r="AA12" s="114"/>
      <c r="AB12" s="123"/>
    </row>
    <row r="13" spans="2:28" ht="13.8">
      <c r="B13" s="55" t="s">
        <v>155</v>
      </c>
      <c r="C13" s="50" t="s">
        <v>122</v>
      </c>
      <c r="D13" s="57">
        <v>0.6</v>
      </c>
      <c r="S13" s="105">
        <v>8</v>
      </c>
      <c r="T13" s="34" t="s">
        <v>156</v>
      </c>
      <c r="U13" s="34"/>
      <c r="V13" s="112"/>
      <c r="W13" s="113"/>
      <c r="X13" s="34"/>
      <c r="Y13" s="34"/>
      <c r="Z13" s="34"/>
      <c r="AA13" s="34"/>
      <c r="AB13" s="120"/>
    </row>
    <row r="14" spans="2:28" ht="13.8">
      <c r="B14" s="55" t="s">
        <v>157</v>
      </c>
      <c r="C14" s="50" t="s">
        <v>122</v>
      </c>
      <c r="D14" s="56" t="s">
        <v>158</v>
      </c>
      <c r="F14" s="75" t="s">
        <v>159</v>
      </c>
      <c r="G14" s="76" t="e">
        <f>G12*D20</f>
        <v>#DIV/0!</v>
      </c>
      <c r="H14" s="76"/>
      <c r="I14" s="95"/>
      <c r="S14" s="105">
        <v>9</v>
      </c>
      <c r="T14" s="34" t="s">
        <v>160</v>
      </c>
      <c r="U14" s="34"/>
      <c r="V14" s="34"/>
      <c r="W14" s="34"/>
      <c r="X14" s="34"/>
      <c r="Y14" s="34"/>
      <c r="Z14" s="34"/>
      <c r="AA14" s="34"/>
      <c r="AB14" s="120"/>
    </row>
    <row r="15" spans="2:28" ht="16.2" customHeight="1">
      <c r="B15" s="55" t="s">
        <v>161</v>
      </c>
      <c r="C15" s="50" t="s">
        <v>122</v>
      </c>
      <c r="D15" s="56">
        <v>2.1</v>
      </c>
      <c r="F15" s="351" t="s">
        <v>162</v>
      </c>
      <c r="G15" s="77" t="e">
        <f>G14+D50</f>
        <v>#DIV/0!</v>
      </c>
      <c r="H15" s="77"/>
      <c r="I15" s="96"/>
      <c r="S15" s="105">
        <v>10</v>
      </c>
      <c r="T15" s="34" t="s">
        <v>163</v>
      </c>
      <c r="U15" s="34"/>
      <c r="V15" s="34"/>
      <c r="W15" s="34"/>
      <c r="X15" s="34"/>
      <c r="Y15" s="34"/>
      <c r="Z15" s="34"/>
      <c r="AA15" s="34"/>
      <c r="AB15" s="120"/>
    </row>
    <row r="16" spans="2:28" ht="13.8">
      <c r="B16" s="55" t="s">
        <v>164</v>
      </c>
      <c r="C16" s="50" t="s">
        <v>122</v>
      </c>
      <c r="D16" s="56">
        <v>1.27</v>
      </c>
      <c r="F16" s="351"/>
      <c r="G16" s="78"/>
      <c r="H16" s="78"/>
      <c r="I16" s="97"/>
      <c r="J16" s="45" t="e">
        <f>G15/D23</f>
        <v>#DIV/0!</v>
      </c>
      <c r="S16" s="105">
        <v>11</v>
      </c>
      <c r="T16" s="34" t="s">
        <v>165</v>
      </c>
      <c r="U16" s="34"/>
      <c r="V16" s="34"/>
      <c r="W16" s="34"/>
      <c r="X16" s="34"/>
      <c r="Y16" s="34"/>
      <c r="Z16" s="34"/>
      <c r="AA16" s="34"/>
      <c r="AB16" s="120"/>
    </row>
    <row r="17" spans="2:57" ht="13.8">
      <c r="B17" s="55" t="s">
        <v>166</v>
      </c>
      <c r="C17" s="50" t="s">
        <v>122</v>
      </c>
      <c r="D17" s="56">
        <v>2</v>
      </c>
      <c r="S17" s="105">
        <v>12</v>
      </c>
      <c r="T17" s="34" t="s">
        <v>167</v>
      </c>
      <c r="Z17" s="124"/>
      <c r="AA17" s="114"/>
      <c r="AB17" s="123"/>
    </row>
    <row r="18" spans="2:57" ht="13.8">
      <c r="B18" s="55" t="s">
        <v>168</v>
      </c>
      <c r="C18" s="50" t="s">
        <v>122</v>
      </c>
      <c r="D18" s="56">
        <v>48</v>
      </c>
      <c r="F18" s="75" t="s">
        <v>169</v>
      </c>
      <c r="G18" s="76"/>
      <c r="H18" s="76"/>
      <c r="I18" s="95"/>
      <c r="O18" s="45">
        <v>4</v>
      </c>
      <c r="S18" s="105">
        <v>13</v>
      </c>
      <c r="T18" s="34" t="s">
        <v>170</v>
      </c>
      <c r="U18" s="34"/>
      <c r="V18" s="34"/>
      <c r="W18" s="34"/>
      <c r="X18" s="34"/>
      <c r="Y18" s="34"/>
      <c r="Z18" s="145"/>
      <c r="AA18" s="124"/>
      <c r="AB18" s="125"/>
    </row>
    <row r="19" spans="2:57" ht="16.2" customHeight="1">
      <c r="B19" s="55" t="s">
        <v>171</v>
      </c>
      <c r="C19" s="50" t="s">
        <v>122</v>
      </c>
      <c r="D19" s="58"/>
      <c r="F19" s="351" t="s">
        <v>172</v>
      </c>
      <c r="G19" s="77"/>
      <c r="H19" s="77"/>
      <c r="I19" s="96"/>
      <c r="S19" s="108">
        <v>14</v>
      </c>
      <c r="T19" s="109" t="s">
        <v>173</v>
      </c>
      <c r="U19" s="109"/>
      <c r="V19" s="109"/>
      <c r="W19" s="109"/>
      <c r="X19" s="109"/>
      <c r="Y19" s="109"/>
      <c r="Z19" s="146"/>
      <c r="AA19" s="126"/>
      <c r="AB19" s="127"/>
    </row>
    <row r="20" spans="2:57" ht="13.8">
      <c r="B20" s="55" t="s">
        <v>174</v>
      </c>
      <c r="C20" s="50" t="s">
        <v>122</v>
      </c>
      <c r="D20" s="56">
        <v>1012</v>
      </c>
      <c r="F20" s="351"/>
      <c r="G20" s="78"/>
      <c r="H20" s="78"/>
      <c r="I20" s="97"/>
    </row>
    <row r="21" spans="2:57" ht="13.8">
      <c r="B21" s="55" t="s">
        <v>175</v>
      </c>
      <c r="C21" s="50" t="s">
        <v>122</v>
      </c>
      <c r="D21" s="56">
        <v>1518</v>
      </c>
    </row>
    <row r="22" spans="2:57" ht="13.8">
      <c r="B22" s="55" t="s">
        <v>176</v>
      </c>
      <c r="C22" s="50" t="s">
        <v>122</v>
      </c>
      <c r="D22" s="56">
        <v>2000</v>
      </c>
    </row>
    <row r="23" spans="2:57" ht="13.8">
      <c r="B23" s="59" t="s">
        <v>177</v>
      </c>
      <c r="C23" s="60" t="s">
        <v>122</v>
      </c>
      <c r="D23" s="61">
        <v>1012</v>
      </c>
    </row>
    <row r="24" spans="2:57" ht="13.8">
      <c r="B24" s="50"/>
      <c r="C24" s="50"/>
      <c r="D24" s="50"/>
    </row>
    <row r="27" spans="2:57" ht="13.8">
      <c r="D27" s="352" t="s">
        <v>178</v>
      </c>
      <c r="E27" s="352"/>
      <c r="F27" s="352"/>
      <c r="G27" s="352"/>
      <c r="H27" s="352"/>
      <c r="I27" s="352"/>
      <c r="J27" s="352"/>
      <c r="K27" s="352"/>
      <c r="L27" s="352"/>
      <c r="M27" s="352"/>
      <c r="N27" s="352"/>
      <c r="O27" s="352"/>
      <c r="P27" s="352"/>
      <c r="Q27" s="352"/>
      <c r="R27" s="352"/>
      <c r="T27" s="353" t="s">
        <v>179</v>
      </c>
      <c r="U27" s="353"/>
      <c r="V27" s="353"/>
      <c r="X27" s="354" t="s">
        <v>180</v>
      </c>
      <c r="Y27" s="354"/>
      <c r="Z27" s="354"/>
      <c r="AA27"/>
      <c r="AB27" s="355" t="s">
        <v>181</v>
      </c>
      <c r="AC27" s="355"/>
      <c r="AD27" s="355"/>
      <c r="AE27" s="355"/>
      <c r="AF27" s="355"/>
      <c r="AG27" s="355"/>
      <c r="AH27" s="355"/>
      <c r="AI27" s="355"/>
      <c r="AJ27" s="355"/>
      <c r="AK27"/>
      <c r="AL27" s="346" t="s">
        <v>182</v>
      </c>
      <c r="AM27" s="346"/>
      <c r="AN27" s="346"/>
      <c r="AO27" s="346"/>
      <c r="AP27" s="346"/>
      <c r="AQ27" s="346"/>
      <c r="AS27" s="347" t="s">
        <v>183</v>
      </c>
      <c r="AT27" s="347"/>
      <c r="AU27" s="347"/>
      <c r="AV27" s="347"/>
      <c r="AW27" s="347"/>
      <c r="AX27" s="347"/>
      <c r="AZ27" s="348" t="s">
        <v>184</v>
      </c>
      <c r="BA27" s="348"/>
      <c r="BB27" s="348"/>
      <c r="BC27" s="348"/>
      <c r="BD27" s="348"/>
      <c r="BE27" s="348"/>
    </row>
    <row r="28" spans="2:57" ht="13.8">
      <c r="D28" s="349" t="s">
        <v>185</v>
      </c>
      <c r="E28" s="350" t="s">
        <v>186</v>
      </c>
      <c r="F28" s="350"/>
      <c r="G28" s="350"/>
      <c r="H28" s="350" t="s">
        <v>187</v>
      </c>
      <c r="I28" s="350" t="s">
        <v>188</v>
      </c>
      <c r="J28" s="350"/>
      <c r="K28" s="350" t="s">
        <v>108</v>
      </c>
      <c r="L28" s="350"/>
      <c r="M28" s="350" t="s">
        <v>189</v>
      </c>
      <c r="N28" s="350"/>
      <c r="O28" s="350" t="s">
        <v>190</v>
      </c>
      <c r="P28" s="350"/>
      <c r="Q28" s="340" t="s">
        <v>191</v>
      </c>
      <c r="R28" s="340"/>
      <c r="T28" s="110" t="s">
        <v>192</v>
      </c>
      <c r="U28" s="115" t="s">
        <v>193</v>
      </c>
      <c r="V28" s="116" t="s">
        <v>194</v>
      </c>
      <c r="X28" s="117" t="s">
        <v>192</v>
      </c>
      <c r="Y28" s="128" t="s">
        <v>193</v>
      </c>
      <c r="Z28" s="129" t="s">
        <v>194</v>
      </c>
      <c r="AA28"/>
      <c r="AB28" s="341" t="s">
        <v>126</v>
      </c>
      <c r="AC28" s="341"/>
      <c r="AD28" s="341"/>
      <c r="AE28" s="342" t="s">
        <v>127</v>
      </c>
      <c r="AF28" s="342"/>
      <c r="AG28" s="342"/>
      <c r="AH28" s="343" t="s">
        <v>128</v>
      </c>
      <c r="AI28" s="343"/>
      <c r="AJ28" s="343"/>
      <c r="AK28"/>
      <c r="AL28" s="344" t="s">
        <v>195</v>
      </c>
      <c r="AM28" s="344"/>
      <c r="AN28" s="345" t="s">
        <v>196</v>
      </c>
      <c r="AO28" s="345"/>
      <c r="AP28" s="334" t="s">
        <v>197</v>
      </c>
      <c r="AQ28" s="334"/>
      <c r="AS28" s="335" t="s">
        <v>195</v>
      </c>
      <c r="AT28" s="335"/>
      <c r="AU28" s="336" t="s">
        <v>196</v>
      </c>
      <c r="AV28" s="336"/>
      <c r="AW28" s="337" t="s">
        <v>197</v>
      </c>
      <c r="AX28" s="337"/>
      <c r="AZ28" s="338" t="s">
        <v>195</v>
      </c>
      <c r="BA28" s="338"/>
      <c r="BB28" s="339" t="s">
        <v>196</v>
      </c>
      <c r="BC28" s="339"/>
      <c r="BD28" s="331" t="s">
        <v>197</v>
      </c>
      <c r="BE28" s="331"/>
    </row>
    <row r="29" spans="2:57" ht="13.8">
      <c r="D29" s="349"/>
      <c r="E29" s="350"/>
      <c r="F29" s="350"/>
      <c r="G29" s="350"/>
      <c r="H29" s="350"/>
      <c r="I29" s="350"/>
      <c r="J29" s="350"/>
      <c r="K29" s="350"/>
      <c r="L29" s="350"/>
      <c r="M29" s="350"/>
      <c r="N29" s="350"/>
      <c r="O29" s="350"/>
      <c r="P29" s="350"/>
      <c r="Q29" s="340"/>
      <c r="R29" s="340"/>
      <c r="T29" s="110"/>
      <c r="U29" s="115"/>
      <c r="V29" s="116"/>
      <c r="X29" s="117"/>
      <c r="Y29" s="128"/>
      <c r="Z29" s="129"/>
      <c r="AA29"/>
      <c r="AB29" s="130" t="s">
        <v>192</v>
      </c>
      <c r="AC29" s="132" t="s">
        <v>193</v>
      </c>
      <c r="AD29" s="132" t="s">
        <v>194</v>
      </c>
      <c r="AE29" s="132" t="s">
        <v>192</v>
      </c>
      <c r="AF29" s="132" t="s">
        <v>198</v>
      </c>
      <c r="AG29" s="132" t="s">
        <v>194</v>
      </c>
      <c r="AH29" s="132" t="s">
        <v>192</v>
      </c>
      <c r="AI29" s="132" t="s">
        <v>193</v>
      </c>
      <c r="AJ29" s="133" t="s">
        <v>194</v>
      </c>
      <c r="AK29"/>
      <c r="AL29" s="134" t="s">
        <v>199</v>
      </c>
      <c r="AM29" s="135" t="s">
        <v>200</v>
      </c>
      <c r="AN29" s="135" t="s">
        <v>199</v>
      </c>
      <c r="AO29" s="135" t="s">
        <v>201</v>
      </c>
      <c r="AP29" s="135" t="s">
        <v>199</v>
      </c>
      <c r="AQ29" s="137" t="s">
        <v>201</v>
      </c>
      <c r="AS29" s="138" t="s">
        <v>199</v>
      </c>
      <c r="AT29" s="139" t="s">
        <v>200</v>
      </c>
      <c r="AU29" s="139" t="s">
        <v>199</v>
      </c>
      <c r="AV29" s="139" t="s">
        <v>201</v>
      </c>
      <c r="AW29" s="139" t="s">
        <v>199</v>
      </c>
      <c r="AX29" s="140" t="s">
        <v>201</v>
      </c>
      <c r="AZ29" s="141" t="s">
        <v>199</v>
      </c>
      <c r="BA29" s="142" t="s">
        <v>200</v>
      </c>
      <c r="BB29" s="142" t="s">
        <v>199</v>
      </c>
      <c r="BC29" s="142" t="s">
        <v>201</v>
      </c>
      <c r="BD29" s="142" t="s">
        <v>199</v>
      </c>
      <c r="BE29" s="143" t="s">
        <v>201</v>
      </c>
    </row>
    <row r="30" spans="2:57" ht="13.8">
      <c r="C30" s="50"/>
      <c r="D30" s="62" t="s">
        <v>202</v>
      </c>
      <c r="E30" s="79" t="s">
        <v>203</v>
      </c>
      <c r="F30" s="79" t="s">
        <v>204</v>
      </c>
      <c r="G30" s="79" t="s">
        <v>205</v>
      </c>
      <c r="H30" s="79" t="s">
        <v>106</v>
      </c>
      <c r="I30" s="79" t="s">
        <v>206</v>
      </c>
      <c r="J30" s="79" t="s">
        <v>207</v>
      </c>
      <c r="K30" s="79" t="s">
        <v>206</v>
      </c>
      <c r="L30" s="79" t="s">
        <v>207</v>
      </c>
      <c r="M30" s="79" t="s">
        <v>206</v>
      </c>
      <c r="N30" s="79" t="s">
        <v>207</v>
      </c>
      <c r="O30" s="332" t="s">
        <v>208</v>
      </c>
      <c r="P30" s="332"/>
      <c r="Q30" s="333" t="s">
        <v>208</v>
      </c>
      <c r="R30" s="333"/>
      <c r="T30" s="111" t="s">
        <v>208</v>
      </c>
      <c r="U30" s="118" t="s">
        <v>209</v>
      </c>
      <c r="V30" s="119" t="s">
        <v>209</v>
      </c>
      <c r="X30" s="111" t="s">
        <v>209</v>
      </c>
      <c r="Y30" s="118" t="s">
        <v>208</v>
      </c>
      <c r="Z30" s="119" t="s">
        <v>209</v>
      </c>
      <c r="AA30"/>
      <c r="AB30" s="105"/>
      <c r="AC30" s="34"/>
      <c r="AD30" s="34"/>
      <c r="AE30" s="34"/>
      <c r="AF30" s="34"/>
      <c r="AG30" s="34"/>
      <c r="AH30" s="34"/>
      <c r="AI30" s="34"/>
      <c r="AJ30" s="120"/>
      <c r="AK30"/>
      <c r="AL30" s="105"/>
      <c r="AM30" s="34"/>
      <c r="AN30" s="34"/>
      <c r="AO30" s="34"/>
      <c r="AP30" s="34"/>
      <c r="AQ30" s="120"/>
      <c r="AS30" s="105"/>
      <c r="AT30" s="34"/>
      <c r="AU30" s="34"/>
      <c r="AV30" s="34"/>
      <c r="AW30" s="34"/>
      <c r="AX30" s="120"/>
      <c r="AZ30" s="105"/>
      <c r="BA30" s="34"/>
      <c r="BB30" s="34"/>
      <c r="BC30" s="34"/>
      <c r="BD30" s="34"/>
      <c r="BE30" s="120"/>
    </row>
    <row r="31" spans="2:57" ht="13.8">
      <c r="D31" s="63">
        <v>0</v>
      </c>
      <c r="E31" s="80">
        <v>1.52</v>
      </c>
      <c r="F31" s="80"/>
      <c r="G31" s="80"/>
      <c r="H31" s="80"/>
      <c r="I31" s="80">
        <v>0</v>
      </c>
      <c r="J31" s="80"/>
      <c r="K31" s="80"/>
      <c r="L31" s="80"/>
      <c r="M31" s="80"/>
      <c r="N31" s="80"/>
      <c r="O31" s="329">
        <v>2000</v>
      </c>
      <c r="P31" s="329"/>
      <c r="Q31" s="330">
        <v>0</v>
      </c>
      <c r="R31" s="330"/>
      <c r="T31" s="105">
        <v>1012</v>
      </c>
      <c r="U31" s="34">
        <f>M31-$D$20-$D$19</f>
        <v>-1012</v>
      </c>
      <c r="V31" s="120"/>
      <c r="X31" s="105"/>
      <c r="Y31" s="34">
        <v>40</v>
      </c>
      <c r="Z31" s="120"/>
      <c r="AA31"/>
      <c r="AB31" s="105"/>
      <c r="AC31" s="34"/>
      <c r="AD31" s="34"/>
      <c r="AE31" s="34"/>
      <c r="AF31" s="34"/>
      <c r="AG31" s="34"/>
      <c r="AH31" s="34"/>
      <c r="AI31" s="34"/>
      <c r="AJ31" s="120"/>
      <c r="AK31"/>
      <c r="AL31" s="105"/>
      <c r="AM31" s="136">
        <f t="shared" ref="AM31:AM37" si="1">AC31*U32</f>
        <v>0</v>
      </c>
      <c r="AN31" s="34"/>
      <c r="AO31" s="34">
        <f t="shared" ref="AO31:AO37" si="2">Y31*AC31</f>
        <v>0</v>
      </c>
      <c r="AP31" s="34"/>
      <c r="AQ31" s="120"/>
      <c r="AS31" s="105"/>
      <c r="AT31" s="34"/>
      <c r="AU31" s="34"/>
      <c r="AV31" s="34"/>
      <c r="AW31" s="34"/>
      <c r="AX31" s="120"/>
      <c r="AZ31" s="105"/>
      <c r="BA31" s="34"/>
      <c r="BB31" s="34"/>
      <c r="BC31" s="34"/>
      <c r="BD31" s="34"/>
      <c r="BE31" s="120"/>
    </row>
    <row r="32" spans="2:57" ht="13.8">
      <c r="C32" s="45">
        <v>4</v>
      </c>
      <c r="D32" s="63">
        <v>2</v>
      </c>
      <c r="E32" s="80"/>
      <c r="F32" s="80"/>
      <c r="G32" s="80"/>
      <c r="H32" s="80"/>
      <c r="I32" s="80"/>
      <c r="J32" s="80"/>
      <c r="K32" s="80"/>
      <c r="L32" s="80"/>
      <c r="M32" s="80"/>
      <c r="N32" s="80"/>
      <c r="O32" s="329">
        <v>2000</v>
      </c>
      <c r="P32" s="329"/>
      <c r="Q32" s="330">
        <v>40</v>
      </c>
      <c r="R32" s="330"/>
      <c r="T32" s="105"/>
      <c r="U32" s="34">
        <f t="shared" ref="U32:U34" si="3">M32-$D$20-$D$19-Q32</f>
        <v>-1052</v>
      </c>
      <c r="V32" s="120"/>
      <c r="X32" s="105"/>
      <c r="Y32" s="34">
        <v>40</v>
      </c>
      <c r="Z32" s="120"/>
      <c r="AA32"/>
      <c r="AB32" s="105"/>
      <c r="AC32" s="34"/>
      <c r="AD32" s="34"/>
      <c r="AE32" s="34"/>
      <c r="AF32" s="34"/>
      <c r="AG32" s="34"/>
      <c r="AH32" s="34"/>
      <c r="AI32" s="34"/>
      <c r="AJ32" s="120"/>
      <c r="AK32"/>
      <c r="AL32" s="105"/>
      <c r="AM32" s="136">
        <f t="shared" si="1"/>
        <v>0</v>
      </c>
      <c r="AN32" s="34"/>
      <c r="AO32" s="34">
        <f t="shared" si="2"/>
        <v>0</v>
      </c>
      <c r="AP32" s="34"/>
      <c r="AQ32" s="120"/>
      <c r="AS32" s="105"/>
      <c r="AT32" s="34"/>
      <c r="AU32" s="34"/>
      <c r="AV32" s="34"/>
      <c r="AW32" s="34"/>
      <c r="AX32" s="120"/>
      <c r="AZ32" s="105"/>
      <c r="BA32" s="34"/>
      <c r="BB32" s="34"/>
      <c r="BC32" s="34"/>
      <c r="BD32" s="34"/>
      <c r="BE32" s="120"/>
    </row>
    <row r="33" spans="3:57" ht="13.8">
      <c r="C33" s="45">
        <v>4</v>
      </c>
      <c r="D33" s="63">
        <v>4</v>
      </c>
      <c r="E33" s="80"/>
      <c r="F33" s="80"/>
      <c r="G33" s="80"/>
      <c r="H33" s="80"/>
      <c r="I33" s="80"/>
      <c r="J33" s="80"/>
      <c r="K33" s="80"/>
      <c r="L33" s="80"/>
      <c r="M33" s="102"/>
      <c r="N33" s="80"/>
      <c r="O33" s="329">
        <v>2000</v>
      </c>
      <c r="P33" s="329"/>
      <c r="Q33" s="330">
        <v>40</v>
      </c>
      <c r="R33" s="330"/>
      <c r="T33" s="105"/>
      <c r="U33" s="34">
        <f t="shared" si="3"/>
        <v>-1052</v>
      </c>
      <c r="V33" s="120"/>
      <c r="X33" s="105"/>
      <c r="Y33" s="34">
        <v>40</v>
      </c>
      <c r="Z33" s="120"/>
      <c r="AA33"/>
      <c r="AB33" s="105"/>
      <c r="AC33" s="34"/>
      <c r="AD33" s="34"/>
      <c r="AE33" s="34"/>
      <c r="AF33" s="34"/>
      <c r="AG33" s="34"/>
      <c r="AH33" s="34"/>
      <c r="AI33" s="34"/>
      <c r="AJ33" s="120"/>
      <c r="AK33"/>
      <c r="AL33" s="105"/>
      <c r="AM33" s="136">
        <f t="shared" si="1"/>
        <v>0</v>
      </c>
      <c r="AN33" s="34"/>
      <c r="AO33" s="34">
        <f t="shared" si="2"/>
        <v>0</v>
      </c>
      <c r="AP33" s="34"/>
      <c r="AQ33" s="120"/>
      <c r="AS33" s="105"/>
      <c r="AT33" s="34"/>
      <c r="AU33" s="34"/>
      <c r="AV33" s="34"/>
      <c r="AW33" s="34"/>
      <c r="AX33" s="120"/>
      <c r="AZ33" s="105"/>
      <c r="BA33" s="34"/>
      <c r="BB33" s="34"/>
      <c r="BC33" s="34"/>
      <c r="BD33" s="34"/>
      <c r="BE33" s="120"/>
    </row>
    <row r="34" spans="3:57" ht="13.8">
      <c r="C34" s="45">
        <v>4</v>
      </c>
      <c r="D34" s="63">
        <v>8</v>
      </c>
      <c r="E34" s="80"/>
      <c r="F34" s="80"/>
      <c r="G34" s="80"/>
      <c r="H34" s="80"/>
      <c r="I34" s="80"/>
      <c r="J34" s="80"/>
      <c r="K34" s="80"/>
      <c r="L34" s="80"/>
      <c r="M34" s="80"/>
      <c r="N34" s="80"/>
      <c r="O34" s="329">
        <v>2000</v>
      </c>
      <c r="P34" s="329"/>
      <c r="Q34" s="330">
        <v>40</v>
      </c>
      <c r="R34" s="330"/>
      <c r="T34" s="105"/>
      <c r="U34" s="34">
        <f t="shared" si="3"/>
        <v>-1052</v>
      </c>
      <c r="V34" s="120"/>
      <c r="X34" s="105"/>
      <c r="Y34" s="34">
        <v>40</v>
      </c>
      <c r="Z34" s="120"/>
      <c r="AA34"/>
      <c r="AB34" s="105"/>
      <c r="AC34" s="34"/>
      <c r="AD34" s="34"/>
      <c r="AE34" s="34"/>
      <c r="AF34" s="34"/>
      <c r="AG34" s="34"/>
      <c r="AH34" s="34"/>
      <c r="AI34" s="34"/>
      <c r="AJ34" s="120"/>
      <c r="AK34"/>
      <c r="AL34" s="105"/>
      <c r="AM34" s="136">
        <f t="shared" si="1"/>
        <v>0</v>
      </c>
      <c r="AN34" s="34"/>
      <c r="AO34" s="34">
        <f t="shared" si="2"/>
        <v>0</v>
      </c>
      <c r="AP34" s="34"/>
      <c r="AQ34" s="120"/>
      <c r="AS34" s="105"/>
      <c r="AT34" s="34"/>
      <c r="AU34" s="34"/>
      <c r="AV34" s="34"/>
      <c r="AW34" s="34"/>
      <c r="AX34" s="120"/>
      <c r="AZ34" s="105"/>
      <c r="BA34" s="34"/>
      <c r="BB34" s="34"/>
      <c r="BC34" s="34"/>
      <c r="BD34" s="34"/>
      <c r="BE34" s="120"/>
    </row>
    <row r="35" spans="3:57" ht="13.8">
      <c r="C35" s="45">
        <v>4</v>
      </c>
      <c r="D35" s="63">
        <v>12</v>
      </c>
      <c r="E35" s="80"/>
      <c r="F35" s="80"/>
      <c r="G35" s="80">
        <v>4</v>
      </c>
      <c r="H35" s="80"/>
      <c r="I35" s="80"/>
      <c r="J35" s="80"/>
      <c r="K35" s="80"/>
      <c r="L35" s="80"/>
      <c r="M35" s="80"/>
      <c r="N35" s="80"/>
      <c r="O35" s="329">
        <v>2000</v>
      </c>
      <c r="P35" s="329"/>
      <c r="Q35" s="330">
        <v>40</v>
      </c>
      <c r="R35" s="330"/>
      <c r="T35" s="105"/>
      <c r="U35" s="34">
        <f t="shared" ref="U35:U37" si="4">M35-$D$20-$D$19-4-Q35</f>
        <v>-1056</v>
      </c>
      <c r="V35" s="120"/>
      <c r="X35" s="105"/>
      <c r="Y35" s="34">
        <v>40</v>
      </c>
      <c r="Z35" s="120"/>
      <c r="AA35"/>
      <c r="AB35" s="105"/>
      <c r="AC35" s="34"/>
      <c r="AD35" s="34"/>
      <c r="AE35" s="34"/>
      <c r="AF35" s="34"/>
      <c r="AG35" s="34"/>
      <c r="AH35" s="34"/>
      <c r="AI35" s="34"/>
      <c r="AJ35" s="120"/>
      <c r="AK35"/>
      <c r="AL35" s="105"/>
      <c r="AM35" s="136">
        <f t="shared" si="1"/>
        <v>0</v>
      </c>
      <c r="AN35" s="34"/>
      <c r="AO35" s="34">
        <f t="shared" si="2"/>
        <v>0</v>
      </c>
      <c r="AP35" s="34"/>
      <c r="AQ35" s="120"/>
      <c r="AS35" s="105"/>
      <c r="AT35" s="34"/>
      <c r="AU35" s="34"/>
      <c r="AV35" s="34"/>
      <c r="AW35" s="34"/>
      <c r="AX35" s="120"/>
      <c r="AZ35" s="105"/>
      <c r="BA35" s="34"/>
      <c r="BB35" s="34"/>
      <c r="BC35" s="34"/>
      <c r="BD35" s="34"/>
      <c r="BE35" s="120"/>
    </row>
    <row r="36" spans="3:57" ht="13.8">
      <c r="D36" s="63">
        <v>24</v>
      </c>
      <c r="E36" s="80"/>
      <c r="F36" s="80"/>
      <c r="G36" s="80"/>
      <c r="H36" s="80"/>
      <c r="I36" s="80"/>
      <c r="J36" s="80"/>
      <c r="K36" s="80"/>
      <c r="L36" s="80"/>
      <c r="M36" s="80"/>
      <c r="N36" s="144"/>
      <c r="O36" s="329">
        <v>2000</v>
      </c>
      <c r="P36" s="329"/>
      <c r="Q36" s="330">
        <v>40</v>
      </c>
      <c r="R36" s="330"/>
      <c r="T36" s="105"/>
      <c r="U36" s="34">
        <f t="shared" si="4"/>
        <v>-1056</v>
      </c>
      <c r="V36" s="120"/>
      <c r="X36" s="105"/>
      <c r="Y36" s="34">
        <v>40</v>
      </c>
      <c r="Z36" s="120"/>
      <c r="AA36"/>
      <c r="AB36" s="131" t="e">
        <f>G12</f>
        <v>#DIV/0!</v>
      </c>
      <c r="AC36" s="34"/>
      <c r="AD36" s="34"/>
      <c r="AE36" s="34" t="e">
        <f>H12</f>
        <v>#DIV/0!</v>
      </c>
      <c r="AF36" s="34"/>
      <c r="AG36" s="34"/>
      <c r="AH36" s="112" t="e">
        <f>I12</f>
        <v>#DIV/0!</v>
      </c>
      <c r="AI36" s="34"/>
      <c r="AJ36" s="120"/>
      <c r="AK36"/>
      <c r="AL36" s="105" t="e">
        <f>AB36*T31</f>
        <v>#DIV/0!</v>
      </c>
      <c r="AM36" s="136">
        <f t="shared" si="1"/>
        <v>0</v>
      </c>
      <c r="AN36" s="34"/>
      <c r="AO36" s="34">
        <f t="shared" si="2"/>
        <v>0</v>
      </c>
      <c r="AP36" s="34"/>
      <c r="AQ36" s="120"/>
      <c r="AS36" s="105"/>
      <c r="AT36" s="34"/>
      <c r="AU36" s="34"/>
      <c r="AV36" s="34"/>
      <c r="AW36" s="34"/>
      <c r="AX36" s="120"/>
      <c r="AZ36" s="105"/>
      <c r="BA36" s="34"/>
      <c r="BB36" s="34"/>
      <c r="BC36" s="34"/>
      <c r="BD36" s="34"/>
      <c r="BE36" s="120"/>
    </row>
    <row r="37" spans="3:57" ht="13.8">
      <c r="D37" s="63">
        <v>48</v>
      </c>
      <c r="E37" s="80"/>
      <c r="F37" s="80"/>
      <c r="G37" s="80"/>
      <c r="H37" s="80"/>
      <c r="I37" s="80"/>
      <c r="J37" s="80"/>
      <c r="K37" s="80"/>
      <c r="L37" s="80"/>
      <c r="M37" s="102"/>
      <c r="N37" s="144"/>
      <c r="O37" s="329">
        <v>2000</v>
      </c>
      <c r="P37" s="329"/>
      <c r="Q37" s="330">
        <v>40</v>
      </c>
      <c r="R37" s="330"/>
      <c r="T37" s="105"/>
      <c r="U37" s="34">
        <f t="shared" si="4"/>
        <v>-1056</v>
      </c>
      <c r="V37" s="120"/>
      <c r="X37" s="105">
        <v>1012</v>
      </c>
      <c r="Y37" s="34">
        <v>40</v>
      </c>
      <c r="Z37" s="120">
        <v>4</v>
      </c>
      <c r="AA37"/>
      <c r="AB37" s="105"/>
      <c r="AC37" s="34"/>
      <c r="AD37" s="34"/>
      <c r="AE37" s="34"/>
      <c r="AF37" s="34"/>
      <c r="AG37" s="34"/>
      <c r="AH37" s="34"/>
      <c r="AI37" s="34"/>
      <c r="AJ37" s="120"/>
      <c r="AK37"/>
      <c r="AL37" s="105"/>
      <c r="AM37" s="136">
        <f t="shared" si="1"/>
        <v>0</v>
      </c>
      <c r="AN37" s="34"/>
      <c r="AO37" s="34">
        <f t="shared" si="2"/>
        <v>0</v>
      </c>
      <c r="AP37" s="34"/>
      <c r="AQ37" s="120"/>
      <c r="AS37" s="105"/>
      <c r="AT37" s="34"/>
      <c r="AU37" s="34"/>
      <c r="AV37" s="34"/>
      <c r="AW37" s="34"/>
      <c r="AX37" s="120"/>
      <c r="AZ37" s="105"/>
      <c r="BA37" s="34"/>
      <c r="BB37" s="34"/>
      <c r="BC37" s="34"/>
      <c r="BD37" s="34"/>
      <c r="BE37" s="120"/>
    </row>
    <row r="38" spans="3:57" ht="13.8">
      <c r="D38" s="64" t="s">
        <v>210</v>
      </c>
      <c r="E38" s="80">
        <v>1.52</v>
      </c>
      <c r="F38" s="80">
        <f>SUM(F31:F37)</f>
        <v>0</v>
      </c>
      <c r="G38" s="80">
        <v>4</v>
      </c>
      <c r="H38" s="80"/>
      <c r="I38" s="80"/>
      <c r="J38" s="80"/>
      <c r="K38" s="80"/>
      <c r="L38" s="80"/>
      <c r="M38" s="80"/>
      <c r="N38" s="80"/>
      <c r="O38" s="329"/>
      <c r="P38" s="329"/>
      <c r="Q38" s="330"/>
      <c r="R38" s="330"/>
      <c r="T38" s="105"/>
      <c r="U38" s="34"/>
      <c r="V38" s="120"/>
      <c r="X38" s="105"/>
      <c r="Y38" s="34"/>
      <c r="Z38" s="120"/>
      <c r="AA38"/>
      <c r="AB38" s="105"/>
      <c r="AC38" s="34"/>
      <c r="AD38" s="34"/>
      <c r="AE38" s="34"/>
      <c r="AF38" s="34"/>
      <c r="AG38" s="34"/>
      <c r="AH38" s="34"/>
      <c r="AI38" s="34"/>
      <c r="AJ38" s="120"/>
      <c r="AK38"/>
      <c r="AL38" s="105"/>
      <c r="AM38" s="34"/>
      <c r="AN38" s="34"/>
      <c r="AO38" s="34"/>
      <c r="AP38" s="34"/>
      <c r="AQ38" s="120"/>
      <c r="AS38" s="105"/>
      <c r="AT38" s="34"/>
      <c r="AU38" s="34"/>
      <c r="AV38" s="34"/>
      <c r="AW38" s="34"/>
      <c r="AX38" s="120"/>
      <c r="AZ38" s="105"/>
      <c r="BA38" s="34"/>
      <c r="BB38" s="34"/>
      <c r="BC38" s="34"/>
      <c r="BD38" s="34"/>
      <c r="BE38" s="120"/>
    </row>
    <row r="39" spans="3:57" ht="13.8">
      <c r="D39" s="65" t="s">
        <v>211</v>
      </c>
      <c r="E39" s="323">
        <v>0</v>
      </c>
      <c r="F39" s="323"/>
      <c r="G39" s="323"/>
      <c r="H39" s="81"/>
      <c r="I39" s="81"/>
      <c r="J39" s="81"/>
      <c r="K39" s="81"/>
      <c r="L39" s="81"/>
      <c r="M39" s="81"/>
      <c r="N39" s="81"/>
      <c r="O39" s="323"/>
      <c r="P39" s="323"/>
      <c r="Q39" s="324"/>
      <c r="R39" s="324"/>
      <c r="T39" s="108"/>
      <c r="U39" s="109"/>
      <c r="V39" s="121"/>
      <c r="X39" s="108"/>
      <c r="Y39" s="109"/>
      <c r="Z39" s="121"/>
      <c r="AA39"/>
      <c r="AB39" s="108"/>
      <c r="AC39" s="109"/>
      <c r="AD39" s="109"/>
      <c r="AE39" s="109"/>
      <c r="AF39" s="109"/>
      <c r="AG39" s="109"/>
      <c r="AH39" s="109"/>
      <c r="AI39" s="109"/>
      <c r="AJ39" s="121"/>
      <c r="AK39"/>
      <c r="AL39" s="108"/>
      <c r="AM39" s="109"/>
      <c r="AN39" s="109"/>
      <c r="AO39" s="109"/>
      <c r="AP39" s="109"/>
      <c r="AQ39" s="121"/>
      <c r="AS39" s="108"/>
      <c r="AT39" s="109"/>
      <c r="AU39" s="109"/>
      <c r="AV39" s="109"/>
      <c r="AW39" s="109"/>
      <c r="AX39" s="121"/>
      <c r="AZ39" s="108"/>
      <c r="BA39" s="109"/>
      <c r="BB39" s="109"/>
      <c r="BC39" s="109"/>
      <c r="BD39" s="109"/>
      <c r="BE39" s="121"/>
    </row>
    <row r="42" spans="3:57" ht="13.8">
      <c r="D42" s="325" t="s">
        <v>212</v>
      </c>
      <c r="E42" s="325"/>
      <c r="F42" s="325"/>
      <c r="H42" s="326" t="s">
        <v>213</v>
      </c>
      <c r="I42" s="326"/>
      <c r="J42" s="326"/>
    </row>
    <row r="43" spans="3:57" ht="13.8">
      <c r="D43" s="327" t="s">
        <v>214</v>
      </c>
      <c r="E43" s="327"/>
      <c r="F43" s="327"/>
      <c r="H43" s="328" t="s">
        <v>215</v>
      </c>
      <c r="I43" s="328"/>
      <c r="J43" s="328"/>
    </row>
    <row r="44" spans="3:57" ht="13.8">
      <c r="D44" s="66" t="s">
        <v>126</v>
      </c>
      <c r="E44" s="82" t="s">
        <v>127</v>
      </c>
      <c r="F44" s="83" t="s">
        <v>128</v>
      </c>
      <c r="H44" s="84" t="s">
        <v>126</v>
      </c>
      <c r="I44" s="98" t="s">
        <v>127</v>
      </c>
      <c r="J44" s="99" t="s">
        <v>128</v>
      </c>
    </row>
    <row r="45" spans="3:57" ht="13.8">
      <c r="D45" s="67">
        <f>AM31+AO31</f>
        <v>0</v>
      </c>
      <c r="E45" s="50"/>
      <c r="F45" s="56"/>
      <c r="H45" s="85" t="e">
        <f t="shared" ref="H45:H50" si="5">D45/$G$15</f>
        <v>#DIV/0!</v>
      </c>
      <c r="I45" s="50"/>
      <c r="J45" s="56"/>
    </row>
    <row r="46" spans="3:57" ht="13.8">
      <c r="D46" s="67">
        <f>AM32+AO31+AO32</f>
        <v>0</v>
      </c>
      <c r="E46" s="50"/>
      <c r="F46" s="56"/>
      <c r="H46" s="85" t="e">
        <f t="shared" si="5"/>
        <v>#DIV/0!</v>
      </c>
      <c r="I46" s="50"/>
      <c r="J46" s="56"/>
    </row>
    <row r="47" spans="3:57" ht="13.8">
      <c r="D47" s="67">
        <f>AM33+SUM(AO31:AO33)</f>
        <v>0</v>
      </c>
      <c r="E47" s="50"/>
      <c r="F47" s="56"/>
      <c r="H47" s="85" t="e">
        <f t="shared" si="5"/>
        <v>#DIV/0!</v>
      </c>
      <c r="I47" s="50"/>
      <c r="J47" s="56"/>
    </row>
    <row r="48" spans="3:57" ht="13.8">
      <c r="D48" s="67">
        <f>AM34+SUM(AO31:AO34)</f>
        <v>0</v>
      </c>
      <c r="E48" s="50"/>
      <c r="F48" s="56"/>
      <c r="H48" s="85" t="e">
        <f t="shared" si="5"/>
        <v>#DIV/0!</v>
      </c>
      <c r="I48" s="50"/>
      <c r="J48" s="56"/>
    </row>
    <row r="49" spans="4:10" ht="13.8">
      <c r="D49" s="67">
        <f>AM35+AM34+SUM(AO31:AO35)</f>
        <v>0</v>
      </c>
      <c r="E49" s="50"/>
      <c r="F49" s="56"/>
      <c r="H49" s="85" t="e">
        <f t="shared" si="5"/>
        <v>#DIV/0!</v>
      </c>
      <c r="I49" s="50"/>
      <c r="J49" s="56"/>
    </row>
    <row r="50" spans="4:10" ht="13.8">
      <c r="D50" s="68">
        <f>AM36+AM35+AM34+SUM(AO31:AO36)</f>
        <v>0</v>
      </c>
      <c r="E50" s="60"/>
      <c r="F50" s="61"/>
      <c r="H50" s="86" t="e">
        <f t="shared" si="5"/>
        <v>#DIV/0!</v>
      </c>
      <c r="I50" s="60"/>
      <c r="J50" s="61"/>
    </row>
  </sheetData>
  <mergeCells count="62">
    <mergeCell ref="T27:V27"/>
    <mergeCell ref="X27:Z27"/>
    <mergeCell ref="AB27:AJ27"/>
    <mergeCell ref="AL27:AQ27"/>
    <mergeCell ref="B2:F2"/>
    <mergeCell ref="U3:X3"/>
    <mergeCell ref="Y3:AB3"/>
    <mergeCell ref="B9:D9"/>
    <mergeCell ref="F9:I9"/>
    <mergeCell ref="K9:M9"/>
    <mergeCell ref="S3:S5"/>
    <mergeCell ref="T4:T5"/>
    <mergeCell ref="AS27:AX27"/>
    <mergeCell ref="AZ27:BE27"/>
    <mergeCell ref="AB28:AD28"/>
    <mergeCell ref="AE28:AG28"/>
    <mergeCell ref="AH28:AJ28"/>
    <mergeCell ref="AL28:AM28"/>
    <mergeCell ref="AN28:AO28"/>
    <mergeCell ref="AP28:AQ28"/>
    <mergeCell ref="AS28:AT28"/>
    <mergeCell ref="AU28:AV28"/>
    <mergeCell ref="AW28:AX28"/>
    <mergeCell ref="AZ28:BA28"/>
    <mergeCell ref="BB28:BC28"/>
    <mergeCell ref="BD28:BE28"/>
    <mergeCell ref="O30:P30"/>
    <mergeCell ref="Q30:R30"/>
    <mergeCell ref="O31:P31"/>
    <mergeCell ref="Q31:R31"/>
    <mergeCell ref="O32:P32"/>
    <mergeCell ref="Q32:R32"/>
    <mergeCell ref="O38:P38"/>
    <mergeCell ref="Q38:R38"/>
    <mergeCell ref="O33:P33"/>
    <mergeCell ref="Q33:R33"/>
    <mergeCell ref="O34:P34"/>
    <mergeCell ref="Q34:R34"/>
    <mergeCell ref="O35:P35"/>
    <mergeCell ref="Q35:R35"/>
    <mergeCell ref="F15:F16"/>
    <mergeCell ref="F19:F20"/>
    <mergeCell ref="H28:H29"/>
    <mergeCell ref="E28:G29"/>
    <mergeCell ref="I28:J29"/>
    <mergeCell ref="D27:R27"/>
    <mergeCell ref="K28:L29"/>
    <mergeCell ref="M28:N29"/>
    <mergeCell ref="O28:P29"/>
    <mergeCell ref="Q28:R29"/>
    <mergeCell ref="D43:F43"/>
    <mergeCell ref="H43:J43"/>
    <mergeCell ref="D28:D29"/>
    <mergeCell ref="E39:G39"/>
    <mergeCell ref="O39:P39"/>
    <mergeCell ref="Q39:R39"/>
    <mergeCell ref="D42:F42"/>
    <mergeCell ref="H42:J42"/>
    <mergeCell ref="O36:P36"/>
    <mergeCell ref="Q36:R36"/>
    <mergeCell ref="O37:P37"/>
    <mergeCell ref="Q37:R37"/>
  </mergeCells>
  <pageMargins left="0.7" right="0.7" top="0.75" bottom="0.75" header="0.511811023622047" footer="0.511811023622047"/>
  <pageSetup orientation="portrait" horizontalDpi="300" verticalDpi="30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>
    <tabColor theme="9" tint="0.59999389629810485"/>
  </sheetPr>
  <dimension ref="B2:BE50"/>
  <sheetViews>
    <sheetView topLeftCell="B1" zoomScale="70" zoomScaleNormal="70" workbookViewId="0">
      <selection activeCell="AD19" sqref="AD19"/>
    </sheetView>
  </sheetViews>
  <sheetFormatPr defaultColWidth="10" defaultRowHeight="16.2" customHeight="1"/>
  <cols>
    <col min="1" max="1" width="10" style="45"/>
    <col min="2" max="2" width="23.8984375" style="45" customWidth="1"/>
    <col min="3" max="3" width="2.3984375" style="45" customWidth="1"/>
    <col min="4" max="4" width="19.5" style="45" customWidth="1"/>
    <col min="5" max="5" width="10" style="45"/>
    <col min="6" max="6" width="16.69921875" style="45" customWidth="1"/>
    <col min="7" max="8" width="11.09765625" style="45" customWidth="1"/>
    <col min="9" max="19" width="10" style="45"/>
    <col min="20" max="20" width="26.296875" style="45" customWidth="1"/>
    <col min="21" max="16384" width="10" style="45"/>
  </cols>
  <sheetData>
    <row r="2" spans="2:28" ht="13.8">
      <c r="B2" s="356" t="s">
        <v>116</v>
      </c>
      <c r="C2" s="356"/>
      <c r="D2" s="356"/>
      <c r="E2" s="356"/>
      <c r="F2" s="356"/>
    </row>
    <row r="3" spans="2:28" ht="13.8">
      <c r="S3" s="443" t="s">
        <v>117</v>
      </c>
      <c r="T3" s="176" t="s">
        <v>118</v>
      </c>
      <c r="U3" s="437" t="s">
        <v>119</v>
      </c>
      <c r="V3" s="437"/>
      <c r="W3" s="437"/>
      <c r="X3" s="437"/>
      <c r="Y3" s="438" t="s">
        <v>120</v>
      </c>
      <c r="Z3" s="438"/>
      <c r="AA3" s="438"/>
      <c r="AB3" s="439"/>
    </row>
    <row r="4" spans="2:28" ht="13.8">
      <c r="B4" s="163" t="s">
        <v>121</v>
      </c>
      <c r="C4" s="47" t="s">
        <v>122</v>
      </c>
      <c r="D4" s="48" t="s">
        <v>9</v>
      </c>
      <c r="E4" s="48"/>
      <c r="F4" s="48"/>
      <c r="G4" s="48"/>
      <c r="H4" s="48"/>
      <c r="I4" s="48"/>
      <c r="J4" s="87"/>
      <c r="S4" s="444"/>
      <c r="T4" s="360" t="s">
        <v>124</v>
      </c>
      <c r="U4" s="104" t="s">
        <v>125</v>
      </c>
      <c r="V4" s="104" t="s">
        <v>126</v>
      </c>
      <c r="W4" s="104" t="s">
        <v>127</v>
      </c>
      <c r="X4" s="104" t="s">
        <v>128</v>
      </c>
      <c r="Y4" s="104" t="s">
        <v>125</v>
      </c>
      <c r="Z4" s="104" t="s">
        <v>126</v>
      </c>
      <c r="AA4" s="104" t="s">
        <v>127</v>
      </c>
      <c r="AB4" s="178" t="s">
        <v>128</v>
      </c>
    </row>
    <row r="5" spans="2:28" ht="13.8">
      <c r="B5" s="164" t="s">
        <v>129</v>
      </c>
      <c r="C5" s="50" t="s">
        <v>122</v>
      </c>
      <c r="D5" s="45" t="s">
        <v>312</v>
      </c>
      <c r="J5" s="88"/>
      <c r="S5" s="444"/>
      <c r="T5" s="360"/>
      <c r="U5" s="104" t="s">
        <v>131</v>
      </c>
      <c r="V5" s="104" t="s">
        <v>106</v>
      </c>
      <c r="W5" s="104" t="s">
        <v>106</v>
      </c>
      <c r="X5" s="104" t="s">
        <v>106</v>
      </c>
      <c r="Y5" s="104" t="s">
        <v>131</v>
      </c>
      <c r="Z5" s="104" t="s">
        <v>106</v>
      </c>
      <c r="AA5" s="104" t="s">
        <v>106</v>
      </c>
      <c r="AB5" s="178" t="s">
        <v>106</v>
      </c>
    </row>
    <row r="6" spans="2:28" ht="13.8">
      <c r="B6" s="164" t="s">
        <v>132</v>
      </c>
      <c r="C6" s="50" t="s">
        <v>122</v>
      </c>
      <c r="D6" s="51">
        <v>46225</v>
      </c>
      <c r="E6" s="147">
        <v>46227</v>
      </c>
      <c r="J6" s="88"/>
      <c r="S6" s="25">
        <v>1</v>
      </c>
      <c r="T6" s="34" t="s">
        <v>313</v>
      </c>
      <c r="U6" s="77"/>
      <c r="V6" s="112">
        <v>1.0209999999999999</v>
      </c>
      <c r="W6" s="34">
        <v>1.07</v>
      </c>
      <c r="X6" s="34">
        <v>9.18</v>
      </c>
      <c r="Y6" s="34"/>
      <c r="Z6" s="34"/>
      <c r="AA6" s="34"/>
      <c r="AB6" s="35"/>
    </row>
    <row r="7" spans="2:28" ht="13.8">
      <c r="B7" s="165" t="s">
        <v>135</v>
      </c>
      <c r="C7" s="53" t="s">
        <v>122</v>
      </c>
      <c r="D7" s="54" t="s">
        <v>314</v>
      </c>
      <c r="E7" s="54"/>
      <c r="F7" s="54"/>
      <c r="G7" s="54"/>
      <c r="H7" s="54"/>
      <c r="I7" s="54"/>
      <c r="J7" s="89"/>
      <c r="S7" s="25">
        <v>2</v>
      </c>
      <c r="T7" s="34" t="s">
        <v>315</v>
      </c>
      <c r="U7" s="77"/>
      <c r="V7" s="34">
        <v>1.022</v>
      </c>
      <c r="W7" s="112">
        <v>1.08</v>
      </c>
      <c r="X7" s="34">
        <v>9.08</v>
      </c>
      <c r="Y7" s="34"/>
      <c r="Z7" s="34"/>
      <c r="AA7" s="34"/>
      <c r="AB7" s="35"/>
    </row>
    <row r="8" spans="2:28" ht="13.8">
      <c r="S8" s="25">
        <v>3</v>
      </c>
      <c r="T8" s="34" t="s">
        <v>316</v>
      </c>
      <c r="U8" s="77"/>
      <c r="V8" s="34">
        <v>1.032</v>
      </c>
      <c r="W8" s="34">
        <v>1.08</v>
      </c>
      <c r="X8" s="34">
        <v>9.2200000000000006</v>
      </c>
      <c r="Y8" s="34"/>
      <c r="Z8" s="34"/>
      <c r="AA8" s="34"/>
      <c r="AB8" s="35"/>
    </row>
    <row r="9" spans="2:28" ht="13.8">
      <c r="B9" s="440" t="s">
        <v>139</v>
      </c>
      <c r="C9" s="441"/>
      <c r="D9" s="442"/>
      <c r="F9" s="362" t="s">
        <v>140</v>
      </c>
      <c r="G9" s="362"/>
      <c r="H9" s="362"/>
      <c r="I9" s="362"/>
      <c r="K9" s="363" t="s">
        <v>141</v>
      </c>
      <c r="L9" s="363"/>
      <c r="M9" s="363"/>
      <c r="S9" s="25">
        <v>4</v>
      </c>
      <c r="T9" s="34" t="s">
        <v>317</v>
      </c>
      <c r="U9" s="77"/>
      <c r="V9" s="34">
        <v>1.032</v>
      </c>
      <c r="W9" s="34">
        <v>1.08</v>
      </c>
      <c r="X9" s="34">
        <v>9.2200000000000006</v>
      </c>
      <c r="Y9" s="34"/>
      <c r="Z9" s="34"/>
      <c r="AA9" s="34"/>
      <c r="AB9" s="35"/>
    </row>
    <row r="10" spans="2:28" ht="13.8">
      <c r="B10" s="166" t="s">
        <v>108</v>
      </c>
      <c r="C10" s="80" t="s">
        <v>122</v>
      </c>
      <c r="D10" s="322" t="s">
        <v>318</v>
      </c>
      <c r="F10" s="69"/>
      <c r="G10" s="70" t="s">
        <v>126</v>
      </c>
      <c r="H10" s="70" t="s">
        <v>127</v>
      </c>
      <c r="I10" s="90" t="s">
        <v>128</v>
      </c>
      <c r="K10" s="62" t="s">
        <v>144</v>
      </c>
      <c r="L10" s="91">
        <f>(F38/1012)*1000</f>
        <v>5.4347826086956523</v>
      </c>
      <c r="M10" s="100" t="s">
        <v>145</v>
      </c>
      <c r="S10" s="25">
        <v>5</v>
      </c>
      <c r="T10" s="34" t="s">
        <v>146</v>
      </c>
      <c r="U10" s="77"/>
      <c r="V10" s="112">
        <v>0.20399999999999999</v>
      </c>
      <c r="W10" s="113">
        <v>0.23</v>
      </c>
      <c r="X10" s="34">
        <v>8.94</v>
      </c>
      <c r="Y10" s="34"/>
      <c r="Z10" s="34"/>
      <c r="AA10" s="34"/>
      <c r="AB10" s="35"/>
    </row>
    <row r="11" spans="2:28" ht="13.8">
      <c r="B11" s="166" t="s">
        <v>147</v>
      </c>
      <c r="C11" s="80" t="s">
        <v>122</v>
      </c>
      <c r="D11" s="18">
        <v>1000</v>
      </c>
      <c r="F11" s="71" t="s">
        <v>148</v>
      </c>
      <c r="G11" s="72">
        <f>AVERAGE(V6:V8)</f>
        <v>1.0250000000000001</v>
      </c>
      <c r="H11" s="72">
        <f>AVERAGE(W6:W8)</f>
        <v>1.0766666666666669</v>
      </c>
      <c r="I11" s="92">
        <f>AVERAGE(X6:X8)</f>
        <v>9.1599999999999984</v>
      </c>
      <c r="K11" s="62" t="s">
        <v>149</v>
      </c>
      <c r="L11" s="91">
        <f>(($E$38-(($I37*D$21)/10000000))/1012)*1000</f>
        <v>1.5019762845849802</v>
      </c>
      <c r="M11" s="100" t="s">
        <v>145</v>
      </c>
      <c r="S11" s="25">
        <v>6</v>
      </c>
      <c r="T11" s="34" t="s">
        <v>150</v>
      </c>
      <c r="U11" s="77"/>
      <c r="V11" s="34">
        <v>0.224</v>
      </c>
      <c r="W11" s="113">
        <v>0.23</v>
      </c>
      <c r="X11" s="34">
        <v>8.7799999999999994</v>
      </c>
      <c r="Y11" s="34"/>
      <c r="Z11" s="34"/>
      <c r="AA11" s="34"/>
      <c r="AB11" s="35"/>
    </row>
    <row r="12" spans="2:28" ht="13.8">
      <c r="B12" s="166" t="s">
        <v>151</v>
      </c>
      <c r="C12" s="80" t="s">
        <v>122</v>
      </c>
      <c r="D12" s="167">
        <v>0.4</v>
      </c>
      <c r="F12" s="73" t="s">
        <v>152</v>
      </c>
      <c r="G12" s="74">
        <f>AVERAGE(V10:V12)</f>
        <v>0.22199999999999998</v>
      </c>
      <c r="H12" s="74">
        <f>AVERAGE(W10:W13)</f>
        <v>0.22500000000000001</v>
      </c>
      <c r="I12" s="93">
        <f>AVERAGE(X10:X13)</f>
        <v>8.8649999999999984</v>
      </c>
      <c r="K12" s="94" t="s">
        <v>153</v>
      </c>
      <c r="L12" s="81"/>
      <c r="M12" s="101"/>
      <c r="S12" s="177">
        <v>7</v>
      </c>
      <c r="T12" s="34" t="s">
        <v>154</v>
      </c>
      <c r="U12" s="77"/>
      <c r="V12" s="114">
        <v>0.23799999999999999</v>
      </c>
      <c r="W12" s="114">
        <v>0.22</v>
      </c>
      <c r="X12" s="114">
        <v>8.8699999999999992</v>
      </c>
      <c r="Y12" s="114"/>
      <c r="Z12" s="114"/>
      <c r="AA12" s="114"/>
      <c r="AB12" s="179"/>
    </row>
    <row r="13" spans="2:28" ht="13.8">
      <c r="B13" s="166" t="s">
        <v>155</v>
      </c>
      <c r="C13" s="80" t="s">
        <v>122</v>
      </c>
      <c r="D13" s="168">
        <v>0.8</v>
      </c>
      <c r="S13" s="25">
        <v>8</v>
      </c>
      <c r="T13" s="34" t="s">
        <v>156</v>
      </c>
      <c r="U13" s="77"/>
      <c r="V13" s="34">
        <v>0.23799999999999999</v>
      </c>
      <c r="W13" s="114">
        <v>0.22</v>
      </c>
      <c r="X13" s="114">
        <v>8.8699999999999992</v>
      </c>
      <c r="Y13" s="34"/>
      <c r="Z13" s="34"/>
      <c r="AA13" s="34"/>
      <c r="AB13" s="35"/>
    </row>
    <row r="14" spans="2:28" ht="13.8">
      <c r="B14" s="166" t="s">
        <v>157</v>
      </c>
      <c r="C14" s="80" t="s">
        <v>122</v>
      </c>
      <c r="D14" s="169" t="s">
        <v>158</v>
      </c>
      <c r="F14" s="75" t="s">
        <v>159</v>
      </c>
      <c r="G14" s="76">
        <f>G12*D20</f>
        <v>224.66399999999999</v>
      </c>
      <c r="H14" s="76"/>
      <c r="I14" s="95"/>
      <c r="S14" s="25">
        <v>9</v>
      </c>
      <c r="T14" s="34" t="s">
        <v>160</v>
      </c>
      <c r="U14" s="34"/>
      <c r="V14" s="34"/>
      <c r="W14" s="34"/>
      <c r="X14" s="34"/>
      <c r="Y14" s="34"/>
      <c r="Z14" s="34">
        <v>0.121</v>
      </c>
      <c r="AA14" s="34"/>
      <c r="AB14" s="35"/>
    </row>
    <row r="15" spans="2:28" ht="16.2" customHeight="1">
      <c r="B15" s="166" t="s">
        <v>161</v>
      </c>
      <c r="C15" s="80" t="s">
        <v>122</v>
      </c>
      <c r="D15" s="170">
        <v>2.1</v>
      </c>
      <c r="F15" s="351" t="s">
        <v>162</v>
      </c>
      <c r="G15" s="77">
        <f>G14+D50</f>
        <v>1063.143</v>
      </c>
      <c r="H15" s="77"/>
      <c r="I15" s="96"/>
      <c r="S15" s="25">
        <v>10</v>
      </c>
      <c r="T15" s="34" t="s">
        <v>163</v>
      </c>
      <c r="U15" s="34"/>
      <c r="V15" s="34"/>
      <c r="W15" s="34"/>
      <c r="X15" s="34"/>
      <c r="Y15" s="34"/>
      <c r="Z15" s="34">
        <v>0.28599999999999998</v>
      </c>
      <c r="AA15" s="34"/>
      <c r="AB15" s="35"/>
    </row>
    <row r="16" spans="2:28" ht="37.950000000000003" customHeight="1">
      <c r="B16" s="166" t="s">
        <v>164</v>
      </c>
      <c r="C16" s="80" t="s">
        <v>122</v>
      </c>
      <c r="D16" s="170">
        <v>1.27</v>
      </c>
      <c r="F16" s="351"/>
      <c r="G16" s="78"/>
      <c r="H16" s="78"/>
      <c r="I16" s="97"/>
      <c r="J16" s="45">
        <f>G15/D23</f>
        <v>1.0505365612648221</v>
      </c>
      <c r="S16" s="25">
        <v>11</v>
      </c>
      <c r="T16" s="34" t="s">
        <v>165</v>
      </c>
      <c r="U16" s="34"/>
      <c r="V16" s="34"/>
      <c r="W16" s="34"/>
      <c r="X16" s="34"/>
      <c r="Y16" s="34"/>
      <c r="Z16" s="34">
        <v>0.39200000000000002</v>
      </c>
      <c r="AA16" s="34"/>
      <c r="AB16" s="35"/>
    </row>
    <row r="17" spans="2:57" ht="13.8">
      <c r="B17" s="166" t="s">
        <v>166</v>
      </c>
      <c r="C17" s="80" t="s">
        <v>122</v>
      </c>
      <c r="D17" s="170">
        <v>2</v>
      </c>
      <c r="S17" s="25">
        <v>12</v>
      </c>
      <c r="T17" s="34" t="s">
        <v>167</v>
      </c>
      <c r="Z17" s="124">
        <v>0.44600000000000001</v>
      </c>
      <c r="AA17" s="34"/>
      <c r="AB17" s="35"/>
    </row>
    <row r="18" spans="2:57" ht="13.8">
      <c r="B18" s="166" t="s">
        <v>168</v>
      </c>
      <c r="C18" s="80" t="s">
        <v>122</v>
      </c>
      <c r="D18" s="170">
        <v>48</v>
      </c>
      <c r="F18" s="75" t="s">
        <v>169</v>
      </c>
      <c r="G18" s="76"/>
      <c r="H18" s="76"/>
      <c r="I18" s="95"/>
      <c r="O18" s="45">
        <v>4</v>
      </c>
      <c r="S18" s="25">
        <v>13</v>
      </c>
      <c r="T18" s="34" t="s">
        <v>170</v>
      </c>
      <c r="U18" s="34"/>
      <c r="V18" s="34"/>
      <c r="W18" s="34"/>
      <c r="X18" s="34"/>
      <c r="Y18" s="34"/>
      <c r="Z18" s="145">
        <v>4.8000000000000001E-2</v>
      </c>
      <c r="AA18" s="34"/>
      <c r="AB18" s="35"/>
    </row>
    <row r="19" spans="2:57" ht="16.2" customHeight="1">
      <c r="B19" s="166" t="s">
        <v>171</v>
      </c>
      <c r="C19" s="80" t="s">
        <v>122</v>
      </c>
      <c r="D19" s="169">
        <v>1245</v>
      </c>
      <c r="F19" s="351" t="s">
        <v>172</v>
      </c>
      <c r="G19" s="77"/>
      <c r="H19" s="77"/>
      <c r="I19" s="96"/>
      <c r="S19" s="13">
        <v>14</v>
      </c>
      <c r="T19" s="14" t="s">
        <v>173</v>
      </c>
      <c r="U19" s="14"/>
      <c r="V19" s="14"/>
      <c r="W19" s="14"/>
      <c r="X19" s="14"/>
      <c r="Y19" s="14"/>
      <c r="Z19" s="180">
        <v>2.7E-2</v>
      </c>
      <c r="AA19" s="181"/>
      <c r="AB19" s="182"/>
    </row>
    <row r="20" spans="2:57" ht="13.8">
      <c r="B20" s="166" t="s">
        <v>174</v>
      </c>
      <c r="C20" s="80" t="s">
        <v>122</v>
      </c>
      <c r="D20" s="170">
        <v>1012</v>
      </c>
      <c r="F20" s="351"/>
      <c r="G20" s="78"/>
      <c r="H20" s="78"/>
      <c r="I20" s="97"/>
    </row>
    <row r="21" spans="2:57" ht="13.8">
      <c r="B21" s="166" t="s">
        <v>175</v>
      </c>
      <c r="C21" s="80" t="s">
        <v>122</v>
      </c>
      <c r="D21" s="170">
        <v>1518</v>
      </c>
    </row>
    <row r="22" spans="2:57" ht="13.8">
      <c r="B22" s="166" t="s">
        <v>176</v>
      </c>
      <c r="C22" s="80" t="s">
        <v>122</v>
      </c>
      <c r="D22" s="170">
        <v>2000</v>
      </c>
    </row>
    <row r="23" spans="2:57" ht="13.8">
      <c r="B23" s="171" t="s">
        <v>177</v>
      </c>
      <c r="C23" s="172" t="s">
        <v>122</v>
      </c>
      <c r="D23" s="173">
        <v>1012</v>
      </c>
    </row>
    <row r="24" spans="2:57" ht="13.8">
      <c r="B24" s="50"/>
      <c r="C24" s="50"/>
      <c r="D24" s="50"/>
    </row>
    <row r="27" spans="2:57" ht="13.8">
      <c r="D27" s="352" t="s">
        <v>178</v>
      </c>
      <c r="E27" s="352"/>
      <c r="F27" s="352"/>
      <c r="G27" s="352"/>
      <c r="H27" s="352"/>
      <c r="I27" s="352"/>
      <c r="J27" s="352"/>
      <c r="K27" s="352"/>
      <c r="L27" s="352"/>
      <c r="M27" s="352"/>
      <c r="N27" s="352"/>
      <c r="O27" s="352"/>
      <c r="P27" s="352"/>
      <c r="Q27" s="352"/>
      <c r="R27" s="352"/>
      <c r="T27" s="353" t="s">
        <v>179</v>
      </c>
      <c r="U27" s="353"/>
      <c r="V27" s="353"/>
      <c r="X27" s="354" t="s">
        <v>180</v>
      </c>
      <c r="Y27" s="354"/>
      <c r="Z27" s="354"/>
      <c r="AA27"/>
      <c r="AB27" s="355" t="s">
        <v>181</v>
      </c>
      <c r="AC27" s="355"/>
      <c r="AD27" s="355"/>
      <c r="AE27" s="355"/>
      <c r="AF27" s="355"/>
      <c r="AG27" s="355"/>
      <c r="AH27" s="355"/>
      <c r="AI27" s="355"/>
      <c r="AJ27" s="355"/>
      <c r="AK27"/>
      <c r="AL27" s="346" t="s">
        <v>182</v>
      </c>
      <c r="AM27" s="346"/>
      <c r="AN27" s="346"/>
      <c r="AO27" s="346"/>
      <c r="AP27" s="346"/>
      <c r="AQ27" s="346"/>
      <c r="AS27" s="347" t="s">
        <v>183</v>
      </c>
      <c r="AT27" s="347"/>
      <c r="AU27" s="347"/>
      <c r="AV27" s="347"/>
      <c r="AW27" s="347"/>
      <c r="AX27" s="347"/>
      <c r="AZ27" s="348" t="s">
        <v>184</v>
      </c>
      <c r="BA27" s="348"/>
      <c r="BB27" s="348"/>
      <c r="BC27" s="348"/>
      <c r="BD27" s="348"/>
      <c r="BE27" s="348"/>
    </row>
    <row r="28" spans="2:57" ht="13.8">
      <c r="D28" s="349" t="s">
        <v>185</v>
      </c>
      <c r="E28" s="350" t="s">
        <v>186</v>
      </c>
      <c r="F28" s="350"/>
      <c r="G28" s="350"/>
      <c r="H28" s="350" t="s">
        <v>187</v>
      </c>
      <c r="I28" s="350" t="s">
        <v>188</v>
      </c>
      <c r="J28" s="350"/>
      <c r="K28" s="350" t="s">
        <v>108</v>
      </c>
      <c r="L28" s="350"/>
      <c r="M28" s="350" t="s">
        <v>189</v>
      </c>
      <c r="N28" s="350"/>
      <c r="O28" s="350" t="s">
        <v>190</v>
      </c>
      <c r="P28" s="350"/>
      <c r="Q28" s="340" t="s">
        <v>191</v>
      </c>
      <c r="R28" s="340"/>
      <c r="T28" s="110" t="s">
        <v>192</v>
      </c>
      <c r="U28" s="115" t="s">
        <v>193</v>
      </c>
      <c r="V28" s="116" t="s">
        <v>194</v>
      </c>
      <c r="X28" s="117" t="s">
        <v>192</v>
      </c>
      <c r="Y28" s="128" t="s">
        <v>193</v>
      </c>
      <c r="Z28" s="129" t="s">
        <v>194</v>
      </c>
      <c r="AA28"/>
      <c r="AB28" s="341" t="s">
        <v>126</v>
      </c>
      <c r="AC28" s="341"/>
      <c r="AD28" s="341"/>
      <c r="AE28" s="342" t="s">
        <v>127</v>
      </c>
      <c r="AF28" s="342"/>
      <c r="AG28" s="342"/>
      <c r="AH28" s="343" t="s">
        <v>128</v>
      </c>
      <c r="AI28" s="343"/>
      <c r="AJ28" s="343"/>
      <c r="AK28"/>
      <c r="AL28" s="344" t="s">
        <v>195</v>
      </c>
      <c r="AM28" s="344"/>
      <c r="AN28" s="345" t="s">
        <v>196</v>
      </c>
      <c r="AO28" s="345"/>
      <c r="AP28" s="334" t="s">
        <v>197</v>
      </c>
      <c r="AQ28" s="334"/>
      <c r="AS28" s="335" t="s">
        <v>195</v>
      </c>
      <c r="AT28" s="335"/>
      <c r="AU28" s="336" t="s">
        <v>196</v>
      </c>
      <c r="AV28" s="336"/>
      <c r="AW28" s="337" t="s">
        <v>197</v>
      </c>
      <c r="AX28" s="337"/>
      <c r="AZ28" s="338" t="s">
        <v>195</v>
      </c>
      <c r="BA28" s="338"/>
      <c r="BB28" s="339" t="s">
        <v>196</v>
      </c>
      <c r="BC28" s="339"/>
      <c r="BD28" s="331" t="s">
        <v>197</v>
      </c>
      <c r="BE28" s="331"/>
    </row>
    <row r="29" spans="2:57" ht="13.8">
      <c r="D29" s="349"/>
      <c r="E29" s="350"/>
      <c r="F29" s="350"/>
      <c r="G29" s="350"/>
      <c r="H29" s="350"/>
      <c r="I29" s="350"/>
      <c r="J29" s="350"/>
      <c r="K29" s="350"/>
      <c r="L29" s="350"/>
      <c r="M29" s="350"/>
      <c r="N29" s="350"/>
      <c r="O29" s="350"/>
      <c r="P29" s="350"/>
      <c r="Q29" s="340"/>
      <c r="R29" s="340"/>
      <c r="T29" s="110"/>
      <c r="U29" s="115"/>
      <c r="V29" s="116"/>
      <c r="X29" s="117"/>
      <c r="Y29" s="128"/>
      <c r="Z29" s="129"/>
      <c r="AA29"/>
      <c r="AB29" s="130" t="s">
        <v>192</v>
      </c>
      <c r="AC29" s="132" t="s">
        <v>193</v>
      </c>
      <c r="AD29" s="132" t="s">
        <v>194</v>
      </c>
      <c r="AE29" s="132" t="s">
        <v>192</v>
      </c>
      <c r="AF29" s="132" t="s">
        <v>198</v>
      </c>
      <c r="AG29" s="132" t="s">
        <v>194</v>
      </c>
      <c r="AH29" s="132" t="s">
        <v>192</v>
      </c>
      <c r="AI29" s="132" t="s">
        <v>193</v>
      </c>
      <c r="AJ29" s="133" t="s">
        <v>194</v>
      </c>
      <c r="AK29"/>
      <c r="AL29" s="134" t="s">
        <v>199</v>
      </c>
      <c r="AM29" s="135" t="s">
        <v>200</v>
      </c>
      <c r="AN29" s="135" t="s">
        <v>199</v>
      </c>
      <c r="AO29" s="135" t="s">
        <v>201</v>
      </c>
      <c r="AP29" s="135" t="s">
        <v>199</v>
      </c>
      <c r="AQ29" s="137" t="s">
        <v>201</v>
      </c>
      <c r="AS29" s="138" t="s">
        <v>199</v>
      </c>
      <c r="AT29" s="139" t="s">
        <v>200</v>
      </c>
      <c r="AU29" s="139" t="s">
        <v>199</v>
      </c>
      <c r="AV29" s="139" t="s">
        <v>201</v>
      </c>
      <c r="AW29" s="139" t="s">
        <v>199</v>
      </c>
      <c r="AX29" s="140" t="s">
        <v>201</v>
      </c>
      <c r="AZ29" s="141" t="s">
        <v>199</v>
      </c>
      <c r="BA29" s="142" t="s">
        <v>200</v>
      </c>
      <c r="BB29" s="142" t="s">
        <v>199</v>
      </c>
      <c r="BC29" s="142" t="s">
        <v>201</v>
      </c>
      <c r="BD29" s="142" t="s">
        <v>199</v>
      </c>
      <c r="BE29" s="143" t="s">
        <v>201</v>
      </c>
    </row>
    <row r="30" spans="2:57" ht="13.8">
      <c r="C30" s="50"/>
      <c r="D30" s="62" t="s">
        <v>202</v>
      </c>
      <c r="E30" s="79" t="s">
        <v>203</v>
      </c>
      <c r="F30" s="79" t="s">
        <v>204</v>
      </c>
      <c r="G30" s="79" t="s">
        <v>205</v>
      </c>
      <c r="H30" s="79" t="s">
        <v>106</v>
      </c>
      <c r="I30" s="79" t="s">
        <v>206</v>
      </c>
      <c r="J30" s="79" t="s">
        <v>207</v>
      </c>
      <c r="K30" s="79" t="s">
        <v>206</v>
      </c>
      <c r="L30" s="79" t="s">
        <v>207</v>
      </c>
      <c r="M30" s="79" t="s">
        <v>206</v>
      </c>
      <c r="N30" s="79" t="s">
        <v>207</v>
      </c>
      <c r="O30" s="332" t="s">
        <v>208</v>
      </c>
      <c r="P30" s="332"/>
      <c r="Q30" s="333" t="s">
        <v>208</v>
      </c>
      <c r="R30" s="333"/>
      <c r="T30" s="111" t="s">
        <v>208</v>
      </c>
      <c r="U30" s="118" t="s">
        <v>209</v>
      </c>
      <c r="V30" s="119" t="s">
        <v>209</v>
      </c>
      <c r="X30" s="111" t="s">
        <v>209</v>
      </c>
      <c r="Y30" s="118" t="s">
        <v>208</v>
      </c>
      <c r="Z30" s="119" t="s">
        <v>209</v>
      </c>
      <c r="AA30"/>
      <c r="AB30" s="105"/>
      <c r="AC30" s="34"/>
      <c r="AD30" s="34"/>
      <c r="AE30" s="34"/>
      <c r="AF30" s="34"/>
      <c r="AG30" s="34"/>
      <c r="AH30" s="34"/>
      <c r="AI30" s="34"/>
      <c r="AJ30" s="120"/>
      <c r="AK30"/>
      <c r="AL30" s="105"/>
      <c r="AM30" s="34"/>
      <c r="AN30" s="34"/>
      <c r="AO30" s="34"/>
      <c r="AP30" s="34"/>
      <c r="AQ30" s="120"/>
      <c r="AS30" s="105"/>
      <c r="AT30" s="34"/>
      <c r="AU30" s="34"/>
      <c r="AV30" s="34"/>
      <c r="AW30" s="34"/>
      <c r="AX30" s="120"/>
      <c r="AZ30" s="105"/>
      <c r="BA30" s="34"/>
      <c r="BB30" s="34"/>
      <c r="BC30" s="34"/>
      <c r="BD30" s="34"/>
      <c r="BE30" s="120"/>
    </row>
    <row r="31" spans="2:57" ht="13.8">
      <c r="D31" s="63">
        <v>0</v>
      </c>
      <c r="E31" s="80">
        <v>1.52</v>
      </c>
      <c r="F31" s="148">
        <v>4</v>
      </c>
      <c r="G31" s="80"/>
      <c r="H31" s="174"/>
      <c r="I31" s="80">
        <v>0</v>
      </c>
      <c r="J31" s="148">
        <v>1000</v>
      </c>
      <c r="K31" s="148">
        <v>7</v>
      </c>
      <c r="L31" s="148">
        <v>11</v>
      </c>
      <c r="M31" s="151">
        <v>3815</v>
      </c>
      <c r="N31" s="151">
        <v>3815</v>
      </c>
      <c r="O31" s="329">
        <v>2000</v>
      </c>
      <c r="P31" s="329"/>
      <c r="Q31" s="330">
        <v>0</v>
      </c>
      <c r="R31" s="330"/>
      <c r="T31" s="105">
        <v>1012</v>
      </c>
      <c r="U31" s="34">
        <f>M31-$D$20-$D$19</f>
        <v>1558</v>
      </c>
      <c r="V31" s="120"/>
      <c r="X31" s="105"/>
      <c r="Y31" s="34">
        <v>40</v>
      </c>
      <c r="Z31" s="120"/>
      <c r="AA31"/>
      <c r="AB31" s="105"/>
      <c r="AC31" s="34">
        <f t="shared" ref="AC31:AC36" si="0">Z14</f>
        <v>0.121</v>
      </c>
      <c r="AD31" s="34"/>
      <c r="AE31" s="34"/>
      <c r="AF31" s="34"/>
      <c r="AG31" s="34"/>
      <c r="AH31" s="34"/>
      <c r="AI31" s="34"/>
      <c r="AJ31" s="120"/>
      <c r="AK31"/>
      <c r="AL31" s="105"/>
      <c r="AM31" s="136">
        <f>AC31*U32</f>
        <v>183.07300000000001</v>
      </c>
      <c r="AN31" s="34"/>
      <c r="AO31" s="34">
        <f t="shared" ref="AO31:AO37" si="1">Y31*AC31</f>
        <v>4.84</v>
      </c>
      <c r="AP31" s="34"/>
      <c r="AQ31" s="120"/>
      <c r="AS31" s="105"/>
      <c r="AT31" s="34"/>
      <c r="AU31" s="34"/>
      <c r="AV31" s="34"/>
      <c r="AW31" s="34"/>
      <c r="AX31" s="120"/>
      <c r="AZ31" s="105"/>
      <c r="BA31" s="34"/>
      <c r="BB31" s="34"/>
      <c r="BC31" s="34"/>
      <c r="BD31" s="34"/>
      <c r="BE31" s="120"/>
    </row>
    <row r="32" spans="2:57" ht="13.8">
      <c r="D32" s="63">
        <v>2</v>
      </c>
      <c r="E32" s="80"/>
      <c r="F32" s="149">
        <v>0.5</v>
      </c>
      <c r="G32" s="80"/>
      <c r="H32" s="174"/>
      <c r="I32" s="80"/>
      <c r="J32" s="80"/>
      <c r="K32" s="149">
        <v>10</v>
      </c>
      <c r="L32" s="149">
        <v>11</v>
      </c>
      <c r="M32" s="152">
        <v>3810</v>
      </c>
      <c r="N32" s="151">
        <v>3815</v>
      </c>
      <c r="O32" s="329">
        <v>2000</v>
      </c>
      <c r="P32" s="329"/>
      <c r="Q32" s="330">
        <v>40</v>
      </c>
      <c r="R32" s="330"/>
      <c r="T32" s="105"/>
      <c r="U32" s="34">
        <f t="shared" ref="U32:U34" si="2">M32-$D$20-$D$19-Q32</f>
        <v>1513</v>
      </c>
      <c r="V32" s="120"/>
      <c r="X32" s="105"/>
      <c r="Y32" s="34">
        <v>40</v>
      </c>
      <c r="Z32" s="120"/>
      <c r="AA32"/>
      <c r="AB32" s="105"/>
      <c r="AC32" s="34">
        <f t="shared" si="0"/>
        <v>0.28599999999999998</v>
      </c>
      <c r="AD32" s="34"/>
      <c r="AE32" s="34"/>
      <c r="AF32" s="34"/>
      <c r="AG32" s="34"/>
      <c r="AH32" s="34"/>
      <c r="AI32" s="34"/>
      <c r="AJ32" s="120"/>
      <c r="AK32"/>
      <c r="AL32" s="105"/>
      <c r="AM32" s="136">
        <f t="shared" ref="AM32:AM37" si="3">AC32*U33</f>
        <v>432.71799999999996</v>
      </c>
      <c r="AN32" s="34"/>
      <c r="AO32" s="34">
        <f t="shared" si="1"/>
        <v>11.44</v>
      </c>
      <c r="AP32" s="34"/>
      <c r="AQ32" s="120"/>
      <c r="AS32" s="105"/>
      <c r="AT32" s="34"/>
      <c r="AU32" s="34"/>
      <c r="AV32" s="34"/>
      <c r="AW32" s="34"/>
      <c r="AX32" s="120"/>
      <c r="AZ32" s="105"/>
      <c r="BA32" s="34"/>
      <c r="BB32" s="34"/>
      <c r="BC32" s="34"/>
      <c r="BD32" s="34"/>
      <c r="BE32" s="120"/>
    </row>
    <row r="33" spans="4:57" ht="13.8">
      <c r="D33" s="63">
        <v>4</v>
      </c>
      <c r="E33" s="80"/>
      <c r="F33" s="149"/>
      <c r="G33" s="80"/>
      <c r="H33" s="174"/>
      <c r="I33" s="80"/>
      <c r="J33" s="80"/>
      <c r="K33" s="149">
        <v>11</v>
      </c>
      <c r="L33" s="149">
        <v>11</v>
      </c>
      <c r="M33" s="152">
        <v>3810</v>
      </c>
      <c r="N33" s="151">
        <v>3815</v>
      </c>
      <c r="O33" s="329">
        <v>2000</v>
      </c>
      <c r="P33" s="329"/>
      <c r="Q33" s="330">
        <v>40</v>
      </c>
      <c r="R33" s="330"/>
      <c r="T33" s="105"/>
      <c r="U33" s="34">
        <f t="shared" si="2"/>
        <v>1513</v>
      </c>
      <c r="V33" s="120"/>
      <c r="X33" s="105"/>
      <c r="Y33" s="34">
        <v>40</v>
      </c>
      <c r="Z33" s="120"/>
      <c r="AA33"/>
      <c r="AB33" s="105"/>
      <c r="AC33" s="34">
        <f t="shared" si="0"/>
        <v>0.39200000000000002</v>
      </c>
      <c r="AD33" s="34"/>
      <c r="AE33" s="34"/>
      <c r="AF33" s="34"/>
      <c r="AG33" s="34"/>
      <c r="AH33" s="34"/>
      <c r="AI33" s="34"/>
      <c r="AJ33" s="120"/>
      <c r="AK33"/>
      <c r="AL33" s="105"/>
      <c r="AM33" s="136">
        <f t="shared" si="3"/>
        <v>593.096</v>
      </c>
      <c r="AN33" s="34"/>
      <c r="AO33" s="34">
        <f t="shared" si="1"/>
        <v>15.68</v>
      </c>
      <c r="AP33" s="34"/>
      <c r="AQ33" s="120"/>
      <c r="AS33" s="105"/>
      <c r="AT33" s="34"/>
      <c r="AU33" s="34"/>
      <c r="AV33" s="34"/>
      <c r="AW33" s="34"/>
      <c r="AX33" s="120"/>
      <c r="AZ33" s="105"/>
      <c r="BA33" s="34"/>
      <c r="BB33" s="34"/>
      <c r="BC33" s="34"/>
      <c r="BD33" s="34"/>
      <c r="BE33" s="120"/>
    </row>
    <row r="34" spans="4:57" ht="13.8">
      <c r="D34" s="63">
        <v>8</v>
      </c>
      <c r="E34" s="80"/>
      <c r="F34" s="12"/>
      <c r="G34" s="80"/>
      <c r="H34" s="174"/>
      <c r="I34" s="80"/>
      <c r="J34" s="80"/>
      <c r="K34" s="12">
        <v>11</v>
      </c>
      <c r="L34" s="12">
        <v>11</v>
      </c>
      <c r="M34" s="153">
        <v>3810</v>
      </c>
      <c r="N34" s="151">
        <v>3815</v>
      </c>
      <c r="O34" s="329">
        <v>2000</v>
      </c>
      <c r="P34" s="329"/>
      <c r="Q34" s="330">
        <v>40</v>
      </c>
      <c r="R34" s="330"/>
      <c r="T34" s="105"/>
      <c r="U34" s="34">
        <f t="shared" si="2"/>
        <v>1513</v>
      </c>
      <c r="V34" s="120"/>
      <c r="X34" s="105"/>
      <c r="Y34" s="34">
        <v>40</v>
      </c>
      <c r="Z34" s="120"/>
      <c r="AA34"/>
      <c r="AB34" s="105"/>
      <c r="AC34" s="34">
        <f t="shared" si="0"/>
        <v>0.44600000000000001</v>
      </c>
      <c r="AD34" s="34"/>
      <c r="AE34" s="34"/>
      <c r="AF34" s="34"/>
      <c r="AG34" s="34"/>
      <c r="AH34" s="34"/>
      <c r="AI34" s="34"/>
      <c r="AJ34" s="120"/>
      <c r="AK34"/>
      <c r="AL34" s="105"/>
      <c r="AM34" s="136">
        <f t="shared" si="3"/>
        <v>673.01400000000001</v>
      </c>
      <c r="AN34" s="34"/>
      <c r="AO34" s="34">
        <f t="shared" si="1"/>
        <v>17.84</v>
      </c>
      <c r="AP34" s="34"/>
      <c r="AQ34" s="120"/>
      <c r="AS34" s="105"/>
      <c r="AT34" s="34"/>
      <c r="AU34" s="34"/>
      <c r="AV34" s="34"/>
      <c r="AW34" s="34"/>
      <c r="AX34" s="120"/>
      <c r="AZ34" s="105"/>
      <c r="BA34" s="34"/>
      <c r="BB34" s="34"/>
      <c r="BC34" s="34"/>
      <c r="BD34" s="34"/>
      <c r="BE34" s="120"/>
    </row>
    <row r="35" spans="4:57" ht="13.8">
      <c r="D35" s="63">
        <v>12</v>
      </c>
      <c r="E35" s="80"/>
      <c r="F35" s="12">
        <v>0.5</v>
      </c>
      <c r="G35" s="80">
        <v>2</v>
      </c>
      <c r="H35" s="174"/>
      <c r="I35" s="80"/>
      <c r="J35" s="80"/>
      <c r="K35" s="12">
        <v>11</v>
      </c>
      <c r="L35" s="149">
        <v>11</v>
      </c>
      <c r="M35" s="153">
        <v>3810</v>
      </c>
      <c r="N35" s="151">
        <v>3820</v>
      </c>
      <c r="O35" s="329">
        <v>2000</v>
      </c>
      <c r="P35" s="329"/>
      <c r="Q35" s="330">
        <v>40</v>
      </c>
      <c r="R35" s="330"/>
      <c r="T35" s="105"/>
      <c r="U35" s="34">
        <f t="shared" ref="U35:U37" si="4">M35-$D$20-$D$19-4-Q35</f>
        <v>1509</v>
      </c>
      <c r="V35" s="120"/>
      <c r="X35" s="105"/>
      <c r="Y35" s="34">
        <v>40</v>
      </c>
      <c r="Z35" s="120"/>
      <c r="AA35"/>
      <c r="AB35" s="105"/>
      <c r="AC35" s="34">
        <f t="shared" si="0"/>
        <v>4.8000000000000001E-2</v>
      </c>
      <c r="AD35" s="34"/>
      <c r="AE35" s="34"/>
      <c r="AF35" s="34"/>
      <c r="AG35" s="34"/>
      <c r="AH35" s="34"/>
      <c r="AI35" s="34"/>
      <c r="AJ35" s="120"/>
      <c r="AK35"/>
      <c r="AL35" s="105"/>
      <c r="AM35" s="136">
        <f t="shared" si="3"/>
        <v>72.192000000000007</v>
      </c>
      <c r="AN35" s="34"/>
      <c r="AO35" s="34">
        <f t="shared" si="1"/>
        <v>1.92</v>
      </c>
      <c r="AP35" s="34"/>
      <c r="AQ35" s="120"/>
      <c r="AS35" s="105"/>
      <c r="AT35" s="34"/>
      <c r="AU35" s="34"/>
      <c r="AV35" s="34"/>
      <c r="AW35" s="34"/>
      <c r="AX35" s="120"/>
      <c r="AZ35" s="105"/>
      <c r="BA35" s="34"/>
      <c r="BB35" s="34"/>
      <c r="BC35" s="34"/>
      <c r="BD35" s="34"/>
      <c r="BE35" s="120"/>
    </row>
    <row r="36" spans="4:57" ht="13.8">
      <c r="D36" s="63">
        <v>24</v>
      </c>
      <c r="E36" s="80"/>
      <c r="F36" s="12">
        <v>0.5</v>
      </c>
      <c r="G36" s="80"/>
      <c r="H36" s="174"/>
      <c r="I36" s="80"/>
      <c r="J36" s="80"/>
      <c r="K36" s="12">
        <v>10</v>
      </c>
      <c r="L36" s="149">
        <v>11</v>
      </c>
      <c r="M36" s="153">
        <v>3805</v>
      </c>
      <c r="N36" s="151">
        <v>3815</v>
      </c>
      <c r="O36" s="329">
        <v>2000</v>
      </c>
      <c r="P36" s="329"/>
      <c r="Q36" s="330">
        <v>40</v>
      </c>
      <c r="R36" s="330"/>
      <c r="T36" s="105"/>
      <c r="U36" s="34">
        <f t="shared" si="4"/>
        <v>1504</v>
      </c>
      <c r="V36" s="120"/>
      <c r="X36" s="105"/>
      <c r="Y36" s="34">
        <v>40</v>
      </c>
      <c r="Z36" s="120"/>
      <c r="AA36"/>
      <c r="AB36" s="131">
        <f>G12</f>
        <v>0.22199999999999998</v>
      </c>
      <c r="AC36" s="34">
        <f t="shared" si="0"/>
        <v>2.7E-2</v>
      </c>
      <c r="AD36" s="34"/>
      <c r="AE36" s="34">
        <f>H12</f>
        <v>0.22500000000000001</v>
      </c>
      <c r="AF36" s="34"/>
      <c r="AG36" s="34"/>
      <c r="AH36" s="112">
        <f>I12</f>
        <v>8.8649999999999984</v>
      </c>
      <c r="AI36" s="34"/>
      <c r="AJ36" s="120"/>
      <c r="AK36"/>
      <c r="AL36" s="105">
        <f>AB36*T31</f>
        <v>224.66399999999999</v>
      </c>
      <c r="AM36" s="136">
        <f t="shared" si="3"/>
        <v>40.472999999999999</v>
      </c>
      <c r="AN36" s="34"/>
      <c r="AO36" s="34">
        <f t="shared" si="1"/>
        <v>1.08</v>
      </c>
      <c r="AP36" s="34"/>
      <c r="AQ36" s="120"/>
      <c r="AS36" s="105"/>
      <c r="AT36" s="34"/>
      <c r="AU36" s="34"/>
      <c r="AV36" s="34"/>
      <c r="AW36" s="34"/>
      <c r="AX36" s="120"/>
      <c r="AZ36" s="105"/>
      <c r="BA36" s="34"/>
      <c r="BB36" s="34"/>
      <c r="BC36" s="34"/>
      <c r="BD36" s="34"/>
      <c r="BE36" s="120"/>
    </row>
    <row r="37" spans="4:57" ht="13.8">
      <c r="D37" s="63">
        <v>48</v>
      </c>
      <c r="E37" s="80"/>
      <c r="F37" s="80"/>
      <c r="G37" s="80"/>
      <c r="H37" s="174"/>
      <c r="I37" s="80">
        <v>0</v>
      </c>
      <c r="J37" s="80"/>
      <c r="K37" s="12">
        <v>8</v>
      </c>
      <c r="L37" s="80"/>
      <c r="M37" s="153">
        <v>3800</v>
      </c>
      <c r="N37" s="144"/>
      <c r="O37" s="329">
        <v>2000</v>
      </c>
      <c r="P37" s="329"/>
      <c r="Q37" s="330">
        <v>40</v>
      </c>
      <c r="R37" s="330"/>
      <c r="T37" s="105"/>
      <c r="U37" s="34">
        <f t="shared" si="4"/>
        <v>1499</v>
      </c>
      <c r="V37" s="120"/>
      <c r="X37" s="105">
        <v>1012</v>
      </c>
      <c r="Y37" s="34">
        <v>40</v>
      </c>
      <c r="Z37" s="120">
        <v>4</v>
      </c>
      <c r="AA37"/>
      <c r="AB37" s="105"/>
      <c r="AC37" s="34"/>
      <c r="AD37" s="34"/>
      <c r="AE37" s="34"/>
      <c r="AF37" s="34"/>
      <c r="AG37" s="34"/>
      <c r="AH37" s="34"/>
      <c r="AI37" s="34"/>
      <c r="AJ37" s="120"/>
      <c r="AK37"/>
      <c r="AL37" s="105"/>
      <c r="AM37" s="136">
        <f t="shared" si="3"/>
        <v>0</v>
      </c>
      <c r="AN37" s="34"/>
      <c r="AO37" s="34">
        <f t="shared" si="1"/>
        <v>0</v>
      </c>
      <c r="AP37" s="34"/>
      <c r="AQ37" s="120"/>
      <c r="AS37" s="105"/>
      <c r="AT37" s="34"/>
      <c r="AU37" s="34"/>
      <c r="AV37" s="34"/>
      <c r="AW37" s="34"/>
      <c r="AX37" s="120"/>
      <c r="AZ37" s="105"/>
      <c r="BA37" s="34"/>
      <c r="BB37" s="34"/>
      <c r="BC37" s="34"/>
      <c r="BD37" s="34"/>
      <c r="BE37" s="120"/>
    </row>
    <row r="38" spans="4:57" ht="13.8">
      <c r="D38" s="64" t="s">
        <v>210</v>
      </c>
      <c r="E38" s="80">
        <v>1.52</v>
      </c>
      <c r="F38" s="80">
        <f>SUM(F31:F37)</f>
        <v>5.5</v>
      </c>
      <c r="G38" s="80">
        <f>SUM(G31:G37)</f>
        <v>2</v>
      </c>
      <c r="H38" s="174"/>
      <c r="I38" s="80"/>
      <c r="J38" s="80"/>
      <c r="K38" s="80"/>
      <c r="L38" s="80"/>
      <c r="M38" s="80"/>
      <c r="N38" s="80"/>
      <c r="O38" s="329"/>
      <c r="P38" s="329"/>
      <c r="Q38" s="330"/>
      <c r="R38" s="330"/>
      <c r="T38" s="105"/>
      <c r="U38" s="34"/>
      <c r="V38" s="120"/>
      <c r="X38" s="105"/>
      <c r="Y38" s="34"/>
      <c r="Z38" s="120"/>
      <c r="AA38"/>
      <c r="AB38" s="105"/>
      <c r="AC38" s="34"/>
      <c r="AD38" s="34"/>
      <c r="AE38" s="34"/>
      <c r="AF38" s="34"/>
      <c r="AG38" s="34"/>
      <c r="AH38" s="34"/>
      <c r="AI38" s="34"/>
      <c r="AJ38" s="120"/>
      <c r="AK38"/>
      <c r="AL38" s="105"/>
      <c r="AM38" s="34"/>
      <c r="AN38" s="34"/>
      <c r="AO38" s="34"/>
      <c r="AP38" s="34"/>
      <c r="AQ38" s="120"/>
      <c r="AS38" s="105"/>
      <c r="AT38" s="34"/>
      <c r="AU38" s="34"/>
      <c r="AV38" s="34"/>
      <c r="AW38" s="34"/>
      <c r="AX38" s="120"/>
      <c r="AZ38" s="105"/>
      <c r="BA38" s="34"/>
      <c r="BB38" s="34"/>
      <c r="BC38" s="34"/>
      <c r="BD38" s="34"/>
      <c r="BE38" s="120"/>
    </row>
    <row r="39" spans="4:57" ht="13.8">
      <c r="D39" s="65" t="s">
        <v>211</v>
      </c>
      <c r="E39" s="323">
        <v>0</v>
      </c>
      <c r="F39" s="323"/>
      <c r="G39" s="323"/>
      <c r="H39" s="175"/>
      <c r="I39" s="81"/>
      <c r="J39" s="81"/>
      <c r="K39" s="81"/>
      <c r="L39" s="81"/>
      <c r="M39" s="81"/>
      <c r="N39" s="81"/>
      <c r="O39" s="323"/>
      <c r="P39" s="323"/>
      <c r="Q39" s="324"/>
      <c r="R39" s="324"/>
      <c r="T39" s="108"/>
      <c r="U39" s="109"/>
      <c r="V39" s="121"/>
      <c r="X39" s="108"/>
      <c r="Y39" s="109"/>
      <c r="Z39" s="121"/>
      <c r="AA39"/>
      <c r="AB39" s="108"/>
      <c r="AC39" s="109"/>
      <c r="AD39" s="109"/>
      <c r="AE39" s="109"/>
      <c r="AF39" s="109"/>
      <c r="AG39" s="109"/>
      <c r="AH39" s="109"/>
      <c r="AI39" s="109"/>
      <c r="AJ39" s="121"/>
      <c r="AK39"/>
      <c r="AL39" s="108"/>
      <c r="AM39" s="109"/>
      <c r="AN39" s="109"/>
      <c r="AO39" s="109"/>
      <c r="AP39" s="109"/>
      <c r="AQ39" s="121"/>
      <c r="AS39" s="108"/>
      <c r="AT39" s="109"/>
      <c r="AU39" s="109"/>
      <c r="AV39" s="109"/>
      <c r="AW39" s="109"/>
      <c r="AX39" s="121"/>
      <c r="AZ39" s="108"/>
      <c r="BA39" s="109"/>
      <c r="BB39" s="109"/>
      <c r="BC39" s="109"/>
      <c r="BD39" s="109"/>
      <c r="BE39" s="121"/>
    </row>
    <row r="42" spans="4:57" ht="13.8">
      <c r="D42" s="325" t="s">
        <v>212</v>
      </c>
      <c r="E42" s="325"/>
      <c r="F42" s="325"/>
      <c r="H42" s="326" t="s">
        <v>213</v>
      </c>
      <c r="I42" s="326"/>
      <c r="J42" s="326"/>
    </row>
    <row r="43" spans="4:57" ht="13.8">
      <c r="D43" s="327" t="s">
        <v>214</v>
      </c>
      <c r="E43" s="327"/>
      <c r="F43" s="327"/>
      <c r="H43" s="328" t="s">
        <v>215</v>
      </c>
      <c r="I43" s="328"/>
      <c r="J43" s="328"/>
    </row>
    <row r="44" spans="4:57" ht="13.8">
      <c r="D44" s="66" t="s">
        <v>126</v>
      </c>
      <c r="E44" s="82" t="s">
        <v>127</v>
      </c>
      <c r="F44" s="83" t="s">
        <v>128</v>
      </c>
      <c r="H44" s="84" t="s">
        <v>126</v>
      </c>
      <c r="I44" s="98" t="s">
        <v>127</v>
      </c>
      <c r="J44" s="99" t="s">
        <v>128</v>
      </c>
    </row>
    <row r="45" spans="4:57" ht="13.8">
      <c r="D45" s="67">
        <f>AM31+AO31</f>
        <v>187.91300000000001</v>
      </c>
      <c r="E45" s="50"/>
      <c r="F45" s="56"/>
      <c r="H45" s="85">
        <f t="shared" ref="H45:H50" si="5">D45/$G$15</f>
        <v>0.17675232776776031</v>
      </c>
      <c r="I45" s="50"/>
      <c r="J45" s="56"/>
    </row>
    <row r="46" spans="4:57" ht="13.8">
      <c r="D46" s="67">
        <f>AM32+AO31+AO32</f>
        <v>448.99799999999993</v>
      </c>
      <c r="E46" s="50"/>
      <c r="F46" s="56"/>
      <c r="H46" s="85">
        <f t="shared" si="5"/>
        <v>0.42233076829739735</v>
      </c>
      <c r="I46" s="50"/>
      <c r="J46" s="56"/>
    </row>
    <row r="47" spans="4:57" ht="13.8">
      <c r="D47" s="67">
        <f>AM33+SUM(AO31:AO33)</f>
        <v>625.05600000000004</v>
      </c>
      <c r="E47" s="50"/>
      <c r="F47" s="56"/>
      <c r="H47" s="85">
        <f t="shared" si="5"/>
        <v>0.58793219726791224</v>
      </c>
      <c r="I47" s="50"/>
      <c r="J47" s="56"/>
    </row>
    <row r="48" spans="4:57" ht="13.8">
      <c r="D48" s="67">
        <f>AM34+SUM(AO31:AO34)</f>
        <v>722.81399999999996</v>
      </c>
      <c r="E48" s="50"/>
      <c r="F48" s="56"/>
      <c r="H48" s="85">
        <f t="shared" si="5"/>
        <v>0.67988407956408492</v>
      </c>
      <c r="I48" s="50"/>
      <c r="J48" s="56"/>
    </row>
    <row r="49" spans="4:10" ht="13.8">
      <c r="D49" s="67">
        <f>AM35+AM34+SUM(AO31:AO35)</f>
        <v>796.92600000000004</v>
      </c>
      <c r="E49" s="50"/>
      <c r="F49" s="56"/>
      <c r="H49" s="85">
        <f t="shared" si="5"/>
        <v>0.74959436312894878</v>
      </c>
      <c r="I49" s="50"/>
      <c r="J49" s="56"/>
    </row>
    <row r="50" spans="4:10" ht="13.8">
      <c r="D50" s="68">
        <f>AM36+AM35+AM34+SUM(AO31:AO36)</f>
        <v>838.47899999999993</v>
      </c>
      <c r="E50" s="60"/>
      <c r="F50" s="61"/>
      <c r="H50" s="86">
        <f t="shared" si="5"/>
        <v>0.78867941565715982</v>
      </c>
      <c r="I50" s="60"/>
      <c r="J50" s="61"/>
    </row>
  </sheetData>
  <mergeCells count="62">
    <mergeCell ref="T27:V27"/>
    <mergeCell ref="X27:Z27"/>
    <mergeCell ref="AB27:AJ27"/>
    <mergeCell ref="AL27:AQ27"/>
    <mergeCell ref="B2:F2"/>
    <mergeCell ref="U3:X3"/>
    <mergeCell ref="Y3:AB3"/>
    <mergeCell ref="B9:D9"/>
    <mergeCell ref="F9:I9"/>
    <mergeCell ref="K9:M9"/>
    <mergeCell ref="S3:S5"/>
    <mergeCell ref="T4:T5"/>
    <mergeCell ref="AS27:AX27"/>
    <mergeCell ref="AZ27:BE27"/>
    <mergeCell ref="AB28:AD28"/>
    <mergeCell ref="AE28:AG28"/>
    <mergeCell ref="AH28:AJ28"/>
    <mergeCell ref="AL28:AM28"/>
    <mergeCell ref="AN28:AO28"/>
    <mergeCell ref="AP28:AQ28"/>
    <mergeCell ref="AS28:AT28"/>
    <mergeCell ref="AU28:AV28"/>
    <mergeCell ref="AW28:AX28"/>
    <mergeCell ref="AZ28:BA28"/>
    <mergeCell ref="BB28:BC28"/>
    <mergeCell ref="BD28:BE28"/>
    <mergeCell ref="O30:P30"/>
    <mergeCell ref="Q30:R30"/>
    <mergeCell ref="O31:P31"/>
    <mergeCell ref="Q31:R31"/>
    <mergeCell ref="O32:P32"/>
    <mergeCell ref="Q32:R32"/>
    <mergeCell ref="O38:P38"/>
    <mergeCell ref="Q38:R38"/>
    <mergeCell ref="O33:P33"/>
    <mergeCell ref="Q33:R33"/>
    <mergeCell ref="O34:P34"/>
    <mergeCell ref="Q34:R34"/>
    <mergeCell ref="O35:P35"/>
    <mergeCell ref="Q35:R35"/>
    <mergeCell ref="F15:F16"/>
    <mergeCell ref="F19:F20"/>
    <mergeCell ref="H28:H29"/>
    <mergeCell ref="E28:G29"/>
    <mergeCell ref="I28:J29"/>
    <mergeCell ref="D27:R27"/>
    <mergeCell ref="K28:L29"/>
    <mergeCell ref="M28:N29"/>
    <mergeCell ref="O28:P29"/>
    <mergeCell ref="Q28:R29"/>
    <mergeCell ref="D43:F43"/>
    <mergeCell ref="H43:J43"/>
    <mergeCell ref="D28:D29"/>
    <mergeCell ref="E39:G39"/>
    <mergeCell ref="O39:P39"/>
    <mergeCell ref="Q39:R39"/>
    <mergeCell ref="D42:F42"/>
    <mergeCell ref="H42:J42"/>
    <mergeCell ref="O36:P36"/>
    <mergeCell ref="Q36:R36"/>
    <mergeCell ref="O37:P37"/>
    <mergeCell ref="Q37:R37"/>
  </mergeCells>
  <pageMargins left="0.7" right="0.7" top="0.75" bottom="0.75" header="0.511811023622047" footer="0.511811023622047"/>
  <pageSetup orientation="portrait" horizontalDpi="300" verticalDpi="300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>
    <tabColor theme="9" tint="0.59999389629810485"/>
  </sheetPr>
  <dimension ref="B2:BE50"/>
  <sheetViews>
    <sheetView zoomScale="70" zoomScaleNormal="70" workbookViewId="0"/>
  </sheetViews>
  <sheetFormatPr defaultColWidth="10" defaultRowHeight="16.2" customHeight="1"/>
  <cols>
    <col min="1" max="1" width="10" style="45"/>
    <col min="2" max="2" width="23.8984375" style="45" customWidth="1"/>
    <col min="3" max="3" width="2.3984375" style="45" customWidth="1"/>
    <col min="4" max="4" width="19.5" style="45" customWidth="1"/>
    <col min="5" max="5" width="10" style="45"/>
    <col min="6" max="6" width="16.69921875" style="45" customWidth="1"/>
    <col min="7" max="8" width="11.09765625" style="45" customWidth="1"/>
    <col min="9" max="19" width="10" style="45"/>
    <col min="20" max="20" width="26.296875" style="45" customWidth="1"/>
    <col min="21" max="16384" width="10" style="45"/>
  </cols>
  <sheetData>
    <row r="2" spans="2:28" ht="13.8">
      <c r="B2" s="356" t="s">
        <v>116</v>
      </c>
      <c r="C2" s="356"/>
      <c r="D2" s="356"/>
      <c r="E2" s="356"/>
      <c r="F2" s="356"/>
    </row>
    <row r="3" spans="2:28" ht="13.8">
      <c r="S3" s="357" t="s">
        <v>117</v>
      </c>
      <c r="T3" s="103" t="s">
        <v>118</v>
      </c>
      <c r="U3" s="358" t="s">
        <v>119</v>
      </c>
      <c r="V3" s="358"/>
      <c r="W3" s="358"/>
      <c r="X3" s="358"/>
      <c r="Y3" s="359" t="s">
        <v>120</v>
      </c>
      <c r="Z3" s="359"/>
      <c r="AA3" s="359"/>
      <c r="AB3" s="359"/>
    </row>
    <row r="4" spans="2:28" ht="13.8">
      <c r="B4" s="46" t="s">
        <v>121</v>
      </c>
      <c r="C4" s="47" t="s">
        <v>122</v>
      </c>
      <c r="D4" s="48" t="s">
        <v>9</v>
      </c>
      <c r="E4" s="48"/>
      <c r="F4" s="48"/>
      <c r="G4" s="48"/>
      <c r="H4" s="48"/>
      <c r="I4" s="87"/>
      <c r="S4" s="357"/>
      <c r="T4" s="360" t="s">
        <v>124</v>
      </c>
      <c r="U4" s="104" t="s">
        <v>125</v>
      </c>
      <c r="V4" s="104" t="s">
        <v>126</v>
      </c>
      <c r="W4" s="104" t="s">
        <v>127</v>
      </c>
      <c r="X4" s="104" t="s">
        <v>128</v>
      </c>
      <c r="Y4" s="104" t="s">
        <v>125</v>
      </c>
      <c r="Z4" s="104" t="s">
        <v>126</v>
      </c>
      <c r="AA4" s="104" t="s">
        <v>127</v>
      </c>
      <c r="AB4" s="122" t="s">
        <v>128</v>
      </c>
    </row>
    <row r="5" spans="2:28" ht="13.8">
      <c r="B5" s="49" t="s">
        <v>129</v>
      </c>
      <c r="C5" s="50" t="s">
        <v>122</v>
      </c>
      <c r="D5" s="45" t="s">
        <v>20</v>
      </c>
      <c r="I5" s="88"/>
      <c r="S5" s="357"/>
      <c r="T5" s="360"/>
      <c r="U5" s="104" t="s">
        <v>131</v>
      </c>
      <c r="V5" s="104" t="s">
        <v>106</v>
      </c>
      <c r="W5" s="104" t="s">
        <v>106</v>
      </c>
      <c r="X5" s="104" t="s">
        <v>106</v>
      </c>
      <c r="Y5" s="104" t="s">
        <v>131</v>
      </c>
      <c r="Z5" s="104" t="s">
        <v>106</v>
      </c>
      <c r="AA5" s="104" t="s">
        <v>106</v>
      </c>
      <c r="AB5" s="122" t="s">
        <v>106</v>
      </c>
    </row>
    <row r="6" spans="2:28" ht="13.8">
      <c r="B6" s="49" t="s">
        <v>132</v>
      </c>
      <c r="C6" s="50" t="s">
        <v>122</v>
      </c>
      <c r="D6" s="51">
        <v>46230</v>
      </c>
      <c r="E6" s="147">
        <v>46232</v>
      </c>
      <c r="I6" s="88"/>
      <c r="S6" s="105">
        <v>1</v>
      </c>
      <c r="T6" s="34" t="s">
        <v>319</v>
      </c>
      <c r="V6" s="112">
        <v>1.145</v>
      </c>
      <c r="W6" s="34">
        <v>0.95</v>
      </c>
      <c r="X6" s="34">
        <v>8.34</v>
      </c>
      <c r="Y6" s="34"/>
      <c r="Z6" s="34"/>
      <c r="AA6" s="34"/>
      <c r="AB6" s="120"/>
    </row>
    <row r="7" spans="2:28" ht="13.8">
      <c r="B7" s="52" t="s">
        <v>135</v>
      </c>
      <c r="C7" s="53" t="s">
        <v>122</v>
      </c>
      <c r="D7" s="54" t="s">
        <v>314</v>
      </c>
      <c r="E7" s="54"/>
      <c r="F7" s="54"/>
      <c r="G7" s="54"/>
      <c r="H7" s="54"/>
      <c r="I7" s="89"/>
      <c r="S7" s="105">
        <v>2</v>
      </c>
      <c r="T7" s="34" t="s">
        <v>320</v>
      </c>
      <c r="U7" s="34"/>
      <c r="V7" s="112">
        <v>1.1519999999999999</v>
      </c>
      <c r="W7" s="112">
        <v>0.98</v>
      </c>
      <c r="X7" s="34">
        <v>8.35</v>
      </c>
      <c r="Y7" s="34"/>
      <c r="Z7" s="34"/>
      <c r="AA7" s="34"/>
      <c r="AB7" s="120"/>
    </row>
    <row r="8" spans="2:28" ht="13.8">
      <c r="S8" s="105">
        <v>3</v>
      </c>
      <c r="T8" s="34" t="s">
        <v>321</v>
      </c>
      <c r="U8" s="34"/>
      <c r="V8" s="112">
        <v>1.129</v>
      </c>
      <c r="W8" s="34">
        <v>0.92</v>
      </c>
      <c r="X8" s="34">
        <v>8.56</v>
      </c>
      <c r="Y8" s="34"/>
      <c r="Z8" s="34"/>
      <c r="AA8" s="34"/>
      <c r="AB8" s="120"/>
    </row>
    <row r="9" spans="2:28" ht="13.8">
      <c r="B9" s="361" t="s">
        <v>139</v>
      </c>
      <c r="C9" s="361"/>
      <c r="D9" s="361"/>
      <c r="F9" s="362" t="s">
        <v>140</v>
      </c>
      <c r="G9" s="362"/>
      <c r="H9" s="362"/>
      <c r="I9" s="362"/>
      <c r="K9" s="363" t="s">
        <v>141</v>
      </c>
      <c r="L9" s="363"/>
      <c r="M9" s="363"/>
      <c r="S9" s="105">
        <v>4</v>
      </c>
      <c r="T9" s="34"/>
      <c r="U9" s="112"/>
      <c r="V9" s="34"/>
      <c r="W9" s="34"/>
      <c r="X9" s="34"/>
      <c r="Y9" s="34"/>
      <c r="Z9" s="34"/>
      <c r="AA9" s="34"/>
      <c r="AB9" s="120"/>
    </row>
    <row r="10" spans="2:28" ht="13.8">
      <c r="B10" s="55" t="s">
        <v>108</v>
      </c>
      <c r="C10" s="50" t="s">
        <v>122</v>
      </c>
      <c r="D10" s="56" t="s">
        <v>143</v>
      </c>
      <c r="F10" s="69"/>
      <c r="G10" s="70" t="s">
        <v>126</v>
      </c>
      <c r="H10" s="70" t="s">
        <v>127</v>
      </c>
      <c r="I10" s="90" t="s">
        <v>128</v>
      </c>
      <c r="K10" s="62" t="s">
        <v>144</v>
      </c>
      <c r="L10" s="91">
        <f>(F38/1012)*1000</f>
        <v>6.4229249011857705</v>
      </c>
      <c r="M10" s="100" t="s">
        <v>145</v>
      </c>
      <c r="S10" s="105">
        <v>5</v>
      </c>
      <c r="T10" s="34" t="s">
        <v>322</v>
      </c>
      <c r="U10" s="112"/>
      <c r="V10" s="34">
        <v>0.316</v>
      </c>
      <c r="W10" s="113">
        <v>0.32</v>
      </c>
      <c r="X10" s="34">
        <v>8.0500000000000007</v>
      </c>
      <c r="Y10" s="34"/>
      <c r="Z10" s="34"/>
      <c r="AA10" s="34"/>
      <c r="AB10" s="120"/>
    </row>
    <row r="11" spans="2:28" ht="13.8">
      <c r="B11" s="55" t="s">
        <v>147</v>
      </c>
      <c r="C11" s="50" t="s">
        <v>122</v>
      </c>
      <c r="D11" s="56">
        <v>1000</v>
      </c>
      <c r="F11" s="71" t="s">
        <v>148</v>
      </c>
      <c r="G11" s="72">
        <f>AVERAGE(V6:V8)</f>
        <v>1.1419999999999999</v>
      </c>
      <c r="H11" s="72">
        <f>AVERAGE(W6:W8)</f>
        <v>0.95000000000000007</v>
      </c>
      <c r="I11" s="92">
        <f>AVERAGE(X6:X8)</f>
        <v>8.4166666666666661</v>
      </c>
      <c r="K11" s="62" t="s">
        <v>149</v>
      </c>
      <c r="L11" s="91">
        <f>((E38-(($J37*1518)/10000000))/1012)*1000</f>
        <v>1.4959762845849802</v>
      </c>
      <c r="M11" s="100" t="s">
        <v>145</v>
      </c>
      <c r="S11" s="105">
        <v>6</v>
      </c>
      <c r="T11" s="34" t="s">
        <v>323</v>
      </c>
      <c r="U11" s="34"/>
      <c r="V11" s="34">
        <v>0.35199999999999998</v>
      </c>
      <c r="W11" s="34">
        <v>0.3</v>
      </c>
      <c r="X11" s="112">
        <v>8.16</v>
      </c>
      <c r="Y11" s="34"/>
      <c r="Z11" s="34"/>
      <c r="AA11" s="34"/>
      <c r="AB11" s="120"/>
    </row>
    <row r="12" spans="2:28" ht="13.8">
      <c r="B12" s="55" t="s">
        <v>151</v>
      </c>
      <c r="C12" s="50" t="s">
        <v>122</v>
      </c>
      <c r="D12" s="57">
        <v>0.4</v>
      </c>
      <c r="F12" s="73" t="s">
        <v>152</v>
      </c>
      <c r="G12" s="74">
        <f>AVERAGE(V10:V12)</f>
        <v>0.33200000000000002</v>
      </c>
      <c r="H12" s="74">
        <f t="shared" ref="H12:I12" si="0">AVERAGE(W10:W13)</f>
        <v>0.30333333333333329</v>
      </c>
      <c r="I12" s="93">
        <f t="shared" si="0"/>
        <v>8.11</v>
      </c>
      <c r="K12" s="94" t="s">
        <v>153</v>
      </c>
      <c r="L12" s="81"/>
      <c r="M12" s="101"/>
      <c r="S12" s="107">
        <v>7</v>
      </c>
      <c r="T12" s="34" t="s">
        <v>324</v>
      </c>
      <c r="U12" s="114"/>
      <c r="V12" s="114">
        <v>0.32800000000000001</v>
      </c>
      <c r="W12" s="114">
        <v>0.28999999999999998</v>
      </c>
      <c r="X12" s="114">
        <v>8.1199999999999992</v>
      </c>
      <c r="Y12" s="114"/>
      <c r="Z12" s="114"/>
      <c r="AA12" s="114"/>
      <c r="AB12" s="123"/>
    </row>
    <row r="13" spans="2:28" ht="13.8">
      <c r="B13" s="55" t="s">
        <v>155</v>
      </c>
      <c r="C13" s="50" t="s">
        <v>122</v>
      </c>
      <c r="D13" s="57">
        <v>0.8</v>
      </c>
      <c r="S13" s="105">
        <v>8</v>
      </c>
      <c r="T13" s="34"/>
      <c r="U13" s="34"/>
      <c r="V13" s="112"/>
      <c r="W13" s="113"/>
      <c r="X13" s="34"/>
      <c r="Y13" s="34"/>
      <c r="Z13" s="34"/>
      <c r="AA13" s="34"/>
      <c r="AB13" s="120"/>
    </row>
    <row r="14" spans="2:28" ht="13.8">
      <c r="B14" s="55" t="s">
        <v>157</v>
      </c>
      <c r="C14" s="50" t="s">
        <v>122</v>
      </c>
      <c r="D14" s="56" t="s">
        <v>158</v>
      </c>
      <c r="F14" s="75" t="s">
        <v>159</v>
      </c>
      <c r="G14" s="76">
        <f>G12*D20</f>
        <v>335.98400000000004</v>
      </c>
      <c r="H14" s="76"/>
      <c r="I14" s="95"/>
      <c r="S14" s="105">
        <v>9</v>
      </c>
      <c r="T14" s="34" t="s">
        <v>160</v>
      </c>
      <c r="U14" s="34"/>
      <c r="V14" s="34"/>
      <c r="W14" s="34"/>
      <c r="X14" s="34"/>
      <c r="Y14" s="34"/>
      <c r="Z14" s="34">
        <v>0.14000000000000001</v>
      </c>
      <c r="AA14" s="34"/>
      <c r="AB14" s="120"/>
    </row>
    <row r="15" spans="2:28" ht="16.2" customHeight="1">
      <c r="B15" s="55" t="s">
        <v>161</v>
      </c>
      <c r="C15" s="50" t="s">
        <v>122</v>
      </c>
      <c r="D15" s="56">
        <v>2.1</v>
      </c>
      <c r="F15" s="351" t="s">
        <v>162</v>
      </c>
      <c r="G15" s="77">
        <f>G14+D50</f>
        <v>958.53099999999995</v>
      </c>
      <c r="H15" s="77"/>
      <c r="I15" s="96"/>
      <c r="S15" s="105">
        <v>10</v>
      </c>
      <c r="T15" s="34" t="s">
        <v>163</v>
      </c>
      <c r="U15" s="34"/>
      <c r="V15" s="34"/>
      <c r="W15" s="34"/>
      <c r="X15" s="34"/>
      <c r="Y15" s="34"/>
      <c r="Z15" s="34">
        <v>0.17</v>
      </c>
      <c r="AA15" s="34"/>
      <c r="AB15" s="120"/>
    </row>
    <row r="16" spans="2:28" ht="13.8">
      <c r="B16" s="55" t="s">
        <v>164</v>
      </c>
      <c r="C16" s="50" t="s">
        <v>122</v>
      </c>
      <c r="D16" s="56">
        <v>1.27</v>
      </c>
      <c r="F16" s="351"/>
      <c r="G16" s="78"/>
      <c r="H16" s="78"/>
      <c r="I16" s="97"/>
      <c r="J16" s="45">
        <f>G15/D23</f>
        <v>0.94716501976284584</v>
      </c>
      <c r="S16" s="105">
        <v>11</v>
      </c>
      <c r="T16" s="34" t="s">
        <v>165</v>
      </c>
      <c r="U16" s="34"/>
      <c r="V16" s="34"/>
      <c r="W16" s="34"/>
      <c r="X16" s="34"/>
      <c r="Y16" s="34"/>
      <c r="Z16" s="34">
        <v>0.23599999999999999</v>
      </c>
      <c r="AA16" s="34"/>
      <c r="AB16" s="120"/>
    </row>
    <row r="17" spans="2:57" ht="13.8">
      <c r="B17" s="55" t="s">
        <v>166</v>
      </c>
      <c r="C17" s="50" t="s">
        <v>122</v>
      </c>
      <c r="D17" s="56">
        <v>3</v>
      </c>
      <c r="S17" s="105">
        <v>12</v>
      </c>
      <c r="T17" s="34" t="s">
        <v>167</v>
      </c>
      <c r="Z17" s="124">
        <v>0.35799999999999998</v>
      </c>
      <c r="AA17" s="114"/>
      <c r="AB17" s="123"/>
    </row>
    <row r="18" spans="2:57" ht="13.8">
      <c r="B18" s="55" t="s">
        <v>168</v>
      </c>
      <c r="C18" s="50" t="s">
        <v>122</v>
      </c>
      <c r="D18" s="56">
        <v>48</v>
      </c>
      <c r="F18" s="75" t="s">
        <v>169</v>
      </c>
      <c r="G18" s="76"/>
      <c r="H18" s="76"/>
      <c r="I18" s="95"/>
      <c r="O18" s="45">
        <v>4</v>
      </c>
      <c r="S18" s="105">
        <v>13</v>
      </c>
      <c r="T18" s="34" t="s">
        <v>170</v>
      </c>
      <c r="U18" s="34"/>
      <c r="V18" s="34"/>
      <c r="W18" s="34"/>
      <c r="X18" s="34"/>
      <c r="Y18" s="34"/>
      <c r="Z18" s="145">
        <v>2.5000000000000001E-2</v>
      </c>
      <c r="AA18" s="124"/>
      <c r="AB18" s="125"/>
    </row>
    <row r="19" spans="2:57" ht="16.2" customHeight="1">
      <c r="B19" s="55" t="s">
        <v>171</v>
      </c>
      <c r="C19" s="50" t="s">
        <v>122</v>
      </c>
      <c r="D19" s="58">
        <v>1290</v>
      </c>
      <c r="F19" s="351" t="s">
        <v>172</v>
      </c>
      <c r="G19" s="77"/>
      <c r="H19" s="77"/>
      <c r="I19" s="96"/>
      <c r="S19" s="108">
        <v>14</v>
      </c>
      <c r="T19" s="109" t="s">
        <v>173</v>
      </c>
      <c r="U19" s="109"/>
      <c r="V19" s="109"/>
      <c r="W19" s="109"/>
      <c r="X19" s="109"/>
      <c r="Y19" s="109"/>
      <c r="Z19" s="146">
        <v>1.4999999999999999E-2</v>
      </c>
      <c r="AA19" s="126"/>
      <c r="AB19" s="127"/>
    </row>
    <row r="20" spans="2:57" ht="13.8">
      <c r="B20" s="55" t="s">
        <v>174</v>
      </c>
      <c r="C20" s="50" t="s">
        <v>122</v>
      </c>
      <c r="D20" s="56">
        <v>1012</v>
      </c>
      <c r="F20" s="351"/>
      <c r="G20" s="78"/>
      <c r="H20" s="78"/>
      <c r="I20" s="97"/>
    </row>
    <row r="21" spans="2:57" ht="13.8">
      <c r="B21" s="55" t="s">
        <v>175</v>
      </c>
      <c r="C21" s="50" t="s">
        <v>122</v>
      </c>
      <c r="D21" s="56">
        <v>1518</v>
      </c>
    </row>
    <row r="22" spans="2:57" ht="13.8">
      <c r="B22" s="55" t="s">
        <v>176</v>
      </c>
      <c r="C22" s="50" t="s">
        <v>122</v>
      </c>
      <c r="D22" s="56">
        <v>2000</v>
      </c>
    </row>
    <row r="23" spans="2:57" ht="13.8">
      <c r="B23" s="59" t="s">
        <v>177</v>
      </c>
      <c r="C23" s="60" t="s">
        <v>122</v>
      </c>
      <c r="D23" s="61">
        <v>1012</v>
      </c>
    </row>
    <row r="24" spans="2:57" ht="13.8">
      <c r="B24" s="50"/>
      <c r="C24" s="50"/>
      <c r="D24" s="50"/>
    </row>
    <row r="27" spans="2:57" ht="13.8">
      <c r="D27" s="352" t="s">
        <v>178</v>
      </c>
      <c r="E27" s="352"/>
      <c r="F27" s="352"/>
      <c r="G27" s="352"/>
      <c r="H27" s="352"/>
      <c r="I27" s="352"/>
      <c r="J27" s="352"/>
      <c r="K27" s="352"/>
      <c r="L27" s="352"/>
      <c r="M27" s="352"/>
      <c r="N27" s="352"/>
      <c r="O27" s="352"/>
      <c r="P27" s="352"/>
      <c r="Q27" s="352"/>
      <c r="R27" s="352"/>
      <c r="T27" s="353" t="s">
        <v>179</v>
      </c>
      <c r="U27" s="353"/>
      <c r="V27" s="353"/>
      <c r="X27" s="354" t="s">
        <v>180</v>
      </c>
      <c r="Y27" s="354"/>
      <c r="Z27" s="354"/>
      <c r="AA27"/>
      <c r="AB27" s="355" t="s">
        <v>181</v>
      </c>
      <c r="AC27" s="355"/>
      <c r="AD27" s="355"/>
      <c r="AE27" s="355"/>
      <c r="AF27" s="355"/>
      <c r="AG27" s="355"/>
      <c r="AH27" s="355"/>
      <c r="AI27" s="355"/>
      <c r="AJ27" s="355"/>
      <c r="AK27"/>
      <c r="AL27" s="346" t="s">
        <v>182</v>
      </c>
      <c r="AM27" s="346"/>
      <c r="AN27" s="346"/>
      <c r="AO27" s="346"/>
      <c r="AP27" s="346"/>
      <c r="AQ27" s="346"/>
      <c r="AS27" s="347" t="s">
        <v>183</v>
      </c>
      <c r="AT27" s="347"/>
      <c r="AU27" s="347"/>
      <c r="AV27" s="347"/>
      <c r="AW27" s="347"/>
      <c r="AX27" s="347"/>
      <c r="AZ27" s="348" t="s">
        <v>184</v>
      </c>
      <c r="BA27" s="348"/>
      <c r="BB27" s="348"/>
      <c r="BC27" s="348"/>
      <c r="BD27" s="348"/>
      <c r="BE27" s="348"/>
    </row>
    <row r="28" spans="2:57" ht="13.8">
      <c r="D28" s="349" t="s">
        <v>185</v>
      </c>
      <c r="E28" s="350" t="s">
        <v>186</v>
      </c>
      <c r="F28" s="350"/>
      <c r="G28" s="350"/>
      <c r="H28" s="350" t="s">
        <v>187</v>
      </c>
      <c r="I28" s="350" t="s">
        <v>188</v>
      </c>
      <c r="J28" s="350"/>
      <c r="K28" s="350" t="s">
        <v>108</v>
      </c>
      <c r="L28" s="350"/>
      <c r="M28" s="350" t="s">
        <v>189</v>
      </c>
      <c r="N28" s="350"/>
      <c r="O28" s="350" t="s">
        <v>190</v>
      </c>
      <c r="P28" s="350"/>
      <c r="Q28" s="340" t="s">
        <v>191</v>
      </c>
      <c r="R28" s="340"/>
      <c r="T28" s="110" t="s">
        <v>192</v>
      </c>
      <c r="U28" s="115" t="s">
        <v>193</v>
      </c>
      <c r="V28" s="116" t="s">
        <v>194</v>
      </c>
      <c r="X28" s="117" t="s">
        <v>192</v>
      </c>
      <c r="Y28" s="128" t="s">
        <v>193</v>
      </c>
      <c r="Z28" s="129" t="s">
        <v>194</v>
      </c>
      <c r="AA28"/>
      <c r="AB28" s="341" t="s">
        <v>126</v>
      </c>
      <c r="AC28" s="341"/>
      <c r="AD28" s="341"/>
      <c r="AE28" s="342" t="s">
        <v>127</v>
      </c>
      <c r="AF28" s="342"/>
      <c r="AG28" s="342"/>
      <c r="AH28" s="343" t="s">
        <v>128</v>
      </c>
      <c r="AI28" s="343"/>
      <c r="AJ28" s="343"/>
      <c r="AK28"/>
      <c r="AL28" s="344" t="s">
        <v>195</v>
      </c>
      <c r="AM28" s="344"/>
      <c r="AN28" s="345" t="s">
        <v>196</v>
      </c>
      <c r="AO28" s="345"/>
      <c r="AP28" s="334" t="s">
        <v>197</v>
      </c>
      <c r="AQ28" s="334"/>
      <c r="AS28" s="335" t="s">
        <v>195</v>
      </c>
      <c r="AT28" s="335"/>
      <c r="AU28" s="336" t="s">
        <v>196</v>
      </c>
      <c r="AV28" s="336"/>
      <c r="AW28" s="337" t="s">
        <v>197</v>
      </c>
      <c r="AX28" s="337"/>
      <c r="AZ28" s="338" t="s">
        <v>195</v>
      </c>
      <c r="BA28" s="338"/>
      <c r="BB28" s="339" t="s">
        <v>196</v>
      </c>
      <c r="BC28" s="339"/>
      <c r="BD28" s="331" t="s">
        <v>197</v>
      </c>
      <c r="BE28" s="331"/>
    </row>
    <row r="29" spans="2:57" ht="13.8">
      <c r="D29" s="349"/>
      <c r="E29" s="350"/>
      <c r="F29" s="350"/>
      <c r="G29" s="350"/>
      <c r="H29" s="350"/>
      <c r="I29" s="350"/>
      <c r="J29" s="350"/>
      <c r="K29" s="350"/>
      <c r="L29" s="350"/>
      <c r="M29" s="350"/>
      <c r="N29" s="350"/>
      <c r="O29" s="350"/>
      <c r="P29" s="350"/>
      <c r="Q29" s="340"/>
      <c r="R29" s="340"/>
      <c r="T29" s="110"/>
      <c r="U29" s="115"/>
      <c r="V29" s="116"/>
      <c r="X29" s="117"/>
      <c r="Y29" s="128"/>
      <c r="Z29" s="129"/>
      <c r="AA29"/>
      <c r="AB29" s="130" t="s">
        <v>192</v>
      </c>
      <c r="AC29" s="132" t="s">
        <v>193</v>
      </c>
      <c r="AD29" s="132" t="s">
        <v>194</v>
      </c>
      <c r="AE29" s="132" t="s">
        <v>192</v>
      </c>
      <c r="AF29" s="132" t="s">
        <v>198</v>
      </c>
      <c r="AG29" s="132" t="s">
        <v>194</v>
      </c>
      <c r="AH29" s="132" t="s">
        <v>192</v>
      </c>
      <c r="AI29" s="132" t="s">
        <v>193</v>
      </c>
      <c r="AJ29" s="133" t="s">
        <v>194</v>
      </c>
      <c r="AK29"/>
      <c r="AL29" s="134" t="s">
        <v>199</v>
      </c>
      <c r="AM29" s="135" t="s">
        <v>200</v>
      </c>
      <c r="AN29" s="135" t="s">
        <v>199</v>
      </c>
      <c r="AO29" s="135" t="s">
        <v>201</v>
      </c>
      <c r="AP29" s="135" t="s">
        <v>199</v>
      </c>
      <c r="AQ29" s="137" t="s">
        <v>201</v>
      </c>
      <c r="AS29" s="138" t="s">
        <v>199</v>
      </c>
      <c r="AT29" s="139" t="s">
        <v>200</v>
      </c>
      <c r="AU29" s="139" t="s">
        <v>199</v>
      </c>
      <c r="AV29" s="139" t="s">
        <v>201</v>
      </c>
      <c r="AW29" s="139" t="s">
        <v>199</v>
      </c>
      <c r="AX29" s="140" t="s">
        <v>201</v>
      </c>
      <c r="AZ29" s="141" t="s">
        <v>199</v>
      </c>
      <c r="BA29" s="142" t="s">
        <v>200</v>
      </c>
      <c r="BB29" s="142" t="s">
        <v>199</v>
      </c>
      <c r="BC29" s="142" t="s">
        <v>201</v>
      </c>
      <c r="BD29" s="142" t="s">
        <v>199</v>
      </c>
      <c r="BE29" s="143" t="s">
        <v>201</v>
      </c>
    </row>
    <row r="30" spans="2:57" ht="13.8">
      <c r="C30" s="50"/>
      <c r="D30" s="62" t="s">
        <v>202</v>
      </c>
      <c r="E30" s="79" t="s">
        <v>203</v>
      </c>
      <c r="F30" s="79" t="s">
        <v>204</v>
      </c>
      <c r="G30" s="79" t="s">
        <v>205</v>
      </c>
      <c r="H30" s="79" t="s">
        <v>106</v>
      </c>
      <c r="I30" s="79" t="s">
        <v>206</v>
      </c>
      <c r="J30" s="79" t="s">
        <v>207</v>
      </c>
      <c r="K30" s="79" t="s">
        <v>206</v>
      </c>
      <c r="L30" s="79" t="s">
        <v>207</v>
      </c>
      <c r="M30" s="79" t="s">
        <v>206</v>
      </c>
      <c r="N30" s="79" t="s">
        <v>207</v>
      </c>
      <c r="O30" s="332" t="s">
        <v>208</v>
      </c>
      <c r="P30" s="332"/>
      <c r="Q30" s="333" t="s">
        <v>208</v>
      </c>
      <c r="R30" s="333"/>
      <c r="T30" s="111" t="s">
        <v>208</v>
      </c>
      <c r="U30" s="118" t="s">
        <v>209</v>
      </c>
      <c r="V30" s="119" t="s">
        <v>209</v>
      </c>
      <c r="X30" s="111" t="s">
        <v>209</v>
      </c>
      <c r="Y30" s="118" t="s">
        <v>208</v>
      </c>
      <c r="Z30" s="119" t="s">
        <v>209</v>
      </c>
      <c r="AA30"/>
      <c r="AB30" s="105"/>
      <c r="AC30" s="34"/>
      <c r="AD30" s="34"/>
      <c r="AE30" s="34"/>
      <c r="AF30" s="34"/>
      <c r="AG30" s="34"/>
      <c r="AH30" s="34"/>
      <c r="AI30" s="34"/>
      <c r="AJ30" s="120"/>
      <c r="AK30"/>
      <c r="AL30" s="105"/>
      <c r="AM30" s="34"/>
      <c r="AN30" s="34"/>
      <c r="AO30" s="34"/>
      <c r="AP30" s="34"/>
      <c r="AQ30" s="120"/>
      <c r="AS30" s="105"/>
      <c r="AT30" s="34"/>
      <c r="AU30" s="34"/>
      <c r="AV30" s="34"/>
      <c r="AW30" s="34"/>
      <c r="AX30" s="120"/>
      <c r="AZ30" s="105"/>
      <c r="BA30" s="34"/>
      <c r="BB30" s="34"/>
      <c r="BC30" s="34"/>
      <c r="BD30" s="34"/>
      <c r="BE30" s="120"/>
    </row>
    <row r="31" spans="2:57" ht="13.8">
      <c r="D31" s="63">
        <v>0</v>
      </c>
      <c r="E31" s="80">
        <v>1.52</v>
      </c>
      <c r="F31" s="148">
        <v>4</v>
      </c>
      <c r="G31" s="80"/>
      <c r="H31" s="80"/>
      <c r="I31" s="12">
        <v>0</v>
      </c>
      <c r="J31" s="148">
        <v>1000</v>
      </c>
      <c r="K31" s="148">
        <v>7</v>
      </c>
      <c r="L31" s="148">
        <v>11</v>
      </c>
      <c r="M31" s="151">
        <v>3825</v>
      </c>
      <c r="N31" s="151">
        <v>3825</v>
      </c>
      <c r="O31" s="329">
        <v>2000</v>
      </c>
      <c r="P31" s="329"/>
      <c r="Q31" s="330">
        <v>0</v>
      </c>
      <c r="R31" s="330"/>
      <c r="T31" s="105">
        <v>1012</v>
      </c>
      <c r="U31" s="34">
        <f>M31-$D$20-$D$19</f>
        <v>1523</v>
      </c>
      <c r="V31" s="120"/>
      <c r="X31" s="105"/>
      <c r="Y31" s="34">
        <v>40</v>
      </c>
      <c r="Z31" s="120"/>
      <c r="AA31"/>
      <c r="AB31" s="105"/>
      <c r="AC31" s="34">
        <f t="shared" ref="AC31:AC36" si="1">Z14</f>
        <v>0.14000000000000001</v>
      </c>
      <c r="AD31" s="34"/>
      <c r="AE31" s="34"/>
      <c r="AF31" s="34"/>
      <c r="AG31" s="34"/>
      <c r="AH31" s="34"/>
      <c r="AI31" s="34"/>
      <c r="AJ31" s="120"/>
      <c r="AK31"/>
      <c r="AL31" s="105"/>
      <c r="AM31" s="136">
        <f t="shared" ref="AM31:AM37" si="2">AC31*U32</f>
        <v>206.92000000000002</v>
      </c>
      <c r="AN31" s="34"/>
      <c r="AO31" s="34">
        <f t="shared" ref="AO31:AO37" si="3">Y31*AC31</f>
        <v>5.6000000000000005</v>
      </c>
      <c r="AP31" s="34"/>
      <c r="AQ31" s="120"/>
      <c r="AS31" s="105"/>
      <c r="AT31" s="34"/>
      <c r="AU31" s="34"/>
      <c r="AV31" s="34"/>
      <c r="AW31" s="34"/>
      <c r="AX31" s="120"/>
      <c r="AZ31" s="105"/>
      <c r="BA31" s="34"/>
      <c r="BB31" s="34"/>
      <c r="BC31" s="34"/>
      <c r="BD31" s="34"/>
      <c r="BE31" s="120"/>
    </row>
    <row r="32" spans="2:57" ht="13.8">
      <c r="C32" s="45">
        <v>4</v>
      </c>
      <c r="D32" s="63">
        <v>2</v>
      </c>
      <c r="E32" s="80"/>
      <c r="F32" s="149">
        <v>1</v>
      </c>
      <c r="G32" s="80"/>
      <c r="H32" s="80"/>
      <c r="I32" s="148">
        <v>360</v>
      </c>
      <c r="J32" s="148"/>
      <c r="K32" s="149">
        <v>10</v>
      </c>
      <c r="L32" s="149">
        <v>11</v>
      </c>
      <c r="M32" s="152">
        <v>3820</v>
      </c>
      <c r="N32" s="151">
        <v>3825</v>
      </c>
      <c r="O32" s="329">
        <v>2000</v>
      </c>
      <c r="P32" s="329"/>
      <c r="Q32" s="330">
        <v>40</v>
      </c>
      <c r="R32" s="330"/>
      <c r="T32" s="105"/>
      <c r="U32" s="34">
        <f t="shared" ref="U32:U34" si="4">M32-$D$20-$D$19-Q32</f>
        <v>1478</v>
      </c>
      <c r="V32" s="120"/>
      <c r="X32" s="105"/>
      <c r="Y32" s="34">
        <v>40</v>
      </c>
      <c r="Z32" s="120"/>
      <c r="AA32"/>
      <c r="AB32" s="105"/>
      <c r="AC32" s="34">
        <f t="shared" si="1"/>
        <v>0.17</v>
      </c>
      <c r="AD32" s="34"/>
      <c r="AE32" s="34"/>
      <c r="AF32" s="34"/>
      <c r="AG32" s="34"/>
      <c r="AH32" s="34"/>
      <c r="AI32" s="34"/>
      <c r="AJ32" s="120"/>
      <c r="AK32"/>
      <c r="AL32" s="105"/>
      <c r="AM32" s="136">
        <f t="shared" si="2"/>
        <v>251.26000000000002</v>
      </c>
      <c r="AN32" s="34"/>
      <c r="AO32" s="34">
        <f t="shared" si="3"/>
        <v>6.8000000000000007</v>
      </c>
      <c r="AP32" s="34"/>
      <c r="AQ32" s="120"/>
      <c r="AS32" s="105"/>
      <c r="AT32" s="34"/>
      <c r="AU32" s="34"/>
      <c r="AV32" s="34"/>
      <c r="AW32" s="34"/>
      <c r="AX32" s="120"/>
      <c r="AZ32" s="105"/>
      <c r="BA32" s="34"/>
      <c r="BB32" s="34"/>
      <c r="BC32" s="34"/>
      <c r="BD32" s="34"/>
      <c r="BE32" s="120"/>
    </row>
    <row r="33" spans="3:57" ht="13.8">
      <c r="C33" s="45">
        <v>4</v>
      </c>
      <c r="D33" s="63">
        <v>4</v>
      </c>
      <c r="E33" s="80"/>
      <c r="F33" s="149"/>
      <c r="G33" s="80"/>
      <c r="H33" s="80"/>
      <c r="I33" s="148">
        <v>320</v>
      </c>
      <c r="J33" s="148"/>
      <c r="K33" s="149">
        <v>11</v>
      </c>
      <c r="L33" s="149">
        <v>11</v>
      </c>
      <c r="M33" s="152">
        <v>3820</v>
      </c>
      <c r="N33" s="151">
        <v>3825</v>
      </c>
      <c r="O33" s="329">
        <v>2000</v>
      </c>
      <c r="P33" s="329"/>
      <c r="Q33" s="330">
        <v>40</v>
      </c>
      <c r="R33" s="330"/>
      <c r="T33" s="105"/>
      <c r="U33" s="34">
        <f t="shared" si="4"/>
        <v>1478</v>
      </c>
      <c r="V33" s="120"/>
      <c r="X33" s="105"/>
      <c r="Y33" s="34">
        <v>40</v>
      </c>
      <c r="Z33" s="120"/>
      <c r="AA33"/>
      <c r="AB33" s="105"/>
      <c r="AC33" s="34">
        <f t="shared" si="1"/>
        <v>0.23599999999999999</v>
      </c>
      <c r="AD33" s="34"/>
      <c r="AE33" s="34"/>
      <c r="AF33" s="34"/>
      <c r="AG33" s="34"/>
      <c r="AH33" s="34"/>
      <c r="AI33" s="34"/>
      <c r="AJ33" s="120"/>
      <c r="AK33"/>
      <c r="AL33" s="105"/>
      <c r="AM33" s="136">
        <f t="shared" si="2"/>
        <v>348.80799999999999</v>
      </c>
      <c r="AN33" s="34"/>
      <c r="AO33" s="34">
        <f t="shared" si="3"/>
        <v>9.44</v>
      </c>
      <c r="AP33" s="34"/>
      <c r="AQ33" s="120"/>
      <c r="AS33" s="105"/>
      <c r="AT33" s="34"/>
      <c r="AU33" s="34"/>
      <c r="AV33" s="34"/>
      <c r="AW33" s="34"/>
      <c r="AX33" s="120"/>
      <c r="AZ33" s="105"/>
      <c r="BA33" s="34"/>
      <c r="BB33" s="34"/>
      <c r="BC33" s="34"/>
      <c r="BD33" s="34"/>
      <c r="BE33" s="120"/>
    </row>
    <row r="34" spans="3:57" ht="13.8">
      <c r="C34" s="45">
        <v>4</v>
      </c>
      <c r="D34" s="63">
        <v>8</v>
      </c>
      <c r="E34" s="80"/>
      <c r="F34" s="12"/>
      <c r="G34" s="80"/>
      <c r="H34" s="80"/>
      <c r="I34" s="148">
        <v>240</v>
      </c>
      <c r="J34" s="148"/>
      <c r="K34" s="12">
        <v>11</v>
      </c>
      <c r="L34" s="12">
        <v>11</v>
      </c>
      <c r="M34" s="153">
        <v>3820</v>
      </c>
      <c r="N34" s="151">
        <v>3825</v>
      </c>
      <c r="O34" s="329">
        <v>2000</v>
      </c>
      <c r="P34" s="329"/>
      <c r="Q34" s="330">
        <v>40</v>
      </c>
      <c r="R34" s="330"/>
      <c r="T34" s="105"/>
      <c r="U34" s="34">
        <f t="shared" si="4"/>
        <v>1478</v>
      </c>
      <c r="V34" s="120"/>
      <c r="X34" s="105"/>
      <c r="Y34" s="34">
        <v>40</v>
      </c>
      <c r="Z34" s="120"/>
      <c r="AA34"/>
      <c r="AB34" s="105"/>
      <c r="AC34" s="34">
        <f t="shared" si="1"/>
        <v>0.35799999999999998</v>
      </c>
      <c r="AD34" s="34"/>
      <c r="AE34" s="34"/>
      <c r="AF34" s="34"/>
      <c r="AG34" s="34"/>
      <c r="AH34" s="34"/>
      <c r="AI34" s="34"/>
      <c r="AJ34" s="120"/>
      <c r="AK34"/>
      <c r="AL34" s="105"/>
      <c r="AM34" s="136">
        <f t="shared" si="2"/>
        <v>525.90199999999993</v>
      </c>
      <c r="AN34" s="34"/>
      <c r="AO34" s="34">
        <f t="shared" si="3"/>
        <v>14.32</v>
      </c>
      <c r="AP34" s="34"/>
      <c r="AQ34" s="120"/>
      <c r="AS34" s="105"/>
      <c r="AT34" s="34"/>
      <c r="AU34" s="34"/>
      <c r="AV34" s="34"/>
      <c r="AW34" s="34"/>
      <c r="AX34" s="120"/>
      <c r="AZ34" s="105"/>
      <c r="BA34" s="34"/>
      <c r="BB34" s="34"/>
      <c r="BC34" s="34"/>
      <c r="BD34" s="34"/>
      <c r="BE34" s="120"/>
    </row>
    <row r="35" spans="3:57" ht="13.8">
      <c r="C35" s="45">
        <v>4</v>
      </c>
      <c r="D35" s="63">
        <v>12</v>
      </c>
      <c r="E35" s="80"/>
      <c r="F35" s="12">
        <v>1</v>
      </c>
      <c r="G35" s="80">
        <v>3</v>
      </c>
      <c r="H35" s="80"/>
      <c r="I35" s="148">
        <v>220</v>
      </c>
      <c r="J35" s="148"/>
      <c r="K35" s="12">
        <v>11</v>
      </c>
      <c r="L35" s="149">
        <v>11</v>
      </c>
      <c r="M35" s="153">
        <v>3815</v>
      </c>
      <c r="N35" s="151">
        <v>3830</v>
      </c>
      <c r="O35" s="329">
        <v>2000</v>
      </c>
      <c r="P35" s="329"/>
      <c r="Q35" s="330">
        <v>40</v>
      </c>
      <c r="R35" s="330"/>
      <c r="T35" s="105"/>
      <c r="U35" s="34">
        <f t="shared" ref="U35:U37" si="5">M35-$D$20-$D$19-4-Q35</f>
        <v>1469</v>
      </c>
      <c r="V35" s="120"/>
      <c r="X35" s="105"/>
      <c r="Y35" s="34">
        <v>40</v>
      </c>
      <c r="Z35" s="120"/>
      <c r="AA35"/>
      <c r="AB35" s="105"/>
      <c r="AC35" s="34">
        <f t="shared" si="1"/>
        <v>2.5000000000000001E-2</v>
      </c>
      <c r="AD35" s="34"/>
      <c r="AE35" s="34"/>
      <c r="AF35" s="34"/>
      <c r="AG35" s="34"/>
      <c r="AH35" s="34"/>
      <c r="AI35" s="34"/>
      <c r="AJ35" s="120"/>
      <c r="AK35"/>
      <c r="AL35" s="105"/>
      <c r="AM35" s="136">
        <f t="shared" si="2"/>
        <v>36.85</v>
      </c>
      <c r="AN35" s="34"/>
      <c r="AO35" s="34">
        <f t="shared" si="3"/>
        <v>1</v>
      </c>
      <c r="AP35" s="34"/>
      <c r="AQ35" s="120"/>
      <c r="AS35" s="105"/>
      <c r="AT35" s="34"/>
      <c r="AU35" s="34"/>
      <c r="AV35" s="34"/>
      <c r="AW35" s="34"/>
      <c r="AX35" s="120"/>
      <c r="AZ35" s="105"/>
      <c r="BA35" s="34"/>
      <c r="BB35" s="34"/>
      <c r="BC35" s="34"/>
      <c r="BD35" s="34"/>
      <c r="BE35" s="120"/>
    </row>
    <row r="36" spans="3:57" ht="13.8">
      <c r="D36" s="63">
        <v>24</v>
      </c>
      <c r="E36" s="80"/>
      <c r="F36" s="12">
        <v>0.5</v>
      </c>
      <c r="G36" s="80"/>
      <c r="H36" s="80"/>
      <c r="I36" s="148">
        <v>200</v>
      </c>
      <c r="J36" s="148"/>
      <c r="K36" s="12">
        <v>11</v>
      </c>
      <c r="L36" s="149">
        <v>11</v>
      </c>
      <c r="M36" s="153">
        <v>3820</v>
      </c>
      <c r="N36" s="151">
        <v>3830</v>
      </c>
      <c r="O36" s="329">
        <v>2000</v>
      </c>
      <c r="P36" s="329"/>
      <c r="Q36" s="330">
        <v>40</v>
      </c>
      <c r="R36" s="330"/>
      <c r="T36" s="105"/>
      <c r="U36" s="34">
        <f t="shared" si="5"/>
        <v>1474</v>
      </c>
      <c r="V36" s="120"/>
      <c r="X36" s="105"/>
      <c r="Y36" s="34">
        <v>40</v>
      </c>
      <c r="Z36" s="120"/>
      <c r="AA36"/>
      <c r="AB36" s="131">
        <f>G12</f>
        <v>0.33200000000000002</v>
      </c>
      <c r="AC36" s="34">
        <f t="shared" si="1"/>
        <v>1.4999999999999999E-2</v>
      </c>
      <c r="AD36" s="34"/>
      <c r="AE36" s="34">
        <f>H12</f>
        <v>0.30333333333333329</v>
      </c>
      <c r="AF36" s="34"/>
      <c r="AG36" s="34"/>
      <c r="AH36" s="112">
        <f>I12</f>
        <v>8.11</v>
      </c>
      <c r="AI36" s="34"/>
      <c r="AJ36" s="120"/>
      <c r="AK36"/>
      <c r="AL36" s="105">
        <f>AB36*T31</f>
        <v>335.98400000000004</v>
      </c>
      <c r="AM36" s="136">
        <f t="shared" si="2"/>
        <v>22.035</v>
      </c>
      <c r="AN36" s="34"/>
      <c r="AO36" s="34">
        <f t="shared" si="3"/>
        <v>0.6</v>
      </c>
      <c r="AP36" s="34"/>
      <c r="AQ36" s="120"/>
      <c r="AS36" s="105"/>
      <c r="AT36" s="34"/>
      <c r="AU36" s="34"/>
      <c r="AV36" s="34"/>
      <c r="AW36" s="34"/>
      <c r="AX36" s="120"/>
      <c r="AZ36" s="105"/>
      <c r="BA36" s="34"/>
      <c r="BB36" s="34"/>
      <c r="BC36" s="34"/>
      <c r="BD36" s="34"/>
      <c r="BE36" s="120"/>
    </row>
    <row r="37" spans="3:57" ht="13.8">
      <c r="D37" s="63">
        <v>48</v>
      </c>
      <c r="E37" s="80"/>
      <c r="F37" s="80"/>
      <c r="G37" s="80"/>
      <c r="H37" s="80"/>
      <c r="I37" s="12">
        <v>40</v>
      </c>
      <c r="J37" s="148">
        <v>40</v>
      </c>
      <c r="K37" s="12">
        <v>9</v>
      </c>
      <c r="L37" s="150"/>
      <c r="M37" s="153">
        <v>3815</v>
      </c>
      <c r="N37" s="12"/>
      <c r="O37" s="329">
        <v>2000</v>
      </c>
      <c r="P37" s="329"/>
      <c r="Q37" s="330">
        <v>40</v>
      </c>
      <c r="R37" s="330"/>
      <c r="T37" s="105"/>
      <c r="U37" s="34">
        <f t="shared" si="5"/>
        <v>1469</v>
      </c>
      <c r="V37" s="120"/>
      <c r="X37" s="105">
        <v>1012</v>
      </c>
      <c r="Y37" s="34">
        <v>40</v>
      </c>
      <c r="Z37" s="120">
        <v>4</v>
      </c>
      <c r="AA37"/>
      <c r="AB37" s="105"/>
      <c r="AC37" s="34"/>
      <c r="AD37" s="34"/>
      <c r="AE37" s="34"/>
      <c r="AF37" s="34"/>
      <c r="AG37" s="34"/>
      <c r="AH37" s="34"/>
      <c r="AI37" s="34"/>
      <c r="AJ37" s="120"/>
      <c r="AK37"/>
      <c r="AL37" s="105"/>
      <c r="AM37" s="136">
        <f t="shared" si="2"/>
        <v>0</v>
      </c>
      <c r="AN37" s="34"/>
      <c r="AO37" s="34">
        <f t="shared" si="3"/>
        <v>0</v>
      </c>
      <c r="AP37" s="34"/>
      <c r="AQ37" s="120"/>
      <c r="AS37" s="105"/>
      <c r="AT37" s="34"/>
      <c r="AU37" s="34"/>
      <c r="AV37" s="34"/>
      <c r="AW37" s="34"/>
      <c r="AX37" s="120"/>
      <c r="AZ37" s="105"/>
      <c r="BA37" s="34"/>
      <c r="BB37" s="34"/>
      <c r="BC37" s="34"/>
      <c r="BD37" s="34"/>
      <c r="BE37" s="120"/>
    </row>
    <row r="38" spans="3:57" ht="13.8">
      <c r="D38" s="64" t="s">
        <v>210</v>
      </c>
      <c r="E38" s="80">
        <v>1.52</v>
      </c>
      <c r="F38" s="80">
        <f>SUM(F31:F37)</f>
        <v>6.5</v>
      </c>
      <c r="G38" s="80">
        <f>SUM(G31:G37)</f>
        <v>3</v>
      </c>
      <c r="H38" s="80"/>
      <c r="I38" s="80"/>
      <c r="J38" s="80"/>
      <c r="K38" s="80"/>
      <c r="L38" s="80"/>
      <c r="M38" s="80"/>
      <c r="N38" s="80"/>
      <c r="O38" s="329"/>
      <c r="P38" s="329"/>
      <c r="Q38" s="330"/>
      <c r="R38" s="330"/>
      <c r="T38" s="105"/>
      <c r="U38" s="34"/>
      <c r="V38" s="120"/>
      <c r="X38" s="105"/>
      <c r="Y38" s="34"/>
      <c r="Z38" s="120"/>
      <c r="AA38"/>
      <c r="AB38" s="105"/>
      <c r="AC38" s="34"/>
      <c r="AD38" s="34"/>
      <c r="AE38" s="34"/>
      <c r="AF38" s="34"/>
      <c r="AG38" s="34"/>
      <c r="AH38" s="34"/>
      <c r="AI38" s="34"/>
      <c r="AJ38" s="120"/>
      <c r="AK38"/>
      <c r="AL38" s="105"/>
      <c r="AM38" s="34"/>
      <c r="AN38" s="34"/>
      <c r="AO38" s="34"/>
      <c r="AP38" s="34"/>
      <c r="AQ38" s="120"/>
      <c r="AS38" s="105"/>
      <c r="AT38" s="34"/>
      <c r="AU38" s="34"/>
      <c r="AV38" s="34"/>
      <c r="AW38" s="34"/>
      <c r="AX38" s="120"/>
      <c r="AZ38" s="105"/>
      <c r="BA38" s="34"/>
      <c r="BB38" s="34"/>
      <c r="BC38" s="34"/>
      <c r="BD38" s="34"/>
      <c r="BE38" s="120"/>
    </row>
    <row r="39" spans="3:57" ht="13.8">
      <c r="D39" s="65" t="s">
        <v>211</v>
      </c>
      <c r="E39" s="323">
        <v>0</v>
      </c>
      <c r="F39" s="323"/>
      <c r="G39" s="323"/>
      <c r="H39" s="81"/>
      <c r="I39" s="81"/>
      <c r="J39" s="81"/>
      <c r="K39" s="81"/>
      <c r="L39" s="81"/>
      <c r="M39" s="81"/>
      <c r="N39" s="81"/>
      <c r="O39" s="323"/>
      <c r="P39" s="323"/>
      <c r="Q39" s="324"/>
      <c r="R39" s="324"/>
      <c r="T39" s="108"/>
      <c r="U39" s="109"/>
      <c r="V39" s="121"/>
      <c r="X39" s="108"/>
      <c r="Y39" s="109"/>
      <c r="Z39" s="121"/>
      <c r="AA39"/>
      <c r="AB39" s="108"/>
      <c r="AC39" s="109"/>
      <c r="AD39" s="109"/>
      <c r="AE39" s="109"/>
      <c r="AF39" s="109"/>
      <c r="AG39" s="109"/>
      <c r="AH39" s="109"/>
      <c r="AI39" s="109"/>
      <c r="AJ39" s="121"/>
      <c r="AK39"/>
      <c r="AL39" s="108"/>
      <c r="AM39" s="109"/>
      <c r="AN39" s="109"/>
      <c r="AO39" s="109"/>
      <c r="AP39" s="109"/>
      <c r="AQ39" s="121"/>
      <c r="AS39" s="108"/>
      <c r="AT39" s="109"/>
      <c r="AU39" s="109"/>
      <c r="AV39" s="109"/>
      <c r="AW39" s="109"/>
      <c r="AX39" s="121"/>
      <c r="AZ39" s="108"/>
      <c r="BA39" s="109"/>
      <c r="BB39" s="109"/>
      <c r="BC39" s="109"/>
      <c r="BD39" s="109"/>
      <c r="BE39" s="121"/>
    </row>
    <row r="42" spans="3:57" ht="13.8">
      <c r="D42" s="325" t="s">
        <v>212</v>
      </c>
      <c r="E42" s="325"/>
      <c r="F42" s="325"/>
      <c r="H42" s="326" t="s">
        <v>213</v>
      </c>
      <c r="I42" s="326"/>
      <c r="J42" s="326"/>
    </row>
    <row r="43" spans="3:57" ht="13.8">
      <c r="D43" s="327" t="s">
        <v>214</v>
      </c>
      <c r="E43" s="327"/>
      <c r="F43" s="327"/>
      <c r="H43" s="328" t="s">
        <v>215</v>
      </c>
      <c r="I43" s="328"/>
      <c r="J43" s="328"/>
    </row>
    <row r="44" spans="3:57" ht="13.8">
      <c r="D44" s="66" t="s">
        <v>126</v>
      </c>
      <c r="E44" s="82" t="s">
        <v>127</v>
      </c>
      <c r="F44" s="83" t="s">
        <v>128</v>
      </c>
      <c r="H44" s="84" t="s">
        <v>126</v>
      </c>
      <c r="I44" s="98" t="s">
        <v>127</v>
      </c>
      <c r="J44" s="99" t="s">
        <v>128</v>
      </c>
    </row>
    <row r="45" spans="3:57" ht="13.8">
      <c r="D45" s="67">
        <f>AM31+AO31</f>
        <v>212.52</v>
      </c>
      <c r="E45" s="50"/>
      <c r="F45" s="56"/>
      <c r="H45" s="85">
        <f t="shared" ref="H45:H50" si="6">D45/$G$15</f>
        <v>0.2217142690220765</v>
      </c>
      <c r="I45" s="50"/>
      <c r="J45" s="56"/>
    </row>
    <row r="46" spans="3:57" ht="13.8">
      <c r="D46" s="67">
        <f>AM32+AO31+AO32</f>
        <v>263.66000000000003</v>
      </c>
      <c r="E46" s="50"/>
      <c r="F46" s="56"/>
      <c r="H46" s="85">
        <f t="shared" si="6"/>
        <v>0.27506674275532045</v>
      </c>
      <c r="I46" s="50"/>
      <c r="J46" s="56"/>
    </row>
    <row r="47" spans="3:57" ht="13.8">
      <c r="D47" s="67">
        <f>AM33+SUM(AO31:AO33)</f>
        <v>370.64800000000002</v>
      </c>
      <c r="E47" s="50"/>
      <c r="F47" s="56"/>
      <c r="H47" s="85">
        <f t="shared" si="6"/>
        <v>0.3866833727860654</v>
      </c>
      <c r="I47" s="50"/>
      <c r="J47" s="56"/>
    </row>
    <row r="48" spans="3:57" ht="13.8">
      <c r="D48" s="67">
        <f>AM34+SUM(AO31:AO34)</f>
        <v>562.0619999999999</v>
      </c>
      <c r="E48" s="50"/>
      <c r="F48" s="56"/>
      <c r="H48" s="85">
        <f t="shared" si="6"/>
        <v>0.58637853131510609</v>
      </c>
      <c r="I48" s="50"/>
      <c r="J48" s="56"/>
    </row>
    <row r="49" spans="4:10" ht="13.8">
      <c r="D49" s="67">
        <f>AM35+AM34+SUM(AO31:AO35)</f>
        <v>599.91199999999992</v>
      </c>
      <c r="E49" s="50"/>
      <c r="F49" s="56"/>
      <c r="H49" s="85">
        <f t="shared" si="6"/>
        <v>0.62586603876139635</v>
      </c>
      <c r="I49" s="50"/>
      <c r="J49" s="56"/>
    </row>
    <row r="50" spans="4:10" ht="13.8">
      <c r="D50" s="68">
        <f>AM36+AM35+AM34+SUM(AO31:AO36)</f>
        <v>622.54699999999991</v>
      </c>
      <c r="E50" s="60"/>
      <c r="F50" s="61"/>
      <c r="H50" s="86">
        <f t="shared" si="6"/>
        <v>0.64948029849843136</v>
      </c>
      <c r="I50" s="60"/>
      <c r="J50" s="61"/>
    </row>
  </sheetData>
  <mergeCells count="62">
    <mergeCell ref="T27:V27"/>
    <mergeCell ref="X27:Z27"/>
    <mergeCell ref="AB27:AJ27"/>
    <mergeCell ref="AL27:AQ27"/>
    <mergeCell ref="B2:F2"/>
    <mergeCell ref="U3:X3"/>
    <mergeCell ref="Y3:AB3"/>
    <mergeCell ref="B9:D9"/>
    <mergeCell ref="F9:I9"/>
    <mergeCell ref="K9:M9"/>
    <mergeCell ref="S3:S5"/>
    <mergeCell ref="T4:T5"/>
    <mergeCell ref="AS27:AX27"/>
    <mergeCell ref="AZ27:BE27"/>
    <mergeCell ref="AB28:AD28"/>
    <mergeCell ref="AE28:AG28"/>
    <mergeCell ref="AH28:AJ28"/>
    <mergeCell ref="AL28:AM28"/>
    <mergeCell ref="AN28:AO28"/>
    <mergeCell ref="AP28:AQ28"/>
    <mergeCell ref="AS28:AT28"/>
    <mergeCell ref="AU28:AV28"/>
    <mergeCell ref="AW28:AX28"/>
    <mergeCell ref="AZ28:BA28"/>
    <mergeCell ref="BB28:BC28"/>
    <mergeCell ref="BD28:BE28"/>
    <mergeCell ref="O30:P30"/>
    <mergeCell ref="Q30:R30"/>
    <mergeCell ref="O31:P31"/>
    <mergeCell ref="Q31:R31"/>
    <mergeCell ref="O32:P32"/>
    <mergeCell ref="Q32:R32"/>
    <mergeCell ref="O38:P38"/>
    <mergeCell ref="Q38:R38"/>
    <mergeCell ref="O33:P33"/>
    <mergeCell ref="Q33:R33"/>
    <mergeCell ref="O34:P34"/>
    <mergeCell ref="Q34:R34"/>
    <mergeCell ref="O35:P35"/>
    <mergeCell ref="Q35:R35"/>
    <mergeCell ref="F15:F16"/>
    <mergeCell ref="F19:F20"/>
    <mergeCell ref="H28:H29"/>
    <mergeCell ref="E28:G29"/>
    <mergeCell ref="I28:J29"/>
    <mergeCell ref="D27:R27"/>
    <mergeCell ref="K28:L29"/>
    <mergeCell ref="M28:N29"/>
    <mergeCell ref="O28:P29"/>
    <mergeCell ref="Q28:R29"/>
    <mergeCell ref="D43:F43"/>
    <mergeCell ref="H43:J43"/>
    <mergeCell ref="D28:D29"/>
    <mergeCell ref="E39:G39"/>
    <mergeCell ref="O39:P39"/>
    <mergeCell ref="Q39:R39"/>
    <mergeCell ref="D42:F42"/>
    <mergeCell ref="H42:J42"/>
    <mergeCell ref="O36:P36"/>
    <mergeCell ref="Q36:R36"/>
    <mergeCell ref="O37:P37"/>
    <mergeCell ref="Q37:R37"/>
  </mergeCells>
  <pageMargins left="0.7" right="0.7" top="0.75" bottom="0.75" header="0.511811023622047" footer="0.511811023622047"/>
  <pageSetup orientation="portrait" horizontalDpi="300" verticalDpi="300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>
    <tabColor theme="9" tint="0.59999389629810485"/>
  </sheetPr>
  <dimension ref="B2:BE50"/>
  <sheetViews>
    <sheetView topLeftCell="A7" zoomScale="55" zoomScaleNormal="55" workbookViewId="0"/>
  </sheetViews>
  <sheetFormatPr defaultColWidth="10" defaultRowHeight="16.2" customHeight="1"/>
  <cols>
    <col min="1" max="1" width="10" style="45"/>
    <col min="2" max="2" width="23.8984375" style="45" customWidth="1"/>
    <col min="3" max="3" width="2.3984375" style="45" customWidth="1"/>
    <col min="4" max="4" width="19.5" style="45" customWidth="1"/>
    <col min="5" max="5" width="10" style="45"/>
    <col min="6" max="6" width="16.69921875" style="45" customWidth="1"/>
    <col min="7" max="8" width="11.09765625" style="45" customWidth="1"/>
    <col min="9" max="19" width="10" style="45"/>
    <col min="20" max="20" width="26.296875" style="45" customWidth="1"/>
    <col min="21" max="16384" width="10" style="45"/>
  </cols>
  <sheetData>
    <row r="2" spans="2:28" ht="13.8">
      <c r="B2" s="356" t="s">
        <v>116</v>
      </c>
      <c r="C2" s="356"/>
      <c r="D2" s="356"/>
      <c r="E2" s="356"/>
      <c r="F2" s="356"/>
    </row>
    <row r="3" spans="2:28" ht="13.8">
      <c r="S3" s="357" t="s">
        <v>117</v>
      </c>
      <c r="T3" s="103" t="s">
        <v>118</v>
      </c>
      <c r="U3" s="358" t="s">
        <v>119</v>
      </c>
      <c r="V3" s="358"/>
      <c r="W3" s="358"/>
      <c r="X3" s="358"/>
      <c r="Y3" s="359" t="s">
        <v>120</v>
      </c>
      <c r="Z3" s="359"/>
      <c r="AA3" s="359"/>
      <c r="AB3" s="359"/>
    </row>
    <row r="4" spans="2:28" ht="13.8">
      <c r="B4" s="46" t="s">
        <v>121</v>
      </c>
      <c r="C4" s="47" t="s">
        <v>122</v>
      </c>
      <c r="D4" s="48" t="s">
        <v>15</v>
      </c>
      <c r="E4" s="48"/>
      <c r="F4" s="48"/>
      <c r="G4" s="48"/>
      <c r="H4" s="48"/>
      <c r="I4" s="48"/>
      <c r="J4" s="87"/>
      <c r="S4" s="357"/>
      <c r="T4" s="360" t="s">
        <v>124</v>
      </c>
      <c r="U4" s="104" t="s">
        <v>125</v>
      </c>
      <c r="V4" s="104" t="s">
        <v>126</v>
      </c>
      <c r="W4" s="104" t="s">
        <v>127</v>
      </c>
      <c r="X4" s="104" t="s">
        <v>128</v>
      </c>
      <c r="Y4" s="104" t="s">
        <v>125</v>
      </c>
      <c r="Z4" s="104" t="s">
        <v>126</v>
      </c>
      <c r="AA4" s="104" t="s">
        <v>127</v>
      </c>
      <c r="AB4" s="122" t="s">
        <v>128</v>
      </c>
    </row>
    <row r="5" spans="2:28" ht="13.8">
      <c r="B5" s="49" t="s">
        <v>129</v>
      </c>
      <c r="C5" s="50" t="s">
        <v>122</v>
      </c>
      <c r="D5" s="45" t="s">
        <v>14</v>
      </c>
      <c r="J5" s="88"/>
      <c r="S5" s="357"/>
      <c r="T5" s="360"/>
      <c r="U5" s="104" t="s">
        <v>131</v>
      </c>
      <c r="V5" s="104" t="s">
        <v>106</v>
      </c>
      <c r="W5" s="104" t="s">
        <v>106</v>
      </c>
      <c r="X5" s="104" t="s">
        <v>106</v>
      </c>
      <c r="Y5" s="104" t="s">
        <v>131</v>
      </c>
      <c r="Z5" s="104" t="s">
        <v>106</v>
      </c>
      <c r="AA5" s="104" t="s">
        <v>106</v>
      </c>
      <c r="AB5" s="122" t="s">
        <v>106</v>
      </c>
    </row>
    <row r="6" spans="2:28" ht="13.8">
      <c r="B6" s="49" t="s">
        <v>132</v>
      </c>
      <c r="C6" s="50" t="s">
        <v>122</v>
      </c>
      <c r="D6" s="51"/>
      <c r="J6" s="88"/>
      <c r="S6" s="105">
        <v>1</v>
      </c>
      <c r="T6" s="34" t="s">
        <v>134</v>
      </c>
      <c r="U6" s="112"/>
      <c r="V6" s="34">
        <v>1.2769999999999999</v>
      </c>
      <c r="W6" s="34">
        <v>1.01</v>
      </c>
      <c r="X6" s="34">
        <v>11.93</v>
      </c>
      <c r="Y6" s="34"/>
      <c r="Z6" s="34"/>
      <c r="AA6" s="34"/>
      <c r="AB6" s="120"/>
    </row>
    <row r="7" spans="2:28" ht="13.8">
      <c r="B7" s="52" t="s">
        <v>135</v>
      </c>
      <c r="C7" s="53" t="s">
        <v>122</v>
      </c>
      <c r="D7" s="54"/>
      <c r="E7" s="54"/>
      <c r="F7" s="54"/>
      <c r="G7" s="54"/>
      <c r="H7" s="54"/>
      <c r="I7" s="54"/>
      <c r="J7" s="89"/>
      <c r="S7" s="105">
        <v>2</v>
      </c>
      <c r="T7" s="34" t="s">
        <v>137</v>
      </c>
      <c r="U7" s="34"/>
      <c r="V7" s="112">
        <v>1.224</v>
      </c>
      <c r="W7" s="112">
        <v>1.05</v>
      </c>
      <c r="X7" s="34">
        <v>11.85</v>
      </c>
      <c r="Y7" s="34"/>
      <c r="Z7" s="34"/>
      <c r="AA7" s="34"/>
      <c r="AB7" s="120"/>
    </row>
    <row r="8" spans="2:28" ht="13.8">
      <c r="S8" s="105">
        <v>3</v>
      </c>
      <c r="T8" s="34" t="s">
        <v>138</v>
      </c>
      <c r="U8" s="34"/>
      <c r="V8" s="112">
        <v>1.2829999999999999</v>
      </c>
      <c r="W8" s="34">
        <v>1.08</v>
      </c>
      <c r="X8" s="34">
        <v>11.76</v>
      </c>
      <c r="Y8" s="34"/>
      <c r="Z8" s="34"/>
      <c r="AA8" s="34"/>
      <c r="AB8" s="120"/>
    </row>
    <row r="9" spans="2:28" ht="13.8">
      <c r="B9" s="361" t="s">
        <v>139</v>
      </c>
      <c r="C9" s="361"/>
      <c r="D9" s="361"/>
      <c r="F9" s="362" t="s">
        <v>140</v>
      </c>
      <c r="G9" s="362"/>
      <c r="H9" s="362"/>
      <c r="I9" s="362"/>
      <c r="K9" s="363" t="s">
        <v>141</v>
      </c>
      <c r="L9" s="363"/>
      <c r="M9" s="363"/>
      <c r="S9" s="105">
        <v>4</v>
      </c>
      <c r="T9" s="106" t="s">
        <v>142</v>
      </c>
      <c r="U9" s="112"/>
      <c r="V9" s="34"/>
      <c r="W9" s="34"/>
      <c r="X9" s="34"/>
      <c r="Y9" s="34"/>
      <c r="Z9" s="34"/>
      <c r="AA9" s="34"/>
      <c r="AB9" s="120"/>
    </row>
    <row r="10" spans="2:28" ht="13.8">
      <c r="B10" s="55" t="s">
        <v>108</v>
      </c>
      <c r="C10" s="50" t="s">
        <v>122</v>
      </c>
      <c r="D10" s="56" t="s">
        <v>143</v>
      </c>
      <c r="F10" s="69"/>
      <c r="G10" s="70" t="s">
        <v>126</v>
      </c>
      <c r="H10" s="70" t="s">
        <v>127</v>
      </c>
      <c r="I10" s="90" t="s">
        <v>128</v>
      </c>
      <c r="K10" s="62" t="s">
        <v>144</v>
      </c>
      <c r="L10" s="91">
        <f>(F38/1012)*1000</f>
        <v>4.7934782608695654</v>
      </c>
      <c r="M10" s="100" t="s">
        <v>145</v>
      </c>
      <c r="S10" s="105">
        <v>5</v>
      </c>
      <c r="T10" s="34" t="s">
        <v>146</v>
      </c>
      <c r="U10" s="112"/>
      <c r="V10" s="34">
        <v>0.497</v>
      </c>
      <c r="W10" s="113">
        <v>0.69</v>
      </c>
      <c r="X10" s="34">
        <v>10.97</v>
      </c>
      <c r="Y10" s="34"/>
      <c r="Z10" s="34"/>
      <c r="AA10" s="34"/>
      <c r="AB10" s="120"/>
    </row>
    <row r="11" spans="2:28" ht="13.8">
      <c r="B11" s="55" t="s">
        <v>147</v>
      </c>
      <c r="C11" s="50" t="s">
        <v>122</v>
      </c>
      <c r="D11" s="56">
        <v>1000</v>
      </c>
      <c r="F11" s="71" t="s">
        <v>148</v>
      </c>
      <c r="G11" s="72">
        <f>AVERAGE(V6:V8)</f>
        <v>1.2613333333333332</v>
      </c>
      <c r="H11" s="72">
        <f>AVERAGE(W6:W8)</f>
        <v>1.0466666666666666</v>
      </c>
      <c r="I11" s="92">
        <f>AVERAGE(X6:X8)</f>
        <v>11.846666666666666</v>
      </c>
      <c r="K11" s="62" t="s">
        <v>149</v>
      </c>
      <c r="L11" s="91">
        <f>((E38-(($J37*1518)/10000000))/1012)*1000</f>
        <v>1.4989762845849803</v>
      </c>
      <c r="M11" s="100" t="s">
        <v>145</v>
      </c>
      <c r="S11" s="105">
        <v>6</v>
      </c>
      <c r="T11" s="34" t="s">
        <v>150</v>
      </c>
      <c r="U11" s="34"/>
      <c r="V11" s="34">
        <v>0.51</v>
      </c>
      <c r="W11" s="34">
        <v>0.69</v>
      </c>
      <c r="X11" s="112">
        <v>10.87</v>
      </c>
      <c r="Y11" s="34"/>
      <c r="Z11" s="34"/>
      <c r="AA11" s="34"/>
      <c r="AB11" s="120"/>
    </row>
    <row r="12" spans="2:28" ht="13.8">
      <c r="B12" s="55" t="s">
        <v>151</v>
      </c>
      <c r="C12" s="50" t="s">
        <v>122</v>
      </c>
      <c r="D12" s="57">
        <v>0.4</v>
      </c>
      <c r="F12" s="73" t="s">
        <v>152</v>
      </c>
      <c r="G12" s="74">
        <f>AVERAGE(V10:V12)</f>
        <v>0.504</v>
      </c>
      <c r="H12" s="74">
        <f t="shared" ref="H12:I12" si="0">AVERAGE(W10:W13)</f>
        <v>0.68666666666666665</v>
      </c>
      <c r="I12" s="93">
        <f t="shared" si="0"/>
        <v>10.9</v>
      </c>
      <c r="K12" s="94" t="s">
        <v>153</v>
      </c>
      <c r="L12" s="81"/>
      <c r="M12" s="101"/>
      <c r="S12" s="107">
        <v>7</v>
      </c>
      <c r="T12" s="34" t="s">
        <v>154</v>
      </c>
      <c r="U12" s="114"/>
      <c r="V12" s="114">
        <v>0.505</v>
      </c>
      <c r="W12" s="114">
        <v>0.68</v>
      </c>
      <c r="X12" s="114">
        <v>10.86</v>
      </c>
      <c r="Y12" s="114"/>
      <c r="Z12" s="114"/>
      <c r="AA12" s="114"/>
      <c r="AB12" s="123"/>
    </row>
    <row r="13" spans="2:28" ht="13.8">
      <c r="B13" s="55" t="s">
        <v>155</v>
      </c>
      <c r="C13" s="50" t="s">
        <v>122</v>
      </c>
      <c r="D13" s="57">
        <v>0.6</v>
      </c>
      <c r="S13" s="105">
        <v>8</v>
      </c>
      <c r="T13" s="34" t="s">
        <v>156</v>
      </c>
      <c r="U13" s="34"/>
      <c r="V13" s="112"/>
      <c r="W13" s="113"/>
      <c r="X13" s="34"/>
      <c r="Y13" s="34"/>
      <c r="Z13" s="34"/>
      <c r="AA13" s="34"/>
      <c r="AB13" s="120"/>
    </row>
    <row r="14" spans="2:28" ht="13.8">
      <c r="B14" s="55" t="s">
        <v>157</v>
      </c>
      <c r="C14" s="50" t="s">
        <v>122</v>
      </c>
      <c r="D14" s="56" t="s">
        <v>158</v>
      </c>
      <c r="F14" s="75" t="s">
        <v>159</v>
      </c>
      <c r="G14" s="76">
        <f>G12*D20</f>
        <v>510.048</v>
      </c>
      <c r="H14" s="76"/>
      <c r="I14" s="95"/>
      <c r="S14" s="105">
        <v>9</v>
      </c>
      <c r="T14" s="34" t="s">
        <v>160</v>
      </c>
      <c r="U14" s="34"/>
      <c r="V14" s="34"/>
      <c r="W14" s="34"/>
      <c r="X14" s="34"/>
      <c r="Y14" s="34"/>
      <c r="Z14" s="34">
        <v>0.23699999999999999</v>
      </c>
      <c r="AA14" s="34"/>
      <c r="AB14" s="120"/>
    </row>
    <row r="15" spans="2:28" ht="16.2" customHeight="1">
      <c r="B15" s="55" t="s">
        <v>161</v>
      </c>
      <c r="C15" s="50" t="s">
        <v>122</v>
      </c>
      <c r="D15" s="56">
        <v>2.1</v>
      </c>
      <c r="F15" s="351" t="s">
        <v>162</v>
      </c>
      <c r="G15" s="77">
        <f>G14+D50</f>
        <v>1134.3530000000001</v>
      </c>
      <c r="H15" s="77"/>
      <c r="I15" s="96"/>
      <c r="S15" s="105">
        <v>10</v>
      </c>
      <c r="T15" s="34" t="s">
        <v>163</v>
      </c>
      <c r="U15" s="34"/>
      <c r="V15" s="34"/>
      <c r="W15" s="34"/>
      <c r="X15" s="34"/>
      <c r="Y15" s="34"/>
      <c r="Z15" s="34">
        <v>0.32400000000000001</v>
      </c>
      <c r="AA15" s="34"/>
      <c r="AB15" s="120"/>
    </row>
    <row r="16" spans="2:28" ht="13.8">
      <c r="B16" s="55" t="s">
        <v>164</v>
      </c>
      <c r="C16" s="50" t="s">
        <v>122</v>
      </c>
      <c r="D16" s="56">
        <v>1.27</v>
      </c>
      <c r="F16" s="351"/>
      <c r="G16" s="78"/>
      <c r="H16" s="78"/>
      <c r="I16" s="97"/>
      <c r="J16" s="45">
        <f>G15/D23</f>
        <v>1.1209021739130436</v>
      </c>
      <c r="S16" s="105">
        <v>11</v>
      </c>
      <c r="T16" s="34" t="s">
        <v>165</v>
      </c>
      <c r="U16" s="34"/>
      <c r="V16" s="34"/>
      <c r="W16" s="34"/>
      <c r="X16" s="34"/>
      <c r="Y16" s="34"/>
      <c r="Z16" s="34">
        <v>0.33600000000000002</v>
      </c>
      <c r="AA16" s="34"/>
      <c r="AB16" s="120"/>
    </row>
    <row r="17" spans="2:57" ht="13.8">
      <c r="B17" s="55" t="s">
        <v>166</v>
      </c>
      <c r="C17" s="50" t="s">
        <v>122</v>
      </c>
      <c r="D17" s="56">
        <v>2</v>
      </c>
      <c r="S17" s="105">
        <v>12</v>
      </c>
      <c r="T17" s="34" t="s">
        <v>167</v>
      </c>
      <c r="Z17" s="124">
        <v>0.35699999999999998</v>
      </c>
      <c r="AA17" s="114"/>
      <c r="AB17" s="123"/>
    </row>
    <row r="18" spans="2:57" ht="13.8">
      <c r="B18" s="55" t="s">
        <v>168</v>
      </c>
      <c r="C18" s="50" t="s">
        <v>122</v>
      </c>
      <c r="D18" s="56">
        <v>48</v>
      </c>
      <c r="F18" s="75" t="s">
        <v>169</v>
      </c>
      <c r="G18" s="76"/>
      <c r="H18" s="76"/>
      <c r="I18" s="95"/>
      <c r="O18" s="45">
        <v>4</v>
      </c>
      <c r="S18" s="105">
        <v>13</v>
      </c>
      <c r="T18" s="34" t="s">
        <v>170</v>
      </c>
      <c r="U18" s="34"/>
      <c r="V18" s="34"/>
      <c r="W18" s="34"/>
      <c r="X18" s="34"/>
      <c r="Y18" s="34"/>
      <c r="Z18" s="145">
        <v>4.9000000000000002E-2</v>
      </c>
      <c r="AA18" s="124"/>
      <c r="AB18" s="125"/>
    </row>
    <row r="19" spans="2:57" ht="16.2" customHeight="1">
      <c r="B19" s="55" t="s">
        <v>171</v>
      </c>
      <c r="C19" s="50" t="s">
        <v>122</v>
      </c>
      <c r="D19" s="58">
        <v>1295</v>
      </c>
      <c r="F19" s="351" t="s">
        <v>172</v>
      </c>
      <c r="G19" s="77"/>
      <c r="H19" s="77"/>
      <c r="I19" s="96"/>
      <c r="S19" s="108">
        <v>14</v>
      </c>
      <c r="T19" s="109" t="s">
        <v>173</v>
      </c>
      <c r="U19" s="109"/>
      <c r="V19" s="109"/>
      <c r="W19" s="109"/>
      <c r="X19" s="109"/>
      <c r="Y19" s="109"/>
      <c r="Z19" s="146">
        <v>1.9E-2</v>
      </c>
      <c r="AA19" s="126"/>
      <c r="AB19" s="127"/>
    </row>
    <row r="20" spans="2:57" ht="13.8">
      <c r="B20" s="55" t="s">
        <v>174</v>
      </c>
      <c r="C20" s="50" t="s">
        <v>122</v>
      </c>
      <c r="D20" s="56">
        <v>1012</v>
      </c>
      <c r="F20" s="351"/>
      <c r="G20" s="78"/>
      <c r="H20" s="78"/>
      <c r="I20" s="97"/>
    </row>
    <row r="21" spans="2:57" ht="13.8">
      <c r="B21" s="55" t="s">
        <v>175</v>
      </c>
      <c r="C21" s="50" t="s">
        <v>122</v>
      </c>
      <c r="D21" s="56">
        <v>1518</v>
      </c>
    </row>
    <row r="22" spans="2:57" ht="13.8">
      <c r="B22" s="55" t="s">
        <v>176</v>
      </c>
      <c r="C22" s="50" t="s">
        <v>122</v>
      </c>
      <c r="D22" s="56">
        <v>2000</v>
      </c>
    </row>
    <row r="23" spans="2:57" ht="13.8">
      <c r="B23" s="59" t="s">
        <v>177</v>
      </c>
      <c r="C23" s="60" t="s">
        <v>122</v>
      </c>
      <c r="D23" s="61">
        <v>1012</v>
      </c>
    </row>
    <row r="24" spans="2:57" ht="13.8">
      <c r="B24" s="50"/>
      <c r="C24" s="50"/>
      <c r="D24" s="50"/>
    </row>
    <row r="27" spans="2:57" ht="13.8">
      <c r="D27" s="352" t="s">
        <v>178</v>
      </c>
      <c r="E27" s="352"/>
      <c r="F27" s="352"/>
      <c r="G27" s="352"/>
      <c r="H27" s="352"/>
      <c r="I27" s="352"/>
      <c r="J27" s="352"/>
      <c r="K27" s="352"/>
      <c r="L27" s="352"/>
      <c r="M27" s="352"/>
      <c r="N27" s="352"/>
      <c r="O27" s="352"/>
      <c r="P27" s="352"/>
      <c r="Q27" s="352"/>
      <c r="R27" s="352"/>
      <c r="T27" s="353" t="s">
        <v>179</v>
      </c>
      <c r="U27" s="353"/>
      <c r="V27" s="353"/>
      <c r="X27" s="354" t="s">
        <v>180</v>
      </c>
      <c r="Y27" s="354"/>
      <c r="Z27" s="354"/>
      <c r="AA27"/>
      <c r="AB27" s="355" t="s">
        <v>181</v>
      </c>
      <c r="AC27" s="355"/>
      <c r="AD27" s="355"/>
      <c r="AE27" s="355"/>
      <c r="AF27" s="355"/>
      <c r="AG27" s="355"/>
      <c r="AH27" s="355"/>
      <c r="AI27" s="355"/>
      <c r="AJ27" s="355"/>
      <c r="AK27"/>
      <c r="AL27" s="346" t="s">
        <v>182</v>
      </c>
      <c r="AM27" s="346"/>
      <c r="AN27" s="346"/>
      <c r="AO27" s="346"/>
      <c r="AP27" s="346"/>
      <c r="AQ27" s="346"/>
      <c r="AS27" s="347" t="s">
        <v>183</v>
      </c>
      <c r="AT27" s="347"/>
      <c r="AU27" s="347"/>
      <c r="AV27" s="347"/>
      <c r="AW27" s="347"/>
      <c r="AX27" s="347"/>
      <c r="AZ27" s="348" t="s">
        <v>184</v>
      </c>
      <c r="BA27" s="348"/>
      <c r="BB27" s="348"/>
      <c r="BC27" s="348"/>
      <c r="BD27" s="348"/>
      <c r="BE27" s="348"/>
    </row>
    <row r="28" spans="2:57" ht="13.8">
      <c r="D28" s="349" t="s">
        <v>185</v>
      </c>
      <c r="E28" s="350" t="s">
        <v>186</v>
      </c>
      <c r="F28" s="350"/>
      <c r="G28" s="350"/>
      <c r="H28" s="350" t="s">
        <v>187</v>
      </c>
      <c r="I28" s="350" t="s">
        <v>188</v>
      </c>
      <c r="J28" s="350"/>
      <c r="K28" s="350" t="s">
        <v>108</v>
      </c>
      <c r="L28" s="350"/>
      <c r="M28" s="350" t="s">
        <v>189</v>
      </c>
      <c r="N28" s="350"/>
      <c r="O28" s="350" t="s">
        <v>190</v>
      </c>
      <c r="P28" s="350"/>
      <c r="Q28" s="340" t="s">
        <v>191</v>
      </c>
      <c r="R28" s="340"/>
      <c r="T28" s="110" t="s">
        <v>192</v>
      </c>
      <c r="U28" s="115" t="s">
        <v>193</v>
      </c>
      <c r="V28" s="116" t="s">
        <v>194</v>
      </c>
      <c r="X28" s="117" t="s">
        <v>192</v>
      </c>
      <c r="Y28" s="128" t="s">
        <v>193</v>
      </c>
      <c r="Z28" s="129" t="s">
        <v>194</v>
      </c>
      <c r="AA28"/>
      <c r="AB28" s="341" t="s">
        <v>126</v>
      </c>
      <c r="AC28" s="341"/>
      <c r="AD28" s="341"/>
      <c r="AE28" s="342" t="s">
        <v>127</v>
      </c>
      <c r="AF28" s="342"/>
      <c r="AG28" s="342"/>
      <c r="AH28" s="343" t="s">
        <v>128</v>
      </c>
      <c r="AI28" s="343"/>
      <c r="AJ28" s="343"/>
      <c r="AK28"/>
      <c r="AL28" s="344" t="s">
        <v>195</v>
      </c>
      <c r="AM28" s="344"/>
      <c r="AN28" s="345" t="s">
        <v>196</v>
      </c>
      <c r="AO28" s="345"/>
      <c r="AP28" s="334" t="s">
        <v>197</v>
      </c>
      <c r="AQ28" s="334"/>
      <c r="AS28" s="335" t="s">
        <v>195</v>
      </c>
      <c r="AT28" s="335"/>
      <c r="AU28" s="336" t="s">
        <v>196</v>
      </c>
      <c r="AV28" s="336"/>
      <c r="AW28" s="337" t="s">
        <v>197</v>
      </c>
      <c r="AX28" s="337"/>
      <c r="AZ28" s="338" t="s">
        <v>195</v>
      </c>
      <c r="BA28" s="338"/>
      <c r="BB28" s="339" t="s">
        <v>196</v>
      </c>
      <c r="BC28" s="339"/>
      <c r="BD28" s="331" t="s">
        <v>197</v>
      </c>
      <c r="BE28" s="331"/>
    </row>
    <row r="29" spans="2:57" ht="13.8">
      <c r="D29" s="349"/>
      <c r="E29" s="350"/>
      <c r="F29" s="350"/>
      <c r="G29" s="350"/>
      <c r="H29" s="350"/>
      <c r="I29" s="350"/>
      <c r="J29" s="350"/>
      <c r="K29" s="350"/>
      <c r="L29" s="350"/>
      <c r="M29" s="350"/>
      <c r="N29" s="350"/>
      <c r="O29" s="350"/>
      <c r="P29" s="350"/>
      <c r="Q29" s="340"/>
      <c r="R29" s="340"/>
      <c r="T29" s="110"/>
      <c r="U29" s="115"/>
      <c r="V29" s="116"/>
      <c r="X29" s="117"/>
      <c r="Y29" s="128"/>
      <c r="Z29" s="129"/>
      <c r="AA29"/>
      <c r="AB29" s="130" t="s">
        <v>192</v>
      </c>
      <c r="AC29" s="132" t="s">
        <v>193</v>
      </c>
      <c r="AD29" s="132" t="s">
        <v>194</v>
      </c>
      <c r="AE29" s="132" t="s">
        <v>192</v>
      </c>
      <c r="AF29" s="132" t="s">
        <v>198</v>
      </c>
      <c r="AG29" s="132" t="s">
        <v>194</v>
      </c>
      <c r="AH29" s="132" t="s">
        <v>192</v>
      </c>
      <c r="AI29" s="132" t="s">
        <v>193</v>
      </c>
      <c r="AJ29" s="133" t="s">
        <v>194</v>
      </c>
      <c r="AK29"/>
      <c r="AL29" s="134" t="s">
        <v>199</v>
      </c>
      <c r="AM29" s="135" t="s">
        <v>200</v>
      </c>
      <c r="AN29" s="135" t="s">
        <v>199</v>
      </c>
      <c r="AO29" s="135" t="s">
        <v>201</v>
      </c>
      <c r="AP29" s="135" t="s">
        <v>199</v>
      </c>
      <c r="AQ29" s="137" t="s">
        <v>201</v>
      </c>
      <c r="AS29" s="138" t="s">
        <v>199</v>
      </c>
      <c r="AT29" s="139" t="s">
        <v>200</v>
      </c>
      <c r="AU29" s="139" t="s">
        <v>199</v>
      </c>
      <c r="AV29" s="139" t="s">
        <v>201</v>
      </c>
      <c r="AW29" s="139" t="s">
        <v>199</v>
      </c>
      <c r="AX29" s="140" t="s">
        <v>201</v>
      </c>
      <c r="AZ29" s="141" t="s">
        <v>199</v>
      </c>
      <c r="BA29" s="142" t="s">
        <v>200</v>
      </c>
      <c r="BB29" s="142" t="s">
        <v>199</v>
      </c>
      <c r="BC29" s="142" t="s">
        <v>201</v>
      </c>
      <c r="BD29" s="142" t="s">
        <v>199</v>
      </c>
      <c r="BE29" s="143" t="s">
        <v>201</v>
      </c>
    </row>
    <row r="30" spans="2:57" ht="13.8">
      <c r="C30" s="50"/>
      <c r="D30" s="62" t="s">
        <v>202</v>
      </c>
      <c r="E30" s="79" t="s">
        <v>203</v>
      </c>
      <c r="F30" s="79" t="s">
        <v>204</v>
      </c>
      <c r="G30" s="79" t="s">
        <v>205</v>
      </c>
      <c r="H30" s="79" t="s">
        <v>106</v>
      </c>
      <c r="I30" s="79" t="s">
        <v>206</v>
      </c>
      <c r="J30" s="79" t="s">
        <v>207</v>
      </c>
      <c r="K30" s="79" t="s">
        <v>206</v>
      </c>
      <c r="L30" s="79" t="s">
        <v>207</v>
      </c>
      <c r="M30" s="79" t="s">
        <v>206</v>
      </c>
      <c r="N30" s="79" t="s">
        <v>207</v>
      </c>
      <c r="O30" s="332" t="s">
        <v>208</v>
      </c>
      <c r="P30" s="332"/>
      <c r="Q30" s="333" t="s">
        <v>208</v>
      </c>
      <c r="R30" s="333"/>
      <c r="T30" s="111" t="s">
        <v>208</v>
      </c>
      <c r="U30" s="118" t="s">
        <v>209</v>
      </c>
      <c r="V30" s="119" t="s">
        <v>209</v>
      </c>
      <c r="X30" s="111" t="s">
        <v>209</v>
      </c>
      <c r="Y30" s="118" t="s">
        <v>208</v>
      </c>
      <c r="Z30" s="119" t="s">
        <v>209</v>
      </c>
      <c r="AA30"/>
      <c r="AB30" s="105"/>
      <c r="AC30" s="34"/>
      <c r="AD30" s="34"/>
      <c r="AE30" s="34"/>
      <c r="AF30" s="34"/>
      <c r="AG30" s="34"/>
      <c r="AH30" s="34"/>
      <c r="AI30" s="34"/>
      <c r="AJ30" s="120"/>
      <c r="AK30"/>
      <c r="AL30" s="105"/>
      <c r="AM30" s="34"/>
      <c r="AN30" s="34"/>
      <c r="AO30" s="34"/>
      <c r="AP30" s="34"/>
      <c r="AQ30" s="120"/>
      <c r="AS30" s="105"/>
      <c r="AT30" s="34"/>
      <c r="AU30" s="34"/>
      <c r="AV30" s="34"/>
      <c r="AW30" s="34"/>
      <c r="AX30" s="120"/>
      <c r="AZ30" s="105"/>
      <c r="BA30" s="34"/>
      <c r="BB30" s="34"/>
      <c r="BC30" s="34"/>
      <c r="BD30" s="34"/>
      <c r="BE30" s="120"/>
    </row>
    <row r="31" spans="2:57" ht="13.8">
      <c r="D31" s="63">
        <v>0</v>
      </c>
      <c r="E31" s="80">
        <v>1.52</v>
      </c>
      <c r="F31" s="148">
        <v>1.4119999999999999</v>
      </c>
      <c r="G31" s="80"/>
      <c r="H31" s="80"/>
      <c r="I31" s="80">
        <v>0</v>
      </c>
      <c r="J31" s="148">
        <v>1000</v>
      </c>
      <c r="K31" s="148">
        <v>6</v>
      </c>
      <c r="L31" s="148">
        <v>11.5</v>
      </c>
      <c r="M31" s="151">
        <v>3825</v>
      </c>
      <c r="N31" s="151">
        <v>3825</v>
      </c>
      <c r="O31" s="329">
        <v>2000</v>
      </c>
      <c r="P31" s="329"/>
      <c r="Q31" s="330">
        <v>0</v>
      </c>
      <c r="R31" s="330"/>
      <c r="T31" s="105">
        <v>1012</v>
      </c>
      <c r="U31" s="34">
        <f>M31-$D$20-$D$19</f>
        <v>1518</v>
      </c>
      <c r="V31" s="120"/>
      <c r="X31" s="105"/>
      <c r="Y31" s="34">
        <v>40</v>
      </c>
      <c r="Z31" s="120"/>
      <c r="AA31"/>
      <c r="AB31" s="105"/>
      <c r="AC31" s="34">
        <f t="shared" ref="AC31:AC36" si="1">Z14</f>
        <v>0.23699999999999999</v>
      </c>
      <c r="AD31" s="34"/>
      <c r="AE31" s="34"/>
      <c r="AF31" s="34"/>
      <c r="AG31" s="34"/>
      <c r="AH31" s="34"/>
      <c r="AI31" s="34"/>
      <c r="AJ31" s="120"/>
      <c r="AK31"/>
      <c r="AL31" s="105"/>
      <c r="AM31" s="136">
        <f t="shared" ref="AM31:AM37" si="2">AC31*U32</f>
        <v>349.101</v>
      </c>
      <c r="AN31" s="34"/>
      <c r="AO31" s="34">
        <f t="shared" ref="AO31:AO37" si="3">Y31*AC31</f>
        <v>9.48</v>
      </c>
      <c r="AP31" s="34"/>
      <c r="AQ31" s="120"/>
      <c r="AS31" s="105"/>
      <c r="AT31" s="34"/>
      <c r="AU31" s="34"/>
      <c r="AV31" s="34"/>
      <c r="AW31" s="34"/>
      <c r="AX31" s="120"/>
      <c r="AZ31" s="105"/>
      <c r="BA31" s="34"/>
      <c r="BB31" s="34"/>
      <c r="BC31" s="34"/>
      <c r="BD31" s="34"/>
      <c r="BE31" s="120"/>
    </row>
    <row r="32" spans="2:57" ht="13.8">
      <c r="C32" s="45">
        <v>4</v>
      </c>
      <c r="D32" s="63">
        <v>2</v>
      </c>
      <c r="E32" s="80"/>
      <c r="F32" s="149">
        <v>0.94199999999999995</v>
      </c>
      <c r="G32" s="80"/>
      <c r="H32" s="80"/>
      <c r="I32" s="80"/>
      <c r="J32" s="148">
        <v>80</v>
      </c>
      <c r="K32" s="149">
        <v>8</v>
      </c>
      <c r="L32" s="149">
        <v>11.2</v>
      </c>
      <c r="M32" s="152">
        <v>3820</v>
      </c>
      <c r="N32" s="151">
        <v>3825</v>
      </c>
      <c r="O32" s="329">
        <v>2000</v>
      </c>
      <c r="P32" s="329"/>
      <c r="Q32" s="330">
        <v>40</v>
      </c>
      <c r="R32" s="330"/>
      <c r="T32" s="105"/>
      <c r="U32" s="34">
        <f t="shared" ref="U32:U34" si="4">M32-$D$20-$D$19-Q32</f>
        <v>1473</v>
      </c>
      <c r="V32" s="120"/>
      <c r="X32" s="105"/>
      <c r="Y32" s="34">
        <v>40</v>
      </c>
      <c r="Z32" s="120"/>
      <c r="AA32"/>
      <c r="AB32" s="105"/>
      <c r="AC32" s="34">
        <f t="shared" si="1"/>
        <v>0.32400000000000001</v>
      </c>
      <c r="AD32" s="34"/>
      <c r="AE32" s="34"/>
      <c r="AF32" s="34"/>
      <c r="AG32" s="34"/>
      <c r="AH32" s="34"/>
      <c r="AI32" s="34"/>
      <c r="AJ32" s="120"/>
      <c r="AK32"/>
      <c r="AL32" s="105"/>
      <c r="AM32" s="136">
        <f t="shared" si="2"/>
        <v>436.75200000000001</v>
      </c>
      <c r="AN32" s="34"/>
      <c r="AO32" s="34">
        <f t="shared" si="3"/>
        <v>12.96</v>
      </c>
      <c r="AP32" s="34"/>
      <c r="AQ32" s="120"/>
      <c r="AS32" s="105"/>
      <c r="AT32" s="34"/>
      <c r="AU32" s="34"/>
      <c r="AV32" s="34"/>
      <c r="AW32" s="34"/>
      <c r="AX32" s="120"/>
      <c r="AZ32" s="105"/>
      <c r="BA32" s="34"/>
      <c r="BB32" s="34"/>
      <c r="BC32" s="34"/>
      <c r="BD32" s="34"/>
      <c r="BE32" s="120"/>
    </row>
    <row r="33" spans="3:57" ht="13.8">
      <c r="C33" s="45">
        <v>4</v>
      </c>
      <c r="D33" s="63">
        <v>4</v>
      </c>
      <c r="E33" s="80"/>
      <c r="F33" s="149">
        <v>0.82</v>
      </c>
      <c r="G33" s="80"/>
      <c r="H33" s="80"/>
      <c r="I33" s="80"/>
      <c r="J33" s="148">
        <v>20</v>
      </c>
      <c r="K33" s="149">
        <v>9.4</v>
      </c>
      <c r="L33" s="149">
        <v>11.5</v>
      </c>
      <c r="M33" s="152">
        <v>3695</v>
      </c>
      <c r="N33" s="151">
        <v>3825</v>
      </c>
      <c r="O33" s="329">
        <v>2000</v>
      </c>
      <c r="P33" s="329"/>
      <c r="Q33" s="330">
        <v>40</v>
      </c>
      <c r="R33" s="330"/>
      <c r="T33" s="105"/>
      <c r="U33" s="34">
        <f t="shared" si="4"/>
        <v>1348</v>
      </c>
      <c r="V33" s="120"/>
      <c r="X33" s="105"/>
      <c r="Y33" s="34">
        <v>40</v>
      </c>
      <c r="Z33" s="120"/>
      <c r="AA33"/>
      <c r="AB33" s="105"/>
      <c r="AC33" s="34">
        <f t="shared" si="1"/>
        <v>0.33600000000000002</v>
      </c>
      <c r="AD33" s="34"/>
      <c r="AE33" s="34"/>
      <c r="AF33" s="34"/>
      <c r="AG33" s="34"/>
      <c r="AH33" s="34"/>
      <c r="AI33" s="34"/>
      <c r="AJ33" s="120"/>
      <c r="AK33"/>
      <c r="AL33" s="105"/>
      <c r="AM33" s="136">
        <f t="shared" si="2"/>
        <v>441.16800000000001</v>
      </c>
      <c r="AN33" s="34"/>
      <c r="AO33" s="34">
        <f t="shared" si="3"/>
        <v>13.440000000000001</v>
      </c>
      <c r="AP33" s="34"/>
      <c r="AQ33" s="120"/>
      <c r="AS33" s="105"/>
      <c r="AT33" s="34"/>
      <c r="AU33" s="34"/>
      <c r="AV33" s="34"/>
      <c r="AW33" s="34"/>
      <c r="AX33" s="120"/>
      <c r="AZ33" s="105"/>
      <c r="BA33" s="34"/>
      <c r="BB33" s="34"/>
      <c r="BC33" s="34"/>
      <c r="BD33" s="34"/>
      <c r="BE33" s="120"/>
    </row>
    <row r="34" spans="3:57" ht="13.8">
      <c r="C34" s="45">
        <v>4</v>
      </c>
      <c r="D34" s="63">
        <v>8</v>
      </c>
      <c r="E34" s="80"/>
      <c r="F34" s="12">
        <v>0.80400000000000005</v>
      </c>
      <c r="G34" s="80"/>
      <c r="H34" s="80"/>
      <c r="I34" s="80"/>
      <c r="J34" s="148">
        <v>20</v>
      </c>
      <c r="K34" s="12">
        <v>10.4</v>
      </c>
      <c r="L34" s="12">
        <v>11.5</v>
      </c>
      <c r="M34" s="153">
        <v>3660</v>
      </c>
      <c r="N34" s="151">
        <v>3825</v>
      </c>
      <c r="O34" s="329">
        <v>2000</v>
      </c>
      <c r="P34" s="329"/>
      <c r="Q34" s="330">
        <v>40</v>
      </c>
      <c r="R34" s="330"/>
      <c r="T34" s="105"/>
      <c r="U34" s="34">
        <f t="shared" si="4"/>
        <v>1313</v>
      </c>
      <c r="V34" s="120"/>
      <c r="X34" s="105"/>
      <c r="Y34" s="34">
        <v>40</v>
      </c>
      <c r="Z34" s="120"/>
      <c r="AA34"/>
      <c r="AB34" s="105"/>
      <c r="AC34" s="34">
        <f t="shared" si="1"/>
        <v>0.35699999999999998</v>
      </c>
      <c r="AD34" s="34"/>
      <c r="AE34" s="34"/>
      <c r="AF34" s="34"/>
      <c r="AG34" s="34"/>
      <c r="AH34" s="34"/>
      <c r="AI34" s="34"/>
      <c r="AJ34" s="120"/>
      <c r="AK34"/>
      <c r="AL34" s="105"/>
      <c r="AM34" s="136">
        <f t="shared" si="2"/>
        <v>485.16299999999995</v>
      </c>
      <c r="AN34" s="34"/>
      <c r="AO34" s="34">
        <f t="shared" si="3"/>
        <v>14.28</v>
      </c>
      <c r="AP34" s="34"/>
      <c r="AQ34" s="120"/>
      <c r="AS34" s="105"/>
      <c r="AT34" s="34"/>
      <c r="AU34" s="34"/>
      <c r="AV34" s="34"/>
      <c r="AW34" s="34"/>
      <c r="AX34" s="120"/>
      <c r="AZ34" s="105"/>
      <c r="BA34" s="34"/>
      <c r="BB34" s="34"/>
      <c r="BC34" s="34"/>
      <c r="BD34" s="34"/>
      <c r="BE34" s="120"/>
    </row>
    <row r="35" spans="3:57" ht="13.8">
      <c r="C35" s="45">
        <v>4</v>
      </c>
      <c r="D35" s="63">
        <v>12</v>
      </c>
      <c r="E35" s="80"/>
      <c r="F35" s="12">
        <v>0</v>
      </c>
      <c r="G35" s="80">
        <v>2</v>
      </c>
      <c r="H35" s="80"/>
      <c r="I35" s="80"/>
      <c r="J35" s="148">
        <v>20</v>
      </c>
      <c r="K35" s="12">
        <v>11.4</v>
      </c>
      <c r="L35" s="149">
        <v>11.4</v>
      </c>
      <c r="M35" s="153">
        <v>3710</v>
      </c>
      <c r="N35" s="151">
        <v>3825</v>
      </c>
      <c r="O35" s="329">
        <v>2000</v>
      </c>
      <c r="P35" s="329"/>
      <c r="Q35" s="330">
        <v>40</v>
      </c>
      <c r="R35" s="330"/>
      <c r="T35" s="105"/>
      <c r="U35" s="34">
        <f t="shared" ref="U35:U37" si="5">M35-$D$20-$D$19-4-Q35</f>
        <v>1359</v>
      </c>
      <c r="V35" s="120"/>
      <c r="X35" s="105"/>
      <c r="Y35" s="34">
        <v>40</v>
      </c>
      <c r="Z35" s="120"/>
      <c r="AA35"/>
      <c r="AB35" s="105"/>
      <c r="AC35" s="34">
        <f t="shared" si="1"/>
        <v>4.9000000000000002E-2</v>
      </c>
      <c r="AD35" s="34"/>
      <c r="AE35" s="34"/>
      <c r="AF35" s="34"/>
      <c r="AG35" s="34"/>
      <c r="AH35" s="34"/>
      <c r="AI35" s="34"/>
      <c r="AJ35" s="120"/>
      <c r="AK35"/>
      <c r="AL35" s="105"/>
      <c r="AM35" s="136">
        <f t="shared" si="2"/>
        <v>61.201000000000001</v>
      </c>
      <c r="AN35" s="34"/>
      <c r="AO35" s="34">
        <f t="shared" si="3"/>
        <v>1.96</v>
      </c>
      <c r="AP35" s="34"/>
      <c r="AQ35" s="120"/>
      <c r="AS35" s="105"/>
      <c r="AT35" s="34"/>
      <c r="AU35" s="34"/>
      <c r="AV35" s="34"/>
      <c r="AW35" s="34"/>
      <c r="AX35" s="120"/>
      <c r="AZ35" s="105"/>
      <c r="BA35" s="34"/>
      <c r="BB35" s="34"/>
      <c r="BC35" s="34"/>
      <c r="BD35" s="34"/>
      <c r="BE35" s="120"/>
    </row>
    <row r="36" spans="3:57" ht="13.8">
      <c r="D36" s="63">
        <v>24</v>
      </c>
      <c r="E36" s="80"/>
      <c r="F36" s="12">
        <v>0.873</v>
      </c>
      <c r="G36" s="80"/>
      <c r="H36" s="80"/>
      <c r="I36" s="80"/>
      <c r="J36" s="148">
        <v>20</v>
      </c>
      <c r="K36" s="12">
        <v>11.3</v>
      </c>
      <c r="L36" s="149">
        <v>11.3</v>
      </c>
      <c r="M36" s="153">
        <v>3600</v>
      </c>
      <c r="N36" s="151">
        <v>3825</v>
      </c>
      <c r="O36" s="329">
        <v>2000</v>
      </c>
      <c r="P36" s="329"/>
      <c r="Q36" s="330">
        <v>40</v>
      </c>
      <c r="R36" s="330"/>
      <c r="T36" s="105"/>
      <c r="U36" s="34">
        <f t="shared" si="5"/>
        <v>1249</v>
      </c>
      <c r="V36" s="120"/>
      <c r="X36" s="105"/>
      <c r="Y36" s="34">
        <v>40</v>
      </c>
      <c r="Z36" s="120"/>
      <c r="AA36"/>
      <c r="AB36" s="131">
        <f>G12</f>
        <v>0.504</v>
      </c>
      <c r="AC36" s="34">
        <f t="shared" si="1"/>
        <v>1.9E-2</v>
      </c>
      <c r="AD36" s="34"/>
      <c r="AE36" s="34">
        <f>H12</f>
        <v>0.68666666666666665</v>
      </c>
      <c r="AF36" s="34"/>
      <c r="AG36" s="34"/>
      <c r="AH36" s="112">
        <f>I12</f>
        <v>10.9</v>
      </c>
      <c r="AI36" s="34"/>
      <c r="AJ36" s="120"/>
      <c r="AK36"/>
      <c r="AL36" s="105">
        <f>AB36*T31</f>
        <v>510.048</v>
      </c>
      <c r="AM36" s="136">
        <f t="shared" si="2"/>
        <v>25.061</v>
      </c>
      <c r="AN36" s="34"/>
      <c r="AO36" s="34">
        <f t="shared" si="3"/>
        <v>0.76</v>
      </c>
      <c r="AP36" s="34"/>
      <c r="AQ36" s="120"/>
      <c r="AS36" s="105"/>
      <c r="AT36" s="34"/>
      <c r="AU36" s="34"/>
      <c r="AV36" s="34"/>
      <c r="AW36" s="34"/>
      <c r="AX36" s="120"/>
      <c r="AZ36" s="105"/>
      <c r="BA36" s="34"/>
      <c r="BB36" s="34"/>
      <c r="BC36" s="34"/>
      <c r="BD36" s="34"/>
      <c r="BE36" s="120"/>
    </row>
    <row r="37" spans="3:57" ht="13.8">
      <c r="D37" s="63">
        <v>48</v>
      </c>
      <c r="E37" s="80"/>
      <c r="F37" s="80"/>
      <c r="G37" s="80"/>
      <c r="H37" s="80"/>
      <c r="I37" s="80"/>
      <c r="J37" s="148">
        <v>20</v>
      </c>
      <c r="K37" s="80"/>
      <c r="L37" s="80"/>
      <c r="M37" s="153">
        <v>3670</v>
      </c>
      <c r="N37" s="12"/>
      <c r="O37" s="329">
        <v>2000</v>
      </c>
      <c r="P37" s="329"/>
      <c r="Q37" s="330">
        <v>40</v>
      </c>
      <c r="R37" s="330"/>
      <c r="T37" s="105"/>
      <c r="U37" s="34">
        <f t="shared" si="5"/>
        <v>1319</v>
      </c>
      <c r="V37" s="120"/>
      <c r="X37" s="105">
        <v>1012</v>
      </c>
      <c r="Y37" s="34">
        <v>40</v>
      </c>
      <c r="Z37" s="120">
        <v>2</v>
      </c>
      <c r="AA37"/>
      <c r="AB37" s="105"/>
      <c r="AC37" s="34"/>
      <c r="AD37" s="34"/>
      <c r="AE37" s="34"/>
      <c r="AF37" s="34"/>
      <c r="AG37" s="34"/>
      <c r="AH37" s="34"/>
      <c r="AI37" s="34"/>
      <c r="AJ37" s="120"/>
      <c r="AK37"/>
      <c r="AL37" s="105"/>
      <c r="AM37" s="136">
        <f t="shared" si="2"/>
        <v>0</v>
      </c>
      <c r="AN37" s="34"/>
      <c r="AO37" s="34">
        <f t="shared" si="3"/>
        <v>0</v>
      </c>
      <c r="AP37" s="34"/>
      <c r="AQ37" s="120"/>
      <c r="AS37" s="105"/>
      <c r="AT37" s="34"/>
      <c r="AU37" s="34"/>
      <c r="AV37" s="34"/>
      <c r="AW37" s="34"/>
      <c r="AX37" s="120"/>
      <c r="AZ37" s="105"/>
      <c r="BA37" s="34"/>
      <c r="BB37" s="34"/>
      <c r="BC37" s="34"/>
      <c r="BD37" s="34"/>
      <c r="BE37" s="120"/>
    </row>
    <row r="38" spans="3:57" ht="13.8">
      <c r="D38" s="64" t="s">
        <v>210</v>
      </c>
      <c r="E38" s="80">
        <v>1.52</v>
      </c>
      <c r="F38" s="80">
        <f>SUM(F31:F37)</f>
        <v>4.851</v>
      </c>
      <c r="G38" s="80">
        <f>SUM(G31:G37)</f>
        <v>2</v>
      </c>
      <c r="H38" s="80"/>
      <c r="I38" s="80"/>
      <c r="J38" s="80"/>
      <c r="K38" s="80"/>
      <c r="L38" s="80"/>
      <c r="M38" s="80"/>
      <c r="N38" s="80"/>
      <c r="O38" s="329"/>
      <c r="P38" s="329"/>
      <c r="Q38" s="330"/>
      <c r="R38" s="330"/>
      <c r="T38" s="105"/>
      <c r="U38" s="34"/>
      <c r="V38" s="120"/>
      <c r="X38" s="105"/>
      <c r="Y38" s="34"/>
      <c r="Z38" s="120"/>
      <c r="AA38"/>
      <c r="AB38" s="105"/>
      <c r="AC38" s="34"/>
      <c r="AD38" s="34"/>
      <c r="AE38" s="34"/>
      <c r="AF38" s="34"/>
      <c r="AG38" s="34"/>
      <c r="AH38" s="34"/>
      <c r="AI38" s="34"/>
      <c r="AJ38" s="120"/>
      <c r="AK38"/>
      <c r="AL38" s="105"/>
      <c r="AM38" s="34"/>
      <c r="AN38" s="34"/>
      <c r="AO38" s="34"/>
      <c r="AP38" s="34"/>
      <c r="AQ38" s="120"/>
      <c r="AS38" s="105"/>
      <c r="AT38" s="34"/>
      <c r="AU38" s="34"/>
      <c r="AV38" s="34"/>
      <c r="AW38" s="34"/>
      <c r="AX38" s="120"/>
      <c r="AZ38" s="105"/>
      <c r="BA38" s="34"/>
      <c r="BB38" s="34"/>
      <c r="BC38" s="34"/>
      <c r="BD38" s="34"/>
      <c r="BE38" s="120"/>
    </row>
    <row r="39" spans="3:57" ht="13.8">
      <c r="D39" s="65" t="s">
        <v>211</v>
      </c>
      <c r="E39" s="323">
        <v>0</v>
      </c>
      <c r="F39" s="323"/>
      <c r="G39" s="323"/>
      <c r="H39" s="81"/>
      <c r="I39" s="81"/>
      <c r="J39" s="81"/>
      <c r="K39" s="81"/>
      <c r="L39" s="81"/>
      <c r="M39" s="81"/>
      <c r="N39" s="81"/>
      <c r="O39" s="323"/>
      <c r="P39" s="323"/>
      <c r="Q39" s="324"/>
      <c r="R39" s="324"/>
      <c r="T39" s="108"/>
      <c r="U39" s="109"/>
      <c r="V39" s="121"/>
      <c r="X39" s="108"/>
      <c r="Y39" s="109"/>
      <c r="Z39" s="121"/>
      <c r="AA39"/>
      <c r="AB39" s="108"/>
      <c r="AC39" s="109"/>
      <c r="AD39" s="109"/>
      <c r="AE39" s="109"/>
      <c r="AF39" s="109"/>
      <c r="AG39" s="109"/>
      <c r="AH39" s="109"/>
      <c r="AI39" s="109"/>
      <c r="AJ39" s="121"/>
      <c r="AK39"/>
      <c r="AL39" s="108"/>
      <c r="AM39" s="109"/>
      <c r="AN39" s="109"/>
      <c r="AO39" s="109"/>
      <c r="AP39" s="109"/>
      <c r="AQ39" s="121"/>
      <c r="AS39" s="108"/>
      <c r="AT39" s="109"/>
      <c r="AU39" s="109"/>
      <c r="AV39" s="109"/>
      <c r="AW39" s="109"/>
      <c r="AX39" s="121"/>
      <c r="AZ39" s="108"/>
      <c r="BA39" s="109"/>
      <c r="BB39" s="109"/>
      <c r="BC39" s="109"/>
      <c r="BD39" s="109"/>
      <c r="BE39" s="121"/>
    </row>
    <row r="42" spans="3:57" ht="13.8">
      <c r="D42" s="325" t="s">
        <v>212</v>
      </c>
      <c r="E42" s="325"/>
      <c r="F42" s="325"/>
      <c r="H42" s="326" t="s">
        <v>213</v>
      </c>
      <c r="I42" s="326"/>
      <c r="J42" s="326"/>
    </row>
    <row r="43" spans="3:57" ht="13.8">
      <c r="D43" s="327" t="s">
        <v>214</v>
      </c>
      <c r="E43" s="327"/>
      <c r="F43" s="327"/>
      <c r="H43" s="328" t="s">
        <v>215</v>
      </c>
      <c r="I43" s="328"/>
      <c r="J43" s="328"/>
    </row>
    <row r="44" spans="3:57" ht="13.8">
      <c r="D44" s="66" t="s">
        <v>126</v>
      </c>
      <c r="E44" s="82" t="s">
        <v>127</v>
      </c>
      <c r="F44" s="83" t="s">
        <v>128</v>
      </c>
      <c r="H44" s="84" t="s">
        <v>126</v>
      </c>
      <c r="I44" s="98" t="s">
        <v>127</v>
      </c>
      <c r="J44" s="99" t="s">
        <v>128</v>
      </c>
    </row>
    <row r="45" spans="3:57" ht="13.8">
      <c r="D45" s="67">
        <f>AM31+AO31</f>
        <v>358.58100000000002</v>
      </c>
      <c r="E45" s="50"/>
      <c r="F45" s="56"/>
      <c r="H45" s="85">
        <f t="shared" ref="H45:H50" si="6">D45/$G$15</f>
        <v>0.31611059343960829</v>
      </c>
      <c r="I45" s="50"/>
      <c r="J45" s="56"/>
    </row>
    <row r="46" spans="3:57" ht="13.8">
      <c r="D46" s="67">
        <f>AM32+AO31+AO32</f>
        <v>459.19200000000001</v>
      </c>
      <c r="E46" s="50"/>
      <c r="F46" s="56"/>
      <c r="H46" s="85">
        <f t="shared" si="6"/>
        <v>0.40480520613953502</v>
      </c>
      <c r="I46" s="50"/>
      <c r="J46" s="56"/>
    </row>
    <row r="47" spans="3:57" ht="13.8">
      <c r="D47" s="67">
        <f>AM33+SUM(AO31:AO33)</f>
        <v>477.048</v>
      </c>
      <c r="E47" s="50"/>
      <c r="F47" s="56"/>
      <c r="H47" s="85">
        <f t="shared" si="6"/>
        <v>0.42054633786837076</v>
      </c>
      <c r="I47" s="50"/>
      <c r="J47" s="56"/>
    </row>
    <row r="48" spans="3:57" ht="13.8">
      <c r="D48" s="67">
        <f>AM34+SUM(AO31:AO34)</f>
        <v>535.32299999999998</v>
      </c>
      <c r="E48" s="50"/>
      <c r="F48" s="56"/>
      <c r="H48" s="85">
        <f t="shared" si="6"/>
        <v>0.4719192350176708</v>
      </c>
      <c r="I48" s="50"/>
      <c r="J48" s="56"/>
    </row>
    <row r="49" spans="4:10" ht="13.8">
      <c r="D49" s="67">
        <f>AM35+AM34+SUM(AO31:AO35)</f>
        <v>598.48399999999992</v>
      </c>
      <c r="E49" s="50"/>
      <c r="F49" s="56"/>
      <c r="H49" s="85">
        <f t="shared" si="6"/>
        <v>0.52759943333336257</v>
      </c>
      <c r="I49" s="50"/>
      <c r="J49" s="56"/>
    </row>
    <row r="50" spans="4:10" ht="13.8">
      <c r="D50" s="68">
        <f>AM36+AM35+AM34+SUM(AO31:AO36)</f>
        <v>624.30499999999995</v>
      </c>
      <c r="E50" s="60"/>
      <c r="F50" s="61"/>
      <c r="H50" s="86">
        <f t="shared" si="6"/>
        <v>0.55036218884245025</v>
      </c>
      <c r="I50" s="60"/>
      <c r="J50" s="61"/>
    </row>
  </sheetData>
  <mergeCells count="62">
    <mergeCell ref="T27:V27"/>
    <mergeCell ref="X27:Z27"/>
    <mergeCell ref="AB27:AJ27"/>
    <mergeCell ref="AL27:AQ27"/>
    <mergeCell ref="B2:F2"/>
    <mergeCell ref="U3:X3"/>
    <mergeCell ref="Y3:AB3"/>
    <mergeCell ref="B9:D9"/>
    <mergeCell ref="F9:I9"/>
    <mergeCell ref="K9:M9"/>
    <mergeCell ref="S3:S5"/>
    <mergeCell ref="T4:T5"/>
    <mergeCell ref="AS27:AX27"/>
    <mergeCell ref="AZ27:BE27"/>
    <mergeCell ref="AB28:AD28"/>
    <mergeCell ref="AE28:AG28"/>
    <mergeCell ref="AH28:AJ28"/>
    <mergeCell ref="AL28:AM28"/>
    <mergeCell ref="AN28:AO28"/>
    <mergeCell ref="AP28:AQ28"/>
    <mergeCell ref="AS28:AT28"/>
    <mergeCell ref="AU28:AV28"/>
    <mergeCell ref="AW28:AX28"/>
    <mergeCell ref="AZ28:BA28"/>
    <mergeCell ref="BB28:BC28"/>
    <mergeCell ref="BD28:BE28"/>
    <mergeCell ref="O30:P30"/>
    <mergeCell ref="Q30:R30"/>
    <mergeCell ref="O31:P31"/>
    <mergeCell ref="Q31:R31"/>
    <mergeCell ref="O32:P32"/>
    <mergeCell ref="Q32:R32"/>
    <mergeCell ref="O38:P38"/>
    <mergeCell ref="Q38:R38"/>
    <mergeCell ref="O33:P33"/>
    <mergeCell ref="Q33:R33"/>
    <mergeCell ref="O34:P34"/>
    <mergeCell ref="Q34:R34"/>
    <mergeCell ref="O35:P35"/>
    <mergeCell ref="Q35:R35"/>
    <mergeCell ref="F15:F16"/>
    <mergeCell ref="F19:F20"/>
    <mergeCell ref="H28:H29"/>
    <mergeCell ref="E28:G29"/>
    <mergeCell ref="I28:J29"/>
    <mergeCell ref="D27:R27"/>
    <mergeCell ref="K28:L29"/>
    <mergeCell ref="M28:N29"/>
    <mergeCell ref="O28:P29"/>
    <mergeCell ref="Q28:R29"/>
    <mergeCell ref="D43:F43"/>
    <mergeCell ref="H43:J43"/>
    <mergeCell ref="D28:D29"/>
    <mergeCell ref="E39:G39"/>
    <mergeCell ref="O39:P39"/>
    <mergeCell ref="Q39:R39"/>
    <mergeCell ref="D42:F42"/>
    <mergeCell ref="H42:J42"/>
    <mergeCell ref="O36:P36"/>
    <mergeCell ref="Q36:R36"/>
    <mergeCell ref="O37:P37"/>
    <mergeCell ref="Q37:R37"/>
  </mergeCells>
  <pageMargins left="0.7" right="0.7" top="0.75" bottom="0.75" header="0.511811023622047" footer="0.511811023622047"/>
  <pageSetup orientation="portrait" horizontalDpi="300" verticalDpi="300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>
    <tabColor theme="9" tint="0.59999389629810485"/>
  </sheetPr>
  <dimension ref="B2:BE50"/>
  <sheetViews>
    <sheetView topLeftCell="A11" zoomScale="85" zoomScaleNormal="85" workbookViewId="0"/>
  </sheetViews>
  <sheetFormatPr defaultColWidth="10" defaultRowHeight="16.2" customHeight="1"/>
  <cols>
    <col min="1" max="1" width="10" style="45"/>
    <col min="2" max="2" width="23.8984375" style="45" customWidth="1"/>
    <col min="3" max="3" width="2.3984375" style="45" customWidth="1"/>
    <col min="4" max="4" width="19.5" style="45" customWidth="1"/>
    <col min="5" max="5" width="10" style="45"/>
    <col min="6" max="6" width="16.69921875" style="45" customWidth="1"/>
    <col min="7" max="8" width="11.09765625" style="45" customWidth="1"/>
    <col min="9" max="9" width="10" style="45"/>
    <col min="10" max="10" width="12.59765625" style="45"/>
    <col min="11" max="11" width="10" style="45"/>
    <col min="12" max="12" width="12.59765625" style="45"/>
    <col min="13" max="19" width="10" style="45"/>
    <col min="20" max="20" width="26.296875" style="45" customWidth="1"/>
    <col min="21" max="16384" width="10" style="45"/>
  </cols>
  <sheetData>
    <row r="2" spans="2:28" ht="13.8">
      <c r="B2" s="356" t="s">
        <v>116</v>
      </c>
      <c r="C2" s="356"/>
      <c r="D2" s="356"/>
      <c r="E2" s="356"/>
      <c r="F2" s="356"/>
    </row>
    <row r="3" spans="2:28" ht="13.8">
      <c r="S3" s="357" t="s">
        <v>117</v>
      </c>
      <c r="T3" s="103" t="s">
        <v>118</v>
      </c>
      <c r="U3" s="358" t="s">
        <v>119</v>
      </c>
      <c r="V3" s="358"/>
      <c r="W3" s="358"/>
      <c r="X3" s="358"/>
      <c r="Y3" s="359" t="s">
        <v>120</v>
      </c>
      <c r="Z3" s="359"/>
      <c r="AA3" s="359"/>
      <c r="AB3" s="359"/>
    </row>
    <row r="4" spans="2:28" ht="13.8">
      <c r="B4" s="46" t="s">
        <v>121</v>
      </c>
      <c r="C4" s="47" t="s">
        <v>122</v>
      </c>
      <c r="D4" s="48"/>
      <c r="E4" s="48"/>
      <c r="F4" s="48"/>
      <c r="G4" s="48"/>
      <c r="H4" s="48"/>
      <c r="I4" s="87"/>
      <c r="S4" s="357"/>
      <c r="T4" s="360" t="s">
        <v>124</v>
      </c>
      <c r="U4" s="104" t="s">
        <v>125</v>
      </c>
      <c r="V4" s="104" t="s">
        <v>126</v>
      </c>
      <c r="W4" s="104" t="s">
        <v>127</v>
      </c>
      <c r="X4" s="104" t="s">
        <v>128</v>
      </c>
      <c r="Y4" s="104" t="s">
        <v>125</v>
      </c>
      <c r="Z4" s="104" t="s">
        <v>126</v>
      </c>
      <c r="AA4" s="104" t="s">
        <v>127</v>
      </c>
      <c r="AB4" s="122" t="s">
        <v>128</v>
      </c>
    </row>
    <row r="5" spans="2:28" ht="13.8">
      <c r="B5" s="49" t="s">
        <v>129</v>
      </c>
      <c r="C5" s="50" t="s">
        <v>122</v>
      </c>
      <c r="I5" s="88"/>
      <c r="S5" s="357"/>
      <c r="T5" s="360"/>
      <c r="U5" s="104" t="s">
        <v>131</v>
      </c>
      <c r="V5" s="104" t="s">
        <v>106</v>
      </c>
      <c r="W5" s="104" t="s">
        <v>106</v>
      </c>
      <c r="X5" s="104" t="s">
        <v>106</v>
      </c>
      <c r="Y5" s="104" t="s">
        <v>131</v>
      </c>
      <c r="Z5" s="104" t="s">
        <v>106</v>
      </c>
      <c r="AA5" s="104" t="s">
        <v>106</v>
      </c>
      <c r="AB5" s="122" t="s">
        <v>106</v>
      </c>
    </row>
    <row r="6" spans="2:28" ht="13.8">
      <c r="B6" s="49" t="s">
        <v>132</v>
      </c>
      <c r="C6" s="50" t="s">
        <v>122</v>
      </c>
      <c r="D6" s="51"/>
      <c r="I6" s="88"/>
      <c r="S6" s="105">
        <v>1</v>
      </c>
      <c r="T6" s="34" t="s">
        <v>134</v>
      </c>
      <c r="U6" s="112"/>
      <c r="V6" s="34">
        <v>0.81699999999999995</v>
      </c>
      <c r="W6" s="34">
        <v>0.59599999999999997</v>
      </c>
      <c r="X6" s="34">
        <v>9.5419999999999998</v>
      </c>
      <c r="Y6" s="34"/>
      <c r="Z6" s="34"/>
      <c r="AA6" s="34"/>
      <c r="AB6" s="120"/>
    </row>
    <row r="7" spans="2:28" ht="13.8">
      <c r="B7" s="52" t="s">
        <v>135</v>
      </c>
      <c r="C7" s="53" t="s">
        <v>122</v>
      </c>
      <c r="D7" s="54"/>
      <c r="E7" s="54"/>
      <c r="F7" s="54"/>
      <c r="G7" s="54"/>
      <c r="H7" s="54"/>
      <c r="I7" s="89"/>
      <c r="S7" s="105">
        <v>2</v>
      </c>
      <c r="T7" s="34" t="s">
        <v>137</v>
      </c>
      <c r="U7" s="34"/>
      <c r="V7" s="112">
        <v>0.77200000000000002</v>
      </c>
      <c r="W7" s="112">
        <v>0.51400000000000001</v>
      </c>
      <c r="X7" s="34">
        <v>9.7479999999999993</v>
      </c>
      <c r="Y7" s="34"/>
      <c r="Z7" s="34"/>
      <c r="AA7" s="34"/>
      <c r="AB7" s="120"/>
    </row>
    <row r="8" spans="2:28" ht="13.8">
      <c r="S8" s="105">
        <v>3</v>
      </c>
      <c r="T8" s="34" t="s">
        <v>138</v>
      </c>
      <c r="U8" s="34"/>
      <c r="V8" s="112">
        <v>0.61799999999999999</v>
      </c>
      <c r="W8" s="34">
        <v>0.53300000000000003</v>
      </c>
      <c r="X8" s="34">
        <v>9.7490000000000006</v>
      </c>
      <c r="Y8" s="34"/>
      <c r="Z8" s="34"/>
      <c r="AA8" s="34"/>
      <c r="AB8" s="120"/>
    </row>
    <row r="9" spans="2:28" ht="13.8">
      <c r="B9" s="361" t="s">
        <v>139</v>
      </c>
      <c r="C9" s="361"/>
      <c r="D9" s="361"/>
      <c r="F9" s="362" t="s">
        <v>140</v>
      </c>
      <c r="G9" s="362"/>
      <c r="H9" s="362"/>
      <c r="I9" s="362"/>
      <c r="K9" s="363" t="s">
        <v>141</v>
      </c>
      <c r="L9" s="363"/>
      <c r="M9" s="363"/>
      <c r="S9" s="105">
        <v>4</v>
      </c>
      <c r="T9" s="106" t="s">
        <v>142</v>
      </c>
      <c r="U9" s="112"/>
      <c r="V9" s="34"/>
      <c r="W9" s="34"/>
      <c r="X9" s="34"/>
      <c r="Y9" s="34"/>
      <c r="Z9" s="34"/>
      <c r="AA9" s="34"/>
      <c r="AB9" s="120"/>
    </row>
    <row r="10" spans="2:28" ht="13.8">
      <c r="B10" s="55" t="s">
        <v>108</v>
      </c>
      <c r="C10" s="50" t="s">
        <v>122</v>
      </c>
      <c r="D10" s="56" t="s">
        <v>143</v>
      </c>
      <c r="F10" s="69"/>
      <c r="G10" s="70" t="s">
        <v>126</v>
      </c>
      <c r="H10" s="70" t="s">
        <v>127</v>
      </c>
      <c r="I10" s="90" t="s">
        <v>128</v>
      </c>
      <c r="K10" s="62" t="s">
        <v>144</v>
      </c>
      <c r="L10" s="91">
        <f>(F38/1012)*1000</f>
        <v>6.4229249011857705</v>
      </c>
      <c r="M10" s="100" t="s">
        <v>145</v>
      </c>
      <c r="S10" s="105">
        <v>5</v>
      </c>
      <c r="T10" s="34" t="s">
        <v>146</v>
      </c>
      <c r="U10" s="112"/>
      <c r="V10" s="34">
        <v>0.104</v>
      </c>
      <c r="W10" s="113">
        <v>0.3</v>
      </c>
      <c r="X10" s="34">
        <v>7.69</v>
      </c>
      <c r="Y10" s="34"/>
      <c r="Z10" s="34"/>
      <c r="AA10" s="34"/>
      <c r="AB10" s="120"/>
    </row>
    <row r="11" spans="2:28" ht="13.8">
      <c r="B11" s="55" t="s">
        <v>147</v>
      </c>
      <c r="C11" s="50" t="s">
        <v>122</v>
      </c>
      <c r="D11" s="56">
        <v>1000</v>
      </c>
      <c r="F11" s="71" t="s">
        <v>148</v>
      </c>
      <c r="G11" s="72">
        <f t="shared" ref="G11:I11" si="0">AVERAGE(V6:V8)</f>
        <v>0.73566666666666658</v>
      </c>
      <c r="H11" s="72">
        <f t="shared" si="0"/>
        <v>0.54766666666666663</v>
      </c>
      <c r="I11" s="92">
        <f t="shared" si="0"/>
        <v>9.6796666666666678</v>
      </c>
      <c r="K11" s="62" t="s">
        <v>149</v>
      </c>
      <c r="L11" s="91">
        <f>((E38-(($J37*1518)/10000000))/1012)*1000</f>
        <v>1.5019762845849802</v>
      </c>
      <c r="M11" s="100" t="s">
        <v>145</v>
      </c>
      <c r="S11" s="105">
        <v>6</v>
      </c>
      <c r="T11" s="34" t="s">
        <v>150</v>
      </c>
      <c r="U11" s="34"/>
      <c r="V11" s="34">
        <v>0.13400000000000001</v>
      </c>
      <c r="W11" s="34">
        <v>0.36099999999999999</v>
      </c>
      <c r="X11" s="112">
        <v>8.4239999999999995</v>
      </c>
      <c r="Y11" s="34"/>
      <c r="Z11" s="34"/>
      <c r="AA11" s="34"/>
      <c r="AB11" s="120"/>
    </row>
    <row r="12" spans="2:28" ht="13.8">
      <c r="B12" s="55" t="s">
        <v>151</v>
      </c>
      <c r="C12" s="50" t="s">
        <v>122</v>
      </c>
      <c r="D12" s="57">
        <v>0.4</v>
      </c>
      <c r="F12" s="73" t="s">
        <v>152</v>
      </c>
      <c r="G12" s="74">
        <f>AVERAGE(V10:V12)</f>
        <v>0.14166666666666666</v>
      </c>
      <c r="H12" s="74">
        <f>AVERAGE(W10:W13)</f>
        <v>0.31900000000000001</v>
      </c>
      <c r="I12" s="93">
        <f>AVERAGE(X10:X13)</f>
        <v>8.2560000000000002</v>
      </c>
      <c r="K12" s="94" t="s">
        <v>153</v>
      </c>
      <c r="L12" s="81"/>
      <c r="M12" s="101"/>
      <c r="S12" s="107">
        <v>7</v>
      </c>
      <c r="T12" s="34" t="s">
        <v>154</v>
      </c>
      <c r="U12" s="114"/>
      <c r="V12" s="114">
        <v>0.187</v>
      </c>
      <c r="W12" s="114">
        <v>0.29599999999999999</v>
      </c>
      <c r="X12" s="114">
        <v>8.6539999999999999</v>
      </c>
      <c r="Y12" s="114"/>
      <c r="Z12" s="114"/>
      <c r="AA12" s="114"/>
      <c r="AB12" s="123"/>
    </row>
    <row r="13" spans="2:28" ht="13.8">
      <c r="B13" s="55" t="s">
        <v>155</v>
      </c>
      <c r="C13" s="50" t="s">
        <v>122</v>
      </c>
      <c r="D13" s="57">
        <v>0.7</v>
      </c>
      <c r="S13" s="105">
        <v>8</v>
      </c>
      <c r="T13" s="34" t="s">
        <v>156</v>
      </c>
      <c r="U13" s="34"/>
      <c r="V13" s="112"/>
      <c r="W13" s="113"/>
      <c r="X13" s="34"/>
      <c r="Y13" s="34"/>
      <c r="Z13" s="34"/>
      <c r="AA13" s="34"/>
      <c r="AB13" s="120"/>
    </row>
    <row r="14" spans="2:28" ht="13.8">
      <c r="B14" s="55" t="s">
        <v>157</v>
      </c>
      <c r="C14" s="50" t="s">
        <v>122</v>
      </c>
      <c r="D14" s="56" t="s">
        <v>158</v>
      </c>
      <c r="F14" s="75" t="s">
        <v>159</v>
      </c>
      <c r="G14" s="76">
        <f>G12*D20</f>
        <v>143.36666666666667</v>
      </c>
      <c r="H14" s="76"/>
      <c r="I14" s="95"/>
      <c r="S14" s="105">
        <v>9</v>
      </c>
      <c r="T14" s="34" t="s">
        <v>160</v>
      </c>
      <c r="U14" s="34"/>
      <c r="V14" s="34"/>
      <c r="W14" s="34"/>
      <c r="X14" s="34"/>
      <c r="Y14" s="34"/>
      <c r="Z14" s="34">
        <v>0.182</v>
      </c>
      <c r="AA14" s="34"/>
      <c r="AB14" s="120"/>
    </row>
    <row r="15" spans="2:28" ht="16.2" customHeight="1">
      <c r="B15" s="55" t="s">
        <v>161</v>
      </c>
      <c r="C15" s="50" t="s">
        <v>122</v>
      </c>
      <c r="D15" s="56">
        <v>2.1</v>
      </c>
      <c r="F15" s="351" t="s">
        <v>162</v>
      </c>
      <c r="G15" s="77">
        <f>G14+D50</f>
        <v>583.91266666666672</v>
      </c>
      <c r="H15" s="77"/>
      <c r="I15" s="96"/>
      <c r="S15" s="105">
        <v>10</v>
      </c>
      <c r="T15" s="34" t="s">
        <v>163</v>
      </c>
      <c r="U15" s="34"/>
      <c r="V15" s="34"/>
      <c r="W15" s="34"/>
      <c r="X15" s="34"/>
      <c r="Y15" s="34"/>
      <c r="Z15" s="34">
        <v>0.18</v>
      </c>
      <c r="AA15" s="34"/>
      <c r="AB15" s="120"/>
    </row>
    <row r="16" spans="2:28" ht="13.8">
      <c r="B16" s="55" t="s">
        <v>164</v>
      </c>
      <c r="C16" s="50" t="s">
        <v>122</v>
      </c>
      <c r="D16" s="56">
        <v>1.27</v>
      </c>
      <c r="F16" s="351"/>
      <c r="G16" s="78"/>
      <c r="H16" s="78"/>
      <c r="I16" s="97"/>
      <c r="J16" s="45">
        <f>G15/D23</f>
        <v>0.57698880105401851</v>
      </c>
      <c r="S16" s="105">
        <v>11</v>
      </c>
      <c r="T16" s="34" t="s">
        <v>165</v>
      </c>
      <c r="U16" s="34"/>
      <c r="V16" s="34"/>
      <c r="W16" s="34"/>
      <c r="X16" s="34"/>
      <c r="Y16" s="34"/>
      <c r="Z16" s="34">
        <v>0.26600000000000001</v>
      </c>
      <c r="AA16" s="34"/>
      <c r="AB16" s="120"/>
    </row>
    <row r="17" spans="2:57" ht="13.8">
      <c r="B17" s="55" t="s">
        <v>166</v>
      </c>
      <c r="C17" s="50" t="s">
        <v>122</v>
      </c>
      <c r="D17" s="56">
        <v>2</v>
      </c>
      <c r="S17" s="105">
        <v>12</v>
      </c>
      <c r="T17" s="34" t="s">
        <v>167</v>
      </c>
      <c r="Z17" s="124">
        <v>0.26400000000000001</v>
      </c>
      <c r="AA17" s="114"/>
      <c r="AB17" s="123"/>
    </row>
    <row r="18" spans="2:57" ht="13.8">
      <c r="B18" s="55" t="s">
        <v>168</v>
      </c>
      <c r="C18" s="50" t="s">
        <v>122</v>
      </c>
      <c r="D18" s="56">
        <v>48</v>
      </c>
      <c r="F18" s="75" t="s">
        <v>169</v>
      </c>
      <c r="G18" s="76"/>
      <c r="H18" s="76"/>
      <c r="I18" s="95"/>
      <c r="O18" s="45">
        <v>4</v>
      </c>
      <c r="S18" s="105">
        <v>13</v>
      </c>
      <c r="T18" s="34" t="s">
        <v>170</v>
      </c>
      <c r="U18" s="34"/>
      <c r="V18" s="34"/>
      <c r="W18" s="34"/>
      <c r="X18" s="34"/>
      <c r="Y18" s="34"/>
      <c r="Z18" s="145">
        <v>1.4E-2</v>
      </c>
      <c r="AA18" s="124"/>
      <c r="AB18" s="125"/>
    </row>
    <row r="19" spans="2:57" ht="16.2" customHeight="1">
      <c r="B19" s="55" t="s">
        <v>171</v>
      </c>
      <c r="C19" s="50" t="s">
        <v>122</v>
      </c>
      <c r="D19" s="58">
        <v>1290</v>
      </c>
      <c r="F19" s="351" t="s">
        <v>172</v>
      </c>
      <c r="G19" s="77"/>
      <c r="H19" s="77"/>
      <c r="I19" s="96"/>
      <c r="S19" s="108">
        <v>14</v>
      </c>
      <c r="T19" s="109" t="s">
        <v>173</v>
      </c>
      <c r="U19" s="109"/>
      <c r="V19" s="109"/>
      <c r="W19" s="109"/>
      <c r="X19" s="109"/>
      <c r="Y19" s="109"/>
      <c r="Z19" s="146">
        <v>1E-3</v>
      </c>
      <c r="AA19" s="126"/>
      <c r="AB19" s="127"/>
    </row>
    <row r="20" spans="2:57" ht="13.8">
      <c r="B20" s="55" t="s">
        <v>174</v>
      </c>
      <c r="C20" s="50" t="s">
        <v>122</v>
      </c>
      <c r="D20" s="56">
        <v>1012</v>
      </c>
      <c r="F20" s="351"/>
      <c r="G20" s="78"/>
      <c r="H20" s="78"/>
      <c r="I20" s="97"/>
    </row>
    <row r="21" spans="2:57" ht="13.8">
      <c r="B21" s="55" t="s">
        <v>175</v>
      </c>
      <c r="C21" s="50" t="s">
        <v>122</v>
      </c>
      <c r="D21" s="56">
        <v>1518</v>
      </c>
    </row>
    <row r="22" spans="2:57" ht="13.8">
      <c r="B22" s="55" t="s">
        <v>176</v>
      </c>
      <c r="C22" s="50" t="s">
        <v>122</v>
      </c>
      <c r="D22" s="56">
        <v>2000</v>
      </c>
    </row>
    <row r="23" spans="2:57" ht="13.8">
      <c r="B23" s="59" t="s">
        <v>177</v>
      </c>
      <c r="C23" s="60" t="s">
        <v>122</v>
      </c>
      <c r="D23" s="61">
        <v>1012</v>
      </c>
    </row>
    <row r="24" spans="2:57" ht="13.8">
      <c r="B24" s="50"/>
      <c r="C24" s="50"/>
      <c r="D24" s="50"/>
    </row>
    <row r="27" spans="2:57" ht="13.8">
      <c r="D27" s="352" t="s">
        <v>178</v>
      </c>
      <c r="E27" s="352"/>
      <c r="F27" s="352"/>
      <c r="G27" s="352"/>
      <c r="H27" s="352"/>
      <c r="I27" s="352"/>
      <c r="J27" s="352"/>
      <c r="K27" s="352"/>
      <c r="L27" s="352"/>
      <c r="M27" s="352"/>
      <c r="N27" s="352"/>
      <c r="O27" s="352"/>
      <c r="P27" s="352"/>
      <c r="Q27" s="352"/>
      <c r="R27" s="352"/>
      <c r="T27" s="353" t="s">
        <v>179</v>
      </c>
      <c r="U27" s="353"/>
      <c r="V27" s="353"/>
      <c r="X27" s="354" t="s">
        <v>180</v>
      </c>
      <c r="Y27" s="354"/>
      <c r="Z27" s="354"/>
      <c r="AA27"/>
      <c r="AB27" s="355" t="s">
        <v>181</v>
      </c>
      <c r="AC27" s="355"/>
      <c r="AD27" s="355"/>
      <c r="AE27" s="355"/>
      <c r="AF27" s="355"/>
      <c r="AG27" s="355"/>
      <c r="AH27" s="355"/>
      <c r="AI27" s="355"/>
      <c r="AJ27" s="355"/>
      <c r="AK27"/>
      <c r="AL27" s="346" t="s">
        <v>182</v>
      </c>
      <c r="AM27" s="346"/>
      <c r="AN27" s="346"/>
      <c r="AO27" s="346"/>
      <c r="AP27" s="346"/>
      <c r="AQ27" s="346"/>
      <c r="AS27" s="347" t="s">
        <v>183</v>
      </c>
      <c r="AT27" s="347"/>
      <c r="AU27" s="347"/>
      <c r="AV27" s="347"/>
      <c r="AW27" s="347"/>
      <c r="AX27" s="347"/>
      <c r="AZ27" s="348" t="s">
        <v>184</v>
      </c>
      <c r="BA27" s="348"/>
      <c r="BB27" s="348"/>
      <c r="BC27" s="348"/>
      <c r="BD27" s="348"/>
      <c r="BE27" s="348"/>
    </row>
    <row r="28" spans="2:57" ht="13.8">
      <c r="D28" s="349" t="s">
        <v>185</v>
      </c>
      <c r="E28" s="350" t="s">
        <v>186</v>
      </c>
      <c r="F28" s="350"/>
      <c r="G28" s="350"/>
      <c r="H28" s="350" t="s">
        <v>187</v>
      </c>
      <c r="I28" s="350" t="s">
        <v>188</v>
      </c>
      <c r="J28" s="350"/>
      <c r="K28" s="350" t="s">
        <v>108</v>
      </c>
      <c r="L28" s="350"/>
      <c r="M28" s="350" t="s">
        <v>189</v>
      </c>
      <c r="N28" s="350"/>
      <c r="O28" s="350" t="s">
        <v>190</v>
      </c>
      <c r="P28" s="350"/>
      <c r="Q28" s="340" t="s">
        <v>191</v>
      </c>
      <c r="R28" s="340"/>
      <c r="T28" s="110" t="s">
        <v>192</v>
      </c>
      <c r="U28" s="115" t="s">
        <v>193</v>
      </c>
      <c r="V28" s="116" t="s">
        <v>194</v>
      </c>
      <c r="X28" s="117" t="s">
        <v>192</v>
      </c>
      <c r="Y28" s="128" t="s">
        <v>193</v>
      </c>
      <c r="Z28" s="129" t="s">
        <v>194</v>
      </c>
      <c r="AA28"/>
      <c r="AB28" s="341" t="s">
        <v>126</v>
      </c>
      <c r="AC28" s="341"/>
      <c r="AD28" s="341"/>
      <c r="AE28" s="342" t="s">
        <v>127</v>
      </c>
      <c r="AF28" s="342"/>
      <c r="AG28" s="342"/>
      <c r="AH28" s="343" t="s">
        <v>128</v>
      </c>
      <c r="AI28" s="343"/>
      <c r="AJ28" s="343"/>
      <c r="AK28"/>
      <c r="AL28" s="344" t="s">
        <v>195</v>
      </c>
      <c r="AM28" s="344"/>
      <c r="AN28" s="345" t="s">
        <v>196</v>
      </c>
      <c r="AO28" s="345"/>
      <c r="AP28" s="334" t="s">
        <v>197</v>
      </c>
      <c r="AQ28" s="334"/>
      <c r="AS28" s="335" t="s">
        <v>195</v>
      </c>
      <c r="AT28" s="335"/>
      <c r="AU28" s="336" t="s">
        <v>196</v>
      </c>
      <c r="AV28" s="336"/>
      <c r="AW28" s="337" t="s">
        <v>197</v>
      </c>
      <c r="AX28" s="337"/>
      <c r="AZ28" s="338" t="s">
        <v>195</v>
      </c>
      <c r="BA28" s="338"/>
      <c r="BB28" s="339" t="s">
        <v>196</v>
      </c>
      <c r="BC28" s="339"/>
      <c r="BD28" s="331" t="s">
        <v>197</v>
      </c>
      <c r="BE28" s="331"/>
    </row>
    <row r="29" spans="2:57" ht="13.8">
      <c r="D29" s="349"/>
      <c r="E29" s="350"/>
      <c r="F29" s="350"/>
      <c r="G29" s="350"/>
      <c r="H29" s="350"/>
      <c r="I29" s="350"/>
      <c r="J29" s="350"/>
      <c r="K29" s="350"/>
      <c r="L29" s="350"/>
      <c r="M29" s="350"/>
      <c r="N29" s="350"/>
      <c r="O29" s="350"/>
      <c r="P29" s="350"/>
      <c r="Q29" s="340"/>
      <c r="R29" s="340"/>
      <c r="T29" s="110"/>
      <c r="U29" s="115"/>
      <c r="V29" s="116"/>
      <c r="X29" s="117"/>
      <c r="Y29" s="128"/>
      <c r="Z29" s="129"/>
      <c r="AA29"/>
      <c r="AB29" s="130" t="s">
        <v>192</v>
      </c>
      <c r="AC29" s="132" t="s">
        <v>193</v>
      </c>
      <c r="AD29" s="132" t="s">
        <v>194</v>
      </c>
      <c r="AE29" s="132" t="s">
        <v>192</v>
      </c>
      <c r="AF29" s="132" t="s">
        <v>198</v>
      </c>
      <c r="AG29" s="132" t="s">
        <v>194</v>
      </c>
      <c r="AH29" s="132" t="s">
        <v>192</v>
      </c>
      <c r="AI29" s="132" t="s">
        <v>193</v>
      </c>
      <c r="AJ29" s="133" t="s">
        <v>194</v>
      </c>
      <c r="AK29"/>
      <c r="AL29" s="134" t="s">
        <v>199</v>
      </c>
      <c r="AM29" s="135" t="s">
        <v>200</v>
      </c>
      <c r="AN29" s="135" t="s">
        <v>199</v>
      </c>
      <c r="AO29" s="135" t="s">
        <v>201</v>
      </c>
      <c r="AP29" s="135" t="s">
        <v>199</v>
      </c>
      <c r="AQ29" s="137" t="s">
        <v>201</v>
      </c>
      <c r="AS29" s="138" t="s">
        <v>199</v>
      </c>
      <c r="AT29" s="139" t="s">
        <v>200</v>
      </c>
      <c r="AU29" s="139" t="s">
        <v>199</v>
      </c>
      <c r="AV29" s="139" t="s">
        <v>201</v>
      </c>
      <c r="AW29" s="139" t="s">
        <v>199</v>
      </c>
      <c r="AX29" s="140" t="s">
        <v>201</v>
      </c>
      <c r="AZ29" s="141" t="s">
        <v>199</v>
      </c>
      <c r="BA29" s="142" t="s">
        <v>200</v>
      </c>
      <c r="BB29" s="142" t="s">
        <v>199</v>
      </c>
      <c r="BC29" s="142" t="s">
        <v>201</v>
      </c>
      <c r="BD29" s="142" t="s">
        <v>199</v>
      </c>
      <c r="BE29" s="143" t="s">
        <v>201</v>
      </c>
    </row>
    <row r="30" spans="2:57" ht="13.8">
      <c r="C30" s="50"/>
      <c r="D30" s="62" t="s">
        <v>202</v>
      </c>
      <c r="E30" s="79" t="s">
        <v>203</v>
      </c>
      <c r="F30" s="79" t="s">
        <v>204</v>
      </c>
      <c r="G30" s="79" t="s">
        <v>205</v>
      </c>
      <c r="H30" s="79" t="s">
        <v>106</v>
      </c>
      <c r="I30" s="79" t="s">
        <v>206</v>
      </c>
      <c r="J30" s="79" t="s">
        <v>207</v>
      </c>
      <c r="K30" s="79" t="s">
        <v>206</v>
      </c>
      <c r="L30" s="79" t="s">
        <v>207</v>
      </c>
      <c r="M30" s="79" t="s">
        <v>206</v>
      </c>
      <c r="N30" s="79" t="s">
        <v>207</v>
      </c>
      <c r="O30" s="332" t="s">
        <v>208</v>
      </c>
      <c r="P30" s="332"/>
      <c r="Q30" s="333" t="s">
        <v>208</v>
      </c>
      <c r="R30" s="333"/>
      <c r="T30" s="111" t="s">
        <v>208</v>
      </c>
      <c r="U30" s="118" t="s">
        <v>209</v>
      </c>
      <c r="V30" s="119" t="s">
        <v>209</v>
      </c>
      <c r="X30" s="111" t="s">
        <v>209</v>
      </c>
      <c r="Y30" s="118" t="s">
        <v>208</v>
      </c>
      <c r="Z30" s="119" t="s">
        <v>209</v>
      </c>
      <c r="AA30"/>
      <c r="AB30" s="105"/>
      <c r="AC30" s="34"/>
      <c r="AD30" s="34"/>
      <c r="AE30" s="34"/>
      <c r="AF30" s="34"/>
      <c r="AG30" s="34"/>
      <c r="AH30" s="34"/>
      <c r="AI30" s="34"/>
      <c r="AJ30" s="120"/>
      <c r="AK30"/>
      <c r="AL30" s="105"/>
      <c r="AM30" s="34"/>
      <c r="AN30" s="34"/>
      <c r="AO30" s="34"/>
      <c r="AP30" s="34"/>
      <c r="AQ30" s="120"/>
      <c r="AS30" s="105"/>
      <c r="AT30" s="34"/>
      <c r="AU30" s="34"/>
      <c r="AV30" s="34"/>
      <c r="AW30" s="34"/>
      <c r="AX30" s="120"/>
      <c r="AZ30" s="105"/>
      <c r="BA30" s="34"/>
      <c r="BB30" s="34"/>
      <c r="BC30" s="34"/>
      <c r="BD30" s="34"/>
      <c r="BE30" s="120"/>
    </row>
    <row r="31" spans="2:57" ht="13.8">
      <c r="D31" s="63">
        <v>0</v>
      </c>
      <c r="E31" s="80">
        <v>1.52</v>
      </c>
      <c r="F31" s="155">
        <v>4.5</v>
      </c>
      <c r="G31" s="80"/>
      <c r="H31" s="80"/>
      <c r="I31" s="157">
        <v>0</v>
      </c>
      <c r="J31" s="148">
        <v>1000</v>
      </c>
      <c r="K31" s="148">
        <v>7</v>
      </c>
      <c r="L31" s="148">
        <v>11</v>
      </c>
      <c r="M31" s="160">
        <v>3805</v>
      </c>
      <c r="N31" s="151">
        <v>3805</v>
      </c>
      <c r="O31" s="329">
        <v>2000</v>
      </c>
      <c r="P31" s="329"/>
      <c r="Q31" s="330">
        <v>0</v>
      </c>
      <c r="R31" s="330"/>
      <c r="T31" s="105">
        <v>1012</v>
      </c>
      <c r="U31" s="34">
        <f>M31-$D$20-$D$19</f>
        <v>1503</v>
      </c>
      <c r="V31" s="120"/>
      <c r="X31" s="105"/>
      <c r="Y31" s="34">
        <v>40</v>
      </c>
      <c r="Z31" s="120"/>
      <c r="AA31"/>
      <c r="AB31" s="105"/>
      <c r="AC31" s="34">
        <f t="shared" ref="AC31:AC36" si="1">Z14</f>
        <v>0.182</v>
      </c>
      <c r="AD31" s="34"/>
      <c r="AE31" s="34"/>
      <c r="AF31" s="34"/>
      <c r="AG31" s="34"/>
      <c r="AH31" s="34"/>
      <c r="AI31" s="34"/>
      <c r="AJ31" s="120"/>
      <c r="AK31"/>
      <c r="AL31" s="105"/>
      <c r="AM31" s="136">
        <f t="shared" ref="AM31:AM37" si="2">AC31*U32</f>
        <v>265.35599999999999</v>
      </c>
      <c r="AN31" s="34"/>
      <c r="AO31" s="34">
        <f t="shared" ref="AO31:AO37" si="3">Y31*AC31</f>
        <v>7.2799999999999994</v>
      </c>
      <c r="AP31" s="34"/>
      <c r="AQ31" s="120"/>
      <c r="AS31" s="105"/>
      <c r="AT31" s="34"/>
      <c r="AU31" s="34"/>
      <c r="AV31" s="34"/>
      <c r="AW31" s="34"/>
      <c r="AX31" s="120"/>
      <c r="AZ31" s="105"/>
      <c r="BA31" s="34"/>
      <c r="BB31" s="34"/>
      <c r="BC31" s="34"/>
      <c r="BD31" s="34"/>
      <c r="BE31" s="120"/>
    </row>
    <row r="32" spans="2:57" ht="13.8">
      <c r="C32" s="45">
        <v>4</v>
      </c>
      <c r="D32" s="63">
        <v>2</v>
      </c>
      <c r="E32" s="80"/>
      <c r="F32" s="156">
        <v>0.5</v>
      </c>
      <c r="G32" s="80"/>
      <c r="H32" s="80"/>
      <c r="I32" s="157">
        <v>600</v>
      </c>
      <c r="J32" s="148"/>
      <c r="K32" s="149">
        <v>10</v>
      </c>
      <c r="L32" s="148">
        <v>11</v>
      </c>
      <c r="M32" s="161">
        <v>3800</v>
      </c>
      <c r="N32" s="151">
        <v>3805</v>
      </c>
      <c r="O32" s="329">
        <v>2000</v>
      </c>
      <c r="P32" s="329"/>
      <c r="Q32" s="330">
        <v>40</v>
      </c>
      <c r="R32" s="330"/>
      <c r="T32" s="105"/>
      <c r="U32" s="34">
        <f t="shared" ref="U32:U34" si="4">M32-$D$20-$D$19-Q32</f>
        <v>1458</v>
      </c>
      <c r="V32" s="120"/>
      <c r="X32" s="105"/>
      <c r="Y32" s="34">
        <v>40</v>
      </c>
      <c r="Z32" s="120"/>
      <c r="AA32"/>
      <c r="AB32" s="105"/>
      <c r="AC32" s="34">
        <f t="shared" si="1"/>
        <v>0.18</v>
      </c>
      <c r="AD32" s="34"/>
      <c r="AE32" s="34"/>
      <c r="AF32" s="34"/>
      <c r="AG32" s="34"/>
      <c r="AH32" s="34"/>
      <c r="AI32" s="34"/>
      <c r="AJ32" s="120"/>
      <c r="AK32"/>
      <c r="AL32" s="105"/>
      <c r="AM32" s="136">
        <f t="shared" si="2"/>
        <v>262.44</v>
      </c>
      <c r="AN32" s="34"/>
      <c r="AO32" s="34">
        <f t="shared" si="3"/>
        <v>7.1999999999999993</v>
      </c>
      <c r="AP32" s="34"/>
      <c r="AQ32" s="120"/>
      <c r="AS32" s="105"/>
      <c r="AT32" s="34"/>
      <c r="AU32" s="34"/>
      <c r="AV32" s="34"/>
      <c r="AW32" s="34"/>
      <c r="AX32" s="120"/>
      <c r="AZ32" s="105"/>
      <c r="BA32" s="34"/>
      <c r="BB32" s="34"/>
      <c r="BC32" s="34"/>
      <c r="BD32" s="34"/>
      <c r="BE32" s="120"/>
    </row>
    <row r="33" spans="3:57" ht="13.8">
      <c r="C33" s="45">
        <v>4</v>
      </c>
      <c r="D33" s="63">
        <v>4</v>
      </c>
      <c r="E33" s="80"/>
      <c r="F33" s="156"/>
      <c r="G33" s="80"/>
      <c r="H33" s="80"/>
      <c r="I33" s="157">
        <v>560</v>
      </c>
      <c r="J33" s="148"/>
      <c r="K33" s="149">
        <v>11</v>
      </c>
      <c r="L33" s="148">
        <v>11</v>
      </c>
      <c r="M33" s="161">
        <v>3800</v>
      </c>
      <c r="N33" s="151">
        <v>3805</v>
      </c>
      <c r="O33" s="329">
        <v>2000</v>
      </c>
      <c r="P33" s="329"/>
      <c r="Q33" s="330">
        <v>40</v>
      </c>
      <c r="R33" s="330"/>
      <c r="T33" s="105"/>
      <c r="U33" s="34">
        <f t="shared" si="4"/>
        <v>1458</v>
      </c>
      <c r="V33" s="120"/>
      <c r="X33" s="105"/>
      <c r="Y33" s="34">
        <v>40</v>
      </c>
      <c r="Z33" s="120"/>
      <c r="AA33"/>
      <c r="AB33" s="105"/>
      <c r="AC33" s="34">
        <f t="shared" si="1"/>
        <v>0.26600000000000001</v>
      </c>
      <c r="AD33" s="34"/>
      <c r="AE33" s="34"/>
      <c r="AF33" s="34"/>
      <c r="AG33" s="34"/>
      <c r="AH33" s="34"/>
      <c r="AI33" s="34"/>
      <c r="AJ33" s="120"/>
      <c r="AK33"/>
      <c r="AL33" s="105"/>
      <c r="AM33" s="136">
        <f t="shared" si="2"/>
        <v>387.82800000000003</v>
      </c>
      <c r="AN33" s="34"/>
      <c r="AO33" s="34">
        <f t="shared" si="3"/>
        <v>10.64</v>
      </c>
      <c r="AP33" s="34"/>
      <c r="AQ33" s="120"/>
      <c r="AS33" s="105"/>
      <c r="AT33" s="34"/>
      <c r="AU33" s="34"/>
      <c r="AV33" s="34"/>
      <c r="AW33" s="34"/>
      <c r="AX33" s="120"/>
      <c r="AZ33" s="105"/>
      <c r="BA33" s="34"/>
      <c r="BB33" s="34"/>
      <c r="BC33" s="34"/>
      <c r="BD33" s="34"/>
      <c r="BE33" s="120"/>
    </row>
    <row r="34" spans="3:57" ht="13.8">
      <c r="C34" s="45">
        <v>4</v>
      </c>
      <c r="D34" s="63">
        <v>8</v>
      </c>
      <c r="E34" s="80"/>
      <c r="F34" s="157">
        <v>1</v>
      </c>
      <c r="G34" s="80"/>
      <c r="H34" s="80"/>
      <c r="I34" s="157">
        <v>520</v>
      </c>
      <c r="J34" s="148"/>
      <c r="K34" s="12">
        <v>10</v>
      </c>
      <c r="L34" s="148">
        <v>11</v>
      </c>
      <c r="M34" s="162">
        <v>3800</v>
      </c>
      <c r="N34" s="151">
        <v>3805</v>
      </c>
      <c r="O34" s="329">
        <v>2000</v>
      </c>
      <c r="P34" s="329"/>
      <c r="Q34" s="330">
        <v>40</v>
      </c>
      <c r="R34" s="330"/>
      <c r="T34" s="105"/>
      <c r="U34" s="34">
        <f t="shared" si="4"/>
        <v>1458</v>
      </c>
      <c r="V34" s="120"/>
      <c r="X34" s="105"/>
      <c r="Y34" s="34">
        <v>40</v>
      </c>
      <c r="Z34" s="120"/>
      <c r="AA34"/>
      <c r="AB34" s="105"/>
      <c r="AC34" s="34">
        <f t="shared" si="1"/>
        <v>0.26400000000000001</v>
      </c>
      <c r="AD34" s="34"/>
      <c r="AE34" s="34"/>
      <c r="AF34" s="34"/>
      <c r="AG34" s="34"/>
      <c r="AH34" s="34"/>
      <c r="AI34" s="34"/>
      <c r="AJ34" s="120"/>
      <c r="AK34"/>
      <c r="AL34" s="105"/>
      <c r="AM34" s="136">
        <f t="shared" si="2"/>
        <v>382.536</v>
      </c>
      <c r="AN34" s="34"/>
      <c r="AO34" s="34">
        <f t="shared" si="3"/>
        <v>10.56</v>
      </c>
      <c r="AP34" s="34"/>
      <c r="AQ34" s="120"/>
      <c r="AS34" s="105"/>
      <c r="AT34" s="34"/>
      <c r="AU34" s="34"/>
      <c r="AV34" s="34"/>
      <c r="AW34" s="34"/>
      <c r="AX34" s="120"/>
      <c r="AZ34" s="105"/>
      <c r="BA34" s="34"/>
      <c r="BB34" s="34"/>
      <c r="BC34" s="34"/>
      <c r="BD34" s="34"/>
      <c r="BE34" s="120"/>
    </row>
    <row r="35" spans="3:57" ht="13.8">
      <c r="C35" s="45">
        <v>4</v>
      </c>
      <c r="D35" s="63">
        <v>12</v>
      </c>
      <c r="E35" s="80"/>
      <c r="F35" s="157"/>
      <c r="G35" s="80">
        <v>2</v>
      </c>
      <c r="H35" s="80"/>
      <c r="I35" s="157">
        <v>280</v>
      </c>
      <c r="J35" s="148"/>
      <c r="K35" s="12">
        <v>11</v>
      </c>
      <c r="L35" s="148">
        <v>11</v>
      </c>
      <c r="M35" s="162">
        <v>3795</v>
      </c>
      <c r="N35" s="151">
        <v>3810</v>
      </c>
      <c r="O35" s="329">
        <v>2000</v>
      </c>
      <c r="P35" s="329"/>
      <c r="Q35" s="330">
        <v>40</v>
      </c>
      <c r="R35" s="330"/>
      <c r="T35" s="105"/>
      <c r="U35" s="34">
        <f t="shared" ref="U35:U37" si="5">M35-$D$20-$D$19-4-Q35</f>
        <v>1449</v>
      </c>
      <c r="V35" s="120"/>
      <c r="X35" s="105"/>
      <c r="Y35" s="34">
        <v>40</v>
      </c>
      <c r="Z35" s="120"/>
      <c r="AA35"/>
      <c r="AB35" s="105"/>
      <c r="AC35" s="34">
        <f t="shared" si="1"/>
        <v>1.4E-2</v>
      </c>
      <c r="AD35" s="34"/>
      <c r="AE35" s="34"/>
      <c r="AF35" s="34"/>
      <c r="AG35" s="34"/>
      <c r="AH35" s="34"/>
      <c r="AI35" s="34"/>
      <c r="AJ35" s="120"/>
      <c r="AK35"/>
      <c r="AL35" s="105"/>
      <c r="AM35" s="136">
        <f t="shared" si="2"/>
        <v>20.286000000000001</v>
      </c>
      <c r="AN35" s="34"/>
      <c r="AO35" s="34">
        <f t="shared" si="3"/>
        <v>0.56000000000000005</v>
      </c>
      <c r="AP35" s="34"/>
      <c r="AQ35" s="120"/>
      <c r="AS35" s="105"/>
      <c r="AT35" s="34"/>
      <c r="AU35" s="34"/>
      <c r="AV35" s="34"/>
      <c r="AW35" s="34"/>
      <c r="AX35" s="120"/>
      <c r="AZ35" s="105"/>
      <c r="BA35" s="34"/>
      <c r="BB35" s="34"/>
      <c r="BC35" s="34"/>
      <c r="BD35" s="34"/>
      <c r="BE35" s="120"/>
    </row>
    <row r="36" spans="3:57" ht="13.8">
      <c r="D36" s="63">
        <v>24</v>
      </c>
      <c r="E36" s="80"/>
      <c r="F36" s="157">
        <v>0.5</v>
      </c>
      <c r="G36" s="80"/>
      <c r="H36" s="80"/>
      <c r="I36" s="157">
        <v>240</v>
      </c>
      <c r="J36" s="148"/>
      <c r="K36" s="12">
        <v>10</v>
      </c>
      <c r="L36" s="148">
        <v>11</v>
      </c>
      <c r="M36" s="162">
        <v>3795</v>
      </c>
      <c r="N36" s="151">
        <v>3810</v>
      </c>
      <c r="O36" s="329">
        <v>2000</v>
      </c>
      <c r="P36" s="329"/>
      <c r="Q36" s="330">
        <v>40</v>
      </c>
      <c r="R36" s="330"/>
      <c r="T36" s="105"/>
      <c r="U36" s="34">
        <f t="shared" si="5"/>
        <v>1449</v>
      </c>
      <c r="V36" s="120"/>
      <c r="X36" s="105"/>
      <c r="Y36" s="34">
        <v>40</v>
      </c>
      <c r="Z36" s="120"/>
      <c r="AA36"/>
      <c r="AB36" s="131">
        <f>G12</f>
        <v>0.14166666666666666</v>
      </c>
      <c r="AC36" s="34">
        <f t="shared" si="1"/>
        <v>1E-3</v>
      </c>
      <c r="AD36" s="34"/>
      <c r="AE36" s="34">
        <f>H12</f>
        <v>0.31900000000000001</v>
      </c>
      <c r="AF36" s="34"/>
      <c r="AG36" s="34"/>
      <c r="AH36" s="112">
        <f>I12</f>
        <v>8.2560000000000002</v>
      </c>
      <c r="AI36" s="34"/>
      <c r="AJ36" s="120"/>
      <c r="AK36"/>
      <c r="AL36" s="105">
        <f>AB36*T31</f>
        <v>143.36666666666667</v>
      </c>
      <c r="AM36" s="136">
        <f t="shared" si="2"/>
        <v>1.444</v>
      </c>
      <c r="AN36" s="34"/>
      <c r="AO36" s="34">
        <f t="shared" si="3"/>
        <v>0.04</v>
      </c>
      <c r="AP36" s="34"/>
      <c r="AQ36" s="120"/>
      <c r="AS36" s="105"/>
      <c r="AT36" s="34"/>
      <c r="AU36" s="34"/>
      <c r="AV36" s="34"/>
      <c r="AW36" s="34"/>
      <c r="AX36" s="120"/>
      <c r="AZ36" s="105"/>
      <c r="BA36" s="34"/>
      <c r="BB36" s="34"/>
      <c r="BC36" s="34"/>
      <c r="BD36" s="34"/>
      <c r="BE36" s="120"/>
    </row>
    <row r="37" spans="3:57" ht="13.8">
      <c r="D37" s="63">
        <v>48</v>
      </c>
      <c r="E37" s="80"/>
      <c r="F37" s="158"/>
      <c r="G37" s="80"/>
      <c r="H37" s="80"/>
      <c r="I37" s="157">
        <v>200</v>
      </c>
      <c r="J37" s="148"/>
      <c r="K37" s="12">
        <v>10</v>
      </c>
      <c r="L37" s="150"/>
      <c r="M37" s="162">
        <v>3790</v>
      </c>
      <c r="N37" s="12"/>
      <c r="O37" s="329">
        <v>2000</v>
      </c>
      <c r="P37" s="329"/>
      <c r="Q37" s="330">
        <v>40</v>
      </c>
      <c r="R37" s="330"/>
      <c r="T37" s="105"/>
      <c r="U37" s="34">
        <f t="shared" si="5"/>
        <v>1444</v>
      </c>
      <c r="V37" s="120"/>
      <c r="X37" s="105">
        <v>1012</v>
      </c>
      <c r="Y37" s="34">
        <v>40</v>
      </c>
      <c r="Z37" s="120">
        <v>4</v>
      </c>
      <c r="AA37"/>
      <c r="AB37" s="105"/>
      <c r="AC37" s="34"/>
      <c r="AD37" s="34"/>
      <c r="AE37" s="34"/>
      <c r="AF37" s="34"/>
      <c r="AG37" s="34"/>
      <c r="AH37" s="34"/>
      <c r="AI37" s="34"/>
      <c r="AJ37" s="120"/>
      <c r="AK37"/>
      <c r="AL37" s="105"/>
      <c r="AM37" s="136">
        <f t="shared" si="2"/>
        <v>0</v>
      </c>
      <c r="AN37" s="34"/>
      <c r="AO37" s="34">
        <f t="shared" si="3"/>
        <v>0</v>
      </c>
      <c r="AP37" s="34"/>
      <c r="AQ37" s="120"/>
      <c r="AS37" s="105"/>
      <c r="AT37" s="34"/>
      <c r="AU37" s="34"/>
      <c r="AV37" s="34"/>
      <c r="AW37" s="34"/>
      <c r="AX37" s="120"/>
      <c r="AZ37" s="105"/>
      <c r="BA37" s="34"/>
      <c r="BB37" s="34"/>
      <c r="BC37" s="34"/>
      <c r="BD37" s="34"/>
      <c r="BE37" s="120"/>
    </row>
    <row r="38" spans="3:57" ht="13.8">
      <c r="D38" s="64" t="s">
        <v>210</v>
      </c>
      <c r="E38" s="80">
        <v>1.52</v>
      </c>
      <c r="F38" s="159">
        <v>6.5</v>
      </c>
      <c r="G38" s="80">
        <f>SUM(G31:G37)</f>
        <v>2</v>
      </c>
      <c r="H38" s="80"/>
      <c r="I38" s="80"/>
      <c r="J38" s="80"/>
      <c r="K38" s="80"/>
      <c r="L38" s="80"/>
      <c r="M38" s="80"/>
      <c r="N38" s="80"/>
      <c r="O38" s="329"/>
      <c r="P38" s="329"/>
      <c r="Q38" s="330"/>
      <c r="R38" s="330"/>
      <c r="T38" s="105"/>
      <c r="U38" s="34"/>
      <c r="V38" s="120"/>
      <c r="X38" s="105"/>
      <c r="Y38" s="34"/>
      <c r="Z38" s="120"/>
      <c r="AA38"/>
      <c r="AB38" s="105"/>
      <c r="AC38" s="34"/>
      <c r="AD38" s="34"/>
      <c r="AE38" s="34"/>
      <c r="AF38" s="34"/>
      <c r="AG38" s="34"/>
      <c r="AH38" s="34"/>
      <c r="AI38" s="34"/>
      <c r="AJ38" s="120"/>
      <c r="AK38"/>
      <c r="AL38" s="105"/>
      <c r="AM38" s="34"/>
      <c r="AN38" s="34"/>
      <c r="AO38" s="34"/>
      <c r="AP38" s="34"/>
      <c r="AQ38" s="120"/>
      <c r="AS38" s="105"/>
      <c r="AT38" s="34"/>
      <c r="AU38" s="34"/>
      <c r="AV38" s="34"/>
      <c r="AW38" s="34"/>
      <c r="AX38" s="120"/>
      <c r="AZ38" s="105"/>
      <c r="BA38" s="34"/>
      <c r="BB38" s="34"/>
      <c r="BC38" s="34"/>
      <c r="BD38" s="34"/>
      <c r="BE38" s="120"/>
    </row>
    <row r="39" spans="3:57" ht="13.8">
      <c r="D39" s="65" t="s">
        <v>211</v>
      </c>
      <c r="E39" s="323">
        <v>0</v>
      </c>
      <c r="F39" s="323"/>
      <c r="G39" s="323"/>
      <c r="H39" s="81"/>
      <c r="I39" s="81"/>
      <c r="J39" s="81"/>
      <c r="K39" s="81"/>
      <c r="L39" s="81"/>
      <c r="M39" s="81"/>
      <c r="N39" s="81"/>
      <c r="O39" s="323"/>
      <c r="P39" s="323"/>
      <c r="Q39" s="324"/>
      <c r="R39" s="324"/>
      <c r="T39" s="108"/>
      <c r="U39" s="109"/>
      <c r="V39" s="121"/>
      <c r="X39" s="108"/>
      <c r="Y39" s="109"/>
      <c r="Z39" s="121"/>
      <c r="AA39"/>
      <c r="AB39" s="108"/>
      <c r="AC39" s="109"/>
      <c r="AD39" s="109"/>
      <c r="AE39" s="109"/>
      <c r="AF39" s="109"/>
      <c r="AG39" s="109"/>
      <c r="AH39" s="109"/>
      <c r="AI39" s="109"/>
      <c r="AJ39" s="121"/>
      <c r="AK39"/>
      <c r="AL39" s="108"/>
      <c r="AM39" s="109"/>
      <c r="AN39" s="109"/>
      <c r="AO39" s="109"/>
      <c r="AP39" s="109"/>
      <c r="AQ39" s="121"/>
      <c r="AS39" s="108"/>
      <c r="AT39" s="109"/>
      <c r="AU39" s="109"/>
      <c r="AV39" s="109"/>
      <c r="AW39" s="109"/>
      <c r="AX39" s="121"/>
      <c r="AZ39" s="108"/>
      <c r="BA39" s="109"/>
      <c r="BB39" s="109"/>
      <c r="BC39" s="109"/>
      <c r="BD39" s="109"/>
      <c r="BE39" s="121"/>
    </row>
    <row r="42" spans="3:57" ht="13.8">
      <c r="D42" s="325" t="s">
        <v>212</v>
      </c>
      <c r="E42" s="325"/>
      <c r="F42" s="325"/>
      <c r="H42" s="326" t="s">
        <v>213</v>
      </c>
      <c r="I42" s="326"/>
      <c r="J42" s="326"/>
      <c r="L42" s="45" t="s">
        <v>325</v>
      </c>
    </row>
    <row r="43" spans="3:57" ht="13.8">
      <c r="D43" s="327" t="s">
        <v>214</v>
      </c>
      <c r="E43" s="327"/>
      <c r="F43" s="327"/>
      <c r="H43" s="328" t="s">
        <v>215</v>
      </c>
      <c r="I43" s="328"/>
      <c r="J43" s="328"/>
      <c r="L43" s="45">
        <f>(G11-G12)/G11</f>
        <v>0.80743090167648379</v>
      </c>
    </row>
    <row r="44" spans="3:57" ht="13.8">
      <c r="D44" s="66" t="s">
        <v>126</v>
      </c>
      <c r="E44" s="82" t="s">
        <v>127</v>
      </c>
      <c r="F44" s="83" t="s">
        <v>128</v>
      </c>
      <c r="H44" s="84" t="s">
        <v>126</v>
      </c>
      <c r="I44" s="98" t="s">
        <v>127</v>
      </c>
      <c r="J44" s="99" t="s">
        <v>128</v>
      </c>
    </row>
    <row r="45" spans="3:57" ht="13.8">
      <c r="D45" s="67">
        <f>AM31+AO31</f>
        <v>272.63599999999997</v>
      </c>
      <c r="E45" s="50"/>
      <c r="F45" s="56"/>
      <c r="H45" s="85">
        <f t="shared" ref="H45:H50" si="6">D45/$G$15</f>
        <v>0.46691228939487517</v>
      </c>
      <c r="I45" s="50"/>
      <c r="J45" s="56"/>
    </row>
    <row r="46" spans="3:57" ht="13.8">
      <c r="D46" s="67">
        <f>AM32+AO31+AO32</f>
        <v>276.91999999999996</v>
      </c>
      <c r="E46" s="50"/>
      <c r="F46" s="56"/>
      <c r="H46" s="85">
        <f t="shared" si="6"/>
        <v>0.47424900299017309</v>
      </c>
      <c r="I46" s="50"/>
      <c r="J46" s="56"/>
    </row>
    <row r="47" spans="3:57" ht="13.8">
      <c r="D47" s="67">
        <f>AM33+SUM(AO31:AO33)</f>
        <v>412.94800000000004</v>
      </c>
      <c r="E47" s="50"/>
      <c r="F47" s="56"/>
      <c r="H47" s="85">
        <f t="shared" si="6"/>
        <v>0.70720849807448372</v>
      </c>
      <c r="I47" s="50"/>
      <c r="J47" s="56"/>
    </row>
    <row r="48" spans="3:57" ht="13.8">
      <c r="D48" s="67">
        <f>AM34+SUM(AO31:AO34)</f>
        <v>418.21600000000001</v>
      </c>
      <c r="E48" s="50"/>
      <c r="F48" s="56"/>
      <c r="H48" s="85">
        <f t="shared" si="6"/>
        <v>0.71623039518466802</v>
      </c>
      <c r="I48" s="50"/>
      <c r="J48" s="56"/>
    </row>
    <row r="49" spans="4:10" ht="13.8">
      <c r="D49" s="67">
        <f>AM35+AM34+SUM(AO31:AO35)</f>
        <v>439.06200000000001</v>
      </c>
      <c r="E49" s="50"/>
      <c r="F49" s="56"/>
      <c r="H49" s="85">
        <f t="shared" si="6"/>
        <v>0.75193093944414058</v>
      </c>
      <c r="I49" s="50"/>
      <c r="J49" s="56"/>
    </row>
    <row r="50" spans="4:10" ht="13.8">
      <c r="D50" s="68">
        <f>AM36+AM35+AM34+SUM(AO31:AO36)</f>
        <v>440.54600000000005</v>
      </c>
      <c r="E50" s="60"/>
      <c r="F50" s="61"/>
      <c r="H50" s="86">
        <f t="shared" si="6"/>
        <v>0.75447241539545296</v>
      </c>
      <c r="I50" s="60"/>
      <c r="J50" s="61"/>
    </row>
  </sheetData>
  <mergeCells count="62">
    <mergeCell ref="T27:V27"/>
    <mergeCell ref="X27:Z27"/>
    <mergeCell ref="AB27:AJ27"/>
    <mergeCell ref="AL27:AQ27"/>
    <mergeCell ref="B2:F2"/>
    <mergeCell ref="U3:X3"/>
    <mergeCell ref="Y3:AB3"/>
    <mergeCell ref="B9:D9"/>
    <mergeCell ref="F9:I9"/>
    <mergeCell ref="K9:M9"/>
    <mergeCell ref="S3:S5"/>
    <mergeCell ref="T4:T5"/>
    <mergeCell ref="AS27:AX27"/>
    <mergeCell ref="AZ27:BE27"/>
    <mergeCell ref="AB28:AD28"/>
    <mergeCell ref="AE28:AG28"/>
    <mergeCell ref="AH28:AJ28"/>
    <mergeCell ref="AL28:AM28"/>
    <mergeCell ref="AN28:AO28"/>
    <mergeCell ref="AP28:AQ28"/>
    <mergeCell ref="AS28:AT28"/>
    <mergeCell ref="AU28:AV28"/>
    <mergeCell ref="AW28:AX28"/>
    <mergeCell ref="AZ28:BA28"/>
    <mergeCell ref="BB28:BC28"/>
    <mergeCell ref="BD28:BE28"/>
    <mergeCell ref="O30:P30"/>
    <mergeCell ref="Q30:R30"/>
    <mergeCell ref="O31:P31"/>
    <mergeCell ref="Q31:R31"/>
    <mergeCell ref="O32:P32"/>
    <mergeCell ref="Q32:R32"/>
    <mergeCell ref="O38:P38"/>
    <mergeCell ref="Q38:R38"/>
    <mergeCell ref="O33:P33"/>
    <mergeCell ref="Q33:R33"/>
    <mergeCell ref="O34:P34"/>
    <mergeCell ref="Q34:R34"/>
    <mergeCell ref="O35:P35"/>
    <mergeCell ref="Q35:R35"/>
    <mergeCell ref="F15:F16"/>
    <mergeCell ref="F19:F20"/>
    <mergeCell ref="H28:H29"/>
    <mergeCell ref="E28:G29"/>
    <mergeCell ref="I28:J29"/>
    <mergeCell ref="D27:R27"/>
    <mergeCell ref="K28:L29"/>
    <mergeCell ref="M28:N29"/>
    <mergeCell ref="O28:P29"/>
    <mergeCell ref="Q28:R29"/>
    <mergeCell ref="D43:F43"/>
    <mergeCell ref="H43:J43"/>
    <mergeCell ref="D28:D29"/>
    <mergeCell ref="E39:G39"/>
    <mergeCell ref="O39:P39"/>
    <mergeCell ref="Q39:R39"/>
    <mergeCell ref="D42:F42"/>
    <mergeCell ref="H42:J42"/>
    <mergeCell ref="O36:P36"/>
    <mergeCell ref="Q36:R36"/>
    <mergeCell ref="O37:P37"/>
    <mergeCell ref="Q37:R37"/>
  </mergeCells>
  <pageMargins left="0.7" right="0.7" top="0.75" bottom="0.75" header="0.511811023622047" footer="0.511811023622047"/>
  <pageSetup orientation="portrait" horizontalDpi="300" verticalDpi="300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>
    <tabColor theme="9" tint="0.59999389629810485"/>
  </sheetPr>
  <dimension ref="B2:BE50"/>
  <sheetViews>
    <sheetView zoomScale="70" zoomScaleNormal="70" workbookViewId="0"/>
  </sheetViews>
  <sheetFormatPr defaultColWidth="10" defaultRowHeight="16.2" customHeight="1"/>
  <cols>
    <col min="1" max="1" width="10" style="45"/>
    <col min="2" max="2" width="23.8984375" style="45" customWidth="1"/>
    <col min="3" max="3" width="2.3984375" style="45" customWidth="1"/>
    <col min="4" max="4" width="19.5" style="45" customWidth="1"/>
    <col min="5" max="5" width="10" style="45"/>
    <col min="6" max="6" width="16.69921875" style="45" customWidth="1"/>
    <col min="7" max="8" width="11.09765625" style="45" customWidth="1"/>
    <col min="9" max="19" width="10" style="45"/>
    <col min="20" max="20" width="26.296875" style="45" customWidth="1"/>
    <col min="21" max="16384" width="10" style="45"/>
  </cols>
  <sheetData>
    <row r="2" spans="2:28" ht="13.8">
      <c r="B2" s="356" t="s">
        <v>116</v>
      </c>
      <c r="C2" s="356"/>
      <c r="D2" s="356"/>
      <c r="E2" s="356"/>
      <c r="F2" s="356"/>
    </row>
    <row r="3" spans="2:28" ht="13.8">
      <c r="S3" s="357" t="s">
        <v>117</v>
      </c>
      <c r="T3" s="103" t="s">
        <v>118</v>
      </c>
      <c r="U3" s="358" t="s">
        <v>119</v>
      </c>
      <c r="V3" s="358"/>
      <c r="W3" s="358"/>
      <c r="X3" s="358"/>
      <c r="Y3" s="359" t="s">
        <v>120</v>
      </c>
      <c r="Z3" s="359"/>
      <c r="AA3" s="359"/>
      <c r="AB3" s="359"/>
    </row>
    <row r="4" spans="2:28" ht="13.8">
      <c r="B4" s="46" t="s">
        <v>121</v>
      </c>
      <c r="C4" s="47" t="s">
        <v>122</v>
      </c>
      <c r="D4" s="48" t="s">
        <v>9</v>
      </c>
      <c r="E4" s="48"/>
      <c r="F4" s="48"/>
      <c r="G4" s="48"/>
      <c r="H4" s="48"/>
      <c r="I4" s="87"/>
      <c r="S4" s="357"/>
      <c r="T4" s="360" t="s">
        <v>124</v>
      </c>
      <c r="U4" s="104" t="s">
        <v>125</v>
      </c>
      <c r="V4" s="104" t="s">
        <v>126</v>
      </c>
      <c r="W4" s="104" t="s">
        <v>127</v>
      </c>
      <c r="X4" s="104" t="s">
        <v>128</v>
      </c>
      <c r="Y4" s="104" t="s">
        <v>125</v>
      </c>
      <c r="Z4" s="104" t="s">
        <v>126</v>
      </c>
      <c r="AA4" s="104" t="s">
        <v>127</v>
      </c>
      <c r="AB4" s="122" t="s">
        <v>128</v>
      </c>
    </row>
    <row r="5" spans="2:28" ht="13.8">
      <c r="B5" s="49" t="s">
        <v>129</v>
      </c>
      <c r="C5" s="50" t="s">
        <v>122</v>
      </c>
      <c r="D5" s="45" t="s">
        <v>26</v>
      </c>
      <c r="I5" s="88"/>
      <c r="S5" s="357"/>
      <c r="T5" s="360"/>
      <c r="U5" s="104" t="s">
        <v>131</v>
      </c>
      <c r="V5" s="104" t="s">
        <v>106</v>
      </c>
      <c r="W5" s="104" t="s">
        <v>106</v>
      </c>
      <c r="X5" s="104" t="s">
        <v>106</v>
      </c>
      <c r="Y5" s="104" t="s">
        <v>131</v>
      </c>
      <c r="Z5" s="104" t="s">
        <v>106</v>
      </c>
      <c r="AA5" s="104" t="s">
        <v>106</v>
      </c>
      <c r="AB5" s="122" t="s">
        <v>106</v>
      </c>
    </row>
    <row r="6" spans="2:28" ht="13.8">
      <c r="B6" s="49" t="s">
        <v>132</v>
      </c>
      <c r="C6" s="50" t="s">
        <v>122</v>
      </c>
      <c r="D6" s="51">
        <v>46231</v>
      </c>
      <c r="E6" s="147">
        <v>46233</v>
      </c>
      <c r="I6" s="88"/>
      <c r="S6" s="105">
        <v>1</v>
      </c>
      <c r="T6" s="34" t="s">
        <v>134</v>
      </c>
      <c r="U6" s="112"/>
      <c r="V6" s="34">
        <v>0.746</v>
      </c>
      <c r="W6" s="34">
        <v>0.76</v>
      </c>
      <c r="X6" s="34">
        <v>10.210000000000001</v>
      </c>
      <c r="Y6" s="34"/>
      <c r="Z6" s="34"/>
      <c r="AA6" s="34"/>
      <c r="AB6" s="120"/>
    </row>
    <row r="7" spans="2:28" ht="13.8">
      <c r="B7" s="52" t="s">
        <v>135</v>
      </c>
      <c r="C7" s="53" t="s">
        <v>122</v>
      </c>
      <c r="D7" s="54"/>
      <c r="E7" s="54"/>
      <c r="F7" s="54"/>
      <c r="G7" s="54"/>
      <c r="H7" s="54"/>
      <c r="I7" s="89"/>
      <c r="S7" s="105">
        <v>2</v>
      </c>
      <c r="T7" s="34" t="s">
        <v>137</v>
      </c>
      <c r="U7" s="34"/>
      <c r="V7" s="112">
        <v>0.74099999999999999</v>
      </c>
      <c r="W7" s="112">
        <v>0.78</v>
      </c>
      <c r="X7" s="34">
        <v>10.220000000000001</v>
      </c>
      <c r="Y7" s="34"/>
      <c r="Z7" s="34"/>
      <c r="AA7" s="34"/>
      <c r="AB7" s="120"/>
    </row>
    <row r="8" spans="2:28" ht="13.8">
      <c r="S8" s="105">
        <v>3</v>
      </c>
      <c r="T8" s="34" t="s">
        <v>138</v>
      </c>
      <c r="U8" s="34"/>
      <c r="V8" s="112">
        <v>0.71899999999999997</v>
      </c>
      <c r="W8" s="34">
        <v>0.77</v>
      </c>
      <c r="X8" s="34">
        <v>10.27</v>
      </c>
      <c r="Y8" s="34"/>
      <c r="Z8" s="34"/>
      <c r="AA8" s="34"/>
      <c r="AB8" s="120"/>
    </row>
    <row r="9" spans="2:28" ht="13.8">
      <c r="B9" s="361" t="s">
        <v>139</v>
      </c>
      <c r="C9" s="361"/>
      <c r="D9" s="361"/>
      <c r="F9" s="362" t="s">
        <v>140</v>
      </c>
      <c r="G9" s="362"/>
      <c r="H9" s="362"/>
      <c r="I9" s="362"/>
      <c r="K9" s="363" t="s">
        <v>141</v>
      </c>
      <c r="L9" s="363"/>
      <c r="M9" s="363"/>
      <c r="S9" s="105">
        <v>4</v>
      </c>
      <c r="T9" s="106" t="s">
        <v>142</v>
      </c>
      <c r="U9" s="112"/>
      <c r="V9" s="34"/>
      <c r="W9" s="34"/>
      <c r="X9" s="34"/>
      <c r="Y9" s="34"/>
      <c r="Z9" s="34"/>
      <c r="AA9" s="34"/>
      <c r="AB9" s="120"/>
    </row>
    <row r="10" spans="2:28" ht="13.8">
      <c r="B10" s="55" t="s">
        <v>108</v>
      </c>
      <c r="C10" s="50" t="s">
        <v>122</v>
      </c>
      <c r="D10" s="56" t="s">
        <v>143</v>
      </c>
      <c r="F10" s="69"/>
      <c r="G10" s="70" t="s">
        <v>126</v>
      </c>
      <c r="H10" s="70" t="s">
        <v>127</v>
      </c>
      <c r="I10" s="90" t="s">
        <v>128</v>
      </c>
      <c r="K10" s="62" t="s">
        <v>144</v>
      </c>
      <c r="L10" s="91">
        <f>(F38/1012)*1000</f>
        <v>5.928853754940711</v>
      </c>
      <c r="M10" s="100" t="s">
        <v>145</v>
      </c>
      <c r="S10" s="105">
        <v>5</v>
      </c>
      <c r="T10" s="34" t="s">
        <v>146</v>
      </c>
      <c r="U10" s="112"/>
      <c r="V10" s="34">
        <v>0.254</v>
      </c>
      <c r="W10" s="113">
        <v>0.15</v>
      </c>
      <c r="X10" s="34">
        <v>9.33</v>
      </c>
      <c r="Y10" s="34"/>
      <c r="Z10" s="34"/>
      <c r="AA10" s="34"/>
      <c r="AB10" s="120"/>
    </row>
    <row r="11" spans="2:28" ht="13.8">
      <c r="B11" s="55" t="s">
        <v>147</v>
      </c>
      <c r="C11" s="50" t="s">
        <v>122</v>
      </c>
      <c r="D11" s="56">
        <v>1000</v>
      </c>
      <c r="F11" s="71" t="s">
        <v>148</v>
      </c>
      <c r="G11" s="72">
        <f t="shared" ref="G11:I11" si="0">AVERAGE(V6:V8)</f>
        <v>0.73533333333333328</v>
      </c>
      <c r="H11" s="72">
        <f t="shared" si="0"/>
        <v>0.77</v>
      </c>
      <c r="I11" s="92">
        <f t="shared" si="0"/>
        <v>10.233333333333333</v>
      </c>
      <c r="K11" s="62" t="s">
        <v>149</v>
      </c>
      <c r="L11" s="91">
        <f>((E38-(($J37*1518)/10000000))/1012)*1000</f>
        <v>1.5019762845849802</v>
      </c>
      <c r="M11" s="100" t="s">
        <v>145</v>
      </c>
      <c r="S11" s="105">
        <v>6</v>
      </c>
      <c r="T11" s="34" t="s">
        <v>150</v>
      </c>
      <c r="U11" s="34"/>
      <c r="V11" s="34">
        <v>0.22900000000000001</v>
      </c>
      <c r="W11" s="34">
        <v>0.13</v>
      </c>
      <c r="X11" s="112">
        <v>9.26</v>
      </c>
      <c r="Y11" s="34"/>
      <c r="Z11" s="34"/>
      <c r="AA11" s="34"/>
      <c r="AB11" s="120"/>
    </row>
    <row r="12" spans="2:28" ht="13.8">
      <c r="B12" s="55" t="s">
        <v>151</v>
      </c>
      <c r="C12" s="50" t="s">
        <v>122</v>
      </c>
      <c r="D12" s="57">
        <v>0.4</v>
      </c>
      <c r="F12" s="73" t="s">
        <v>152</v>
      </c>
      <c r="G12" s="74">
        <f>AVERAGE(V10:V12)</f>
        <v>0.23866666666666667</v>
      </c>
      <c r="H12" s="74">
        <f>AVERAGE(W10:W13)</f>
        <v>0.14000000000000001</v>
      </c>
      <c r="I12" s="93">
        <f>AVERAGE(X10:X13)</f>
        <v>9.2633333333333336</v>
      </c>
      <c r="K12" s="94" t="s">
        <v>153</v>
      </c>
      <c r="L12" s="81"/>
      <c r="M12" s="101"/>
      <c r="S12" s="107">
        <v>7</v>
      </c>
      <c r="T12" s="34" t="s">
        <v>154</v>
      </c>
      <c r="U12" s="114"/>
      <c r="V12" s="114">
        <v>0.23300000000000001</v>
      </c>
      <c r="W12" s="114">
        <v>0.14000000000000001</v>
      </c>
      <c r="X12" s="114">
        <v>9.1999999999999993</v>
      </c>
      <c r="Y12" s="114"/>
      <c r="Z12" s="114"/>
      <c r="AA12" s="114"/>
      <c r="AB12" s="123"/>
    </row>
    <row r="13" spans="2:28" ht="13.8">
      <c r="B13" s="55" t="s">
        <v>155</v>
      </c>
      <c r="C13" s="50" t="s">
        <v>122</v>
      </c>
      <c r="D13" s="57">
        <v>0.6</v>
      </c>
      <c r="S13" s="105">
        <v>8</v>
      </c>
      <c r="T13" s="34" t="s">
        <v>156</v>
      </c>
      <c r="U13" s="34"/>
      <c r="V13" s="112"/>
      <c r="W13" s="113"/>
      <c r="X13" s="34"/>
      <c r="Y13" s="34"/>
      <c r="Z13" s="34"/>
      <c r="AA13" s="34"/>
      <c r="AB13" s="120"/>
    </row>
    <row r="14" spans="2:28" ht="13.8">
      <c r="B14" s="55" t="s">
        <v>157</v>
      </c>
      <c r="C14" s="50" t="s">
        <v>122</v>
      </c>
      <c r="D14" s="56" t="s">
        <v>158</v>
      </c>
      <c r="F14" s="75" t="s">
        <v>159</v>
      </c>
      <c r="G14" s="76">
        <f>G12*D20</f>
        <v>241.53066666666666</v>
      </c>
      <c r="H14" s="76"/>
      <c r="I14" s="95"/>
      <c r="S14" s="105">
        <v>9</v>
      </c>
      <c r="T14" s="34" t="s">
        <v>160</v>
      </c>
      <c r="U14" s="34"/>
      <c r="V14" s="34"/>
      <c r="W14" s="34"/>
      <c r="X14" s="34"/>
      <c r="Y14" s="34"/>
      <c r="Z14" s="34">
        <v>7.5999999999999998E-2</v>
      </c>
      <c r="AA14" s="34"/>
      <c r="AB14" s="120"/>
    </row>
    <row r="15" spans="2:28" ht="16.2" customHeight="1">
      <c r="B15" s="55" t="s">
        <v>161</v>
      </c>
      <c r="C15" s="50" t="s">
        <v>122</v>
      </c>
      <c r="D15" s="56">
        <v>2.1</v>
      </c>
      <c r="F15" s="351" t="s">
        <v>162</v>
      </c>
      <c r="G15" s="77">
        <f>G14+D50</f>
        <v>984.1536666666666</v>
      </c>
      <c r="H15" s="77"/>
      <c r="I15" s="96"/>
      <c r="S15" s="105">
        <v>10</v>
      </c>
      <c r="T15" s="34" t="s">
        <v>163</v>
      </c>
      <c r="U15" s="34"/>
      <c r="V15" s="34"/>
      <c r="W15" s="34"/>
      <c r="X15" s="34"/>
      <c r="Y15" s="34"/>
      <c r="Z15" s="34">
        <v>0.156</v>
      </c>
      <c r="AA15" s="34"/>
      <c r="AB15" s="120"/>
    </row>
    <row r="16" spans="2:28" ht="13.8">
      <c r="B16" s="55" t="s">
        <v>164</v>
      </c>
      <c r="C16" s="50" t="s">
        <v>122</v>
      </c>
      <c r="D16" s="56">
        <v>1.27</v>
      </c>
      <c r="F16" s="351"/>
      <c r="G16" s="78"/>
      <c r="H16" s="78"/>
      <c r="I16" s="97"/>
      <c r="J16" s="45">
        <f>G15/D23</f>
        <v>0.97248386034255596</v>
      </c>
      <c r="S16" s="105">
        <v>11</v>
      </c>
      <c r="T16" s="34" t="s">
        <v>165</v>
      </c>
      <c r="U16" s="34"/>
      <c r="V16" s="34"/>
      <c r="W16" s="34"/>
      <c r="X16" s="34"/>
      <c r="Y16" s="34"/>
      <c r="Z16" s="34">
        <v>0.192</v>
      </c>
      <c r="AA16" s="34"/>
      <c r="AB16" s="120"/>
    </row>
    <row r="17" spans="2:57" ht="13.8">
      <c r="B17" s="55" t="s">
        <v>166</v>
      </c>
      <c r="C17" s="50" t="s">
        <v>122</v>
      </c>
      <c r="D17" s="56">
        <v>2</v>
      </c>
      <c r="S17" s="105">
        <v>12</v>
      </c>
      <c r="T17" s="34" t="s">
        <v>167</v>
      </c>
      <c r="Z17" s="124">
        <v>0.20599999999999999</v>
      </c>
      <c r="AA17" s="114"/>
      <c r="AB17" s="123"/>
    </row>
    <row r="18" spans="2:57" ht="13.8">
      <c r="B18" s="55" t="s">
        <v>168</v>
      </c>
      <c r="C18" s="50" t="s">
        <v>122</v>
      </c>
      <c r="D18" s="56">
        <v>48</v>
      </c>
      <c r="F18" s="75" t="s">
        <v>169</v>
      </c>
      <c r="G18" s="76"/>
      <c r="H18" s="76"/>
      <c r="I18" s="95"/>
      <c r="O18" s="45">
        <v>4</v>
      </c>
      <c r="S18" s="105">
        <v>13</v>
      </c>
      <c r="T18" s="34" t="s">
        <v>170</v>
      </c>
      <c r="U18" s="34"/>
      <c r="V18" s="34"/>
      <c r="W18" s="34"/>
      <c r="X18" s="34"/>
      <c r="Y18" s="34"/>
      <c r="Z18" s="154">
        <v>0.25</v>
      </c>
      <c r="AA18" s="124"/>
      <c r="AB18" s="125"/>
    </row>
    <row r="19" spans="2:57" ht="16.2" customHeight="1">
      <c r="B19" s="55" t="s">
        <v>171</v>
      </c>
      <c r="C19" s="50" t="s">
        <v>122</v>
      </c>
      <c r="D19" s="58">
        <v>1280</v>
      </c>
      <c r="F19" s="351" t="s">
        <v>172</v>
      </c>
      <c r="G19" s="77"/>
      <c r="H19" s="77"/>
      <c r="I19" s="96"/>
      <c r="S19" s="108">
        <v>14</v>
      </c>
      <c r="T19" s="109" t="s">
        <v>173</v>
      </c>
      <c r="U19" s="109"/>
      <c r="V19" s="109"/>
      <c r="W19" s="109"/>
      <c r="X19" s="109"/>
      <c r="Y19" s="109"/>
      <c r="Z19" s="146">
        <v>1.0999999999999999E-2</v>
      </c>
      <c r="AA19" s="126"/>
      <c r="AB19" s="127"/>
    </row>
    <row r="20" spans="2:57" ht="13.8">
      <c r="B20" s="55" t="s">
        <v>174</v>
      </c>
      <c r="C20" s="50" t="s">
        <v>122</v>
      </c>
      <c r="D20" s="56">
        <v>1012</v>
      </c>
      <c r="F20" s="351"/>
      <c r="G20" s="78"/>
      <c r="H20" s="78"/>
      <c r="I20" s="97"/>
    </row>
    <row r="21" spans="2:57" ht="13.8">
      <c r="B21" s="55" t="s">
        <v>175</v>
      </c>
      <c r="C21" s="50" t="s">
        <v>122</v>
      </c>
      <c r="D21" s="56">
        <v>1518</v>
      </c>
    </row>
    <row r="22" spans="2:57" ht="13.8">
      <c r="B22" s="55" t="s">
        <v>176</v>
      </c>
      <c r="C22" s="50" t="s">
        <v>122</v>
      </c>
      <c r="D22" s="56">
        <v>2000</v>
      </c>
    </row>
    <row r="23" spans="2:57" ht="13.8">
      <c r="B23" s="59" t="s">
        <v>177</v>
      </c>
      <c r="C23" s="60" t="s">
        <v>122</v>
      </c>
      <c r="D23" s="61">
        <v>1012</v>
      </c>
    </row>
    <row r="24" spans="2:57" ht="13.8">
      <c r="B24" s="50"/>
      <c r="C24" s="50"/>
      <c r="D24" s="50"/>
    </row>
    <row r="27" spans="2:57" ht="13.8">
      <c r="D27" s="352" t="s">
        <v>178</v>
      </c>
      <c r="E27" s="352"/>
      <c r="F27" s="352"/>
      <c r="G27" s="352"/>
      <c r="H27" s="352"/>
      <c r="I27" s="352"/>
      <c r="J27" s="352"/>
      <c r="K27" s="352"/>
      <c r="L27" s="352"/>
      <c r="M27" s="352"/>
      <c r="N27" s="352"/>
      <c r="O27" s="352"/>
      <c r="P27" s="352"/>
      <c r="Q27" s="352"/>
      <c r="R27" s="352"/>
      <c r="T27" s="353" t="s">
        <v>179</v>
      </c>
      <c r="U27" s="353"/>
      <c r="V27" s="353"/>
      <c r="X27" s="354" t="s">
        <v>180</v>
      </c>
      <c r="Y27" s="354"/>
      <c r="Z27" s="354"/>
      <c r="AA27"/>
      <c r="AB27" s="355" t="s">
        <v>181</v>
      </c>
      <c r="AC27" s="355"/>
      <c r="AD27" s="355"/>
      <c r="AE27" s="355"/>
      <c r="AF27" s="355"/>
      <c r="AG27" s="355"/>
      <c r="AH27" s="355"/>
      <c r="AI27" s="355"/>
      <c r="AJ27" s="355"/>
      <c r="AK27"/>
      <c r="AL27" s="346" t="s">
        <v>182</v>
      </c>
      <c r="AM27" s="346"/>
      <c r="AN27" s="346"/>
      <c r="AO27" s="346"/>
      <c r="AP27" s="346"/>
      <c r="AQ27" s="346"/>
      <c r="AS27" s="347" t="s">
        <v>183</v>
      </c>
      <c r="AT27" s="347"/>
      <c r="AU27" s="347"/>
      <c r="AV27" s="347"/>
      <c r="AW27" s="347"/>
      <c r="AX27" s="347"/>
      <c r="AZ27" s="348" t="s">
        <v>184</v>
      </c>
      <c r="BA27" s="348"/>
      <c r="BB27" s="348"/>
      <c r="BC27" s="348"/>
      <c r="BD27" s="348"/>
      <c r="BE27" s="348"/>
    </row>
    <row r="28" spans="2:57" ht="13.8">
      <c r="D28" s="349" t="s">
        <v>185</v>
      </c>
      <c r="E28" s="350" t="s">
        <v>186</v>
      </c>
      <c r="F28" s="350"/>
      <c r="G28" s="350"/>
      <c r="H28" s="350" t="s">
        <v>187</v>
      </c>
      <c r="I28" s="350" t="s">
        <v>188</v>
      </c>
      <c r="J28" s="350"/>
      <c r="K28" s="350" t="s">
        <v>108</v>
      </c>
      <c r="L28" s="350"/>
      <c r="M28" s="350" t="s">
        <v>189</v>
      </c>
      <c r="N28" s="350"/>
      <c r="O28" s="350" t="s">
        <v>190</v>
      </c>
      <c r="P28" s="350"/>
      <c r="Q28" s="340" t="s">
        <v>191</v>
      </c>
      <c r="R28" s="340"/>
      <c r="T28" s="110" t="s">
        <v>192</v>
      </c>
      <c r="U28" s="115" t="s">
        <v>193</v>
      </c>
      <c r="V28" s="116" t="s">
        <v>194</v>
      </c>
      <c r="X28" s="117" t="s">
        <v>192</v>
      </c>
      <c r="Y28" s="128" t="s">
        <v>193</v>
      </c>
      <c r="Z28" s="129" t="s">
        <v>194</v>
      </c>
      <c r="AA28"/>
      <c r="AB28" s="341" t="s">
        <v>126</v>
      </c>
      <c r="AC28" s="341"/>
      <c r="AD28" s="341"/>
      <c r="AE28" s="342" t="s">
        <v>127</v>
      </c>
      <c r="AF28" s="342"/>
      <c r="AG28" s="342"/>
      <c r="AH28" s="343" t="s">
        <v>128</v>
      </c>
      <c r="AI28" s="343"/>
      <c r="AJ28" s="343"/>
      <c r="AK28"/>
      <c r="AL28" s="344" t="s">
        <v>195</v>
      </c>
      <c r="AM28" s="344"/>
      <c r="AN28" s="345" t="s">
        <v>196</v>
      </c>
      <c r="AO28" s="345"/>
      <c r="AP28" s="334" t="s">
        <v>197</v>
      </c>
      <c r="AQ28" s="334"/>
      <c r="AS28" s="335" t="s">
        <v>195</v>
      </c>
      <c r="AT28" s="335"/>
      <c r="AU28" s="336" t="s">
        <v>196</v>
      </c>
      <c r="AV28" s="336"/>
      <c r="AW28" s="337" t="s">
        <v>197</v>
      </c>
      <c r="AX28" s="337"/>
      <c r="AZ28" s="338" t="s">
        <v>195</v>
      </c>
      <c r="BA28" s="338"/>
      <c r="BB28" s="339" t="s">
        <v>196</v>
      </c>
      <c r="BC28" s="339"/>
      <c r="BD28" s="331" t="s">
        <v>197</v>
      </c>
      <c r="BE28" s="331"/>
    </row>
    <row r="29" spans="2:57" ht="13.8">
      <c r="D29" s="349"/>
      <c r="E29" s="350"/>
      <c r="F29" s="350"/>
      <c r="G29" s="350"/>
      <c r="H29" s="350"/>
      <c r="I29" s="350"/>
      <c r="J29" s="350"/>
      <c r="K29" s="350"/>
      <c r="L29" s="350"/>
      <c r="M29" s="350"/>
      <c r="N29" s="350"/>
      <c r="O29" s="350"/>
      <c r="P29" s="350"/>
      <c r="Q29" s="340"/>
      <c r="R29" s="340"/>
      <c r="T29" s="110"/>
      <c r="U29" s="115"/>
      <c r="V29" s="116"/>
      <c r="X29" s="117"/>
      <c r="Y29" s="128"/>
      <c r="Z29" s="129"/>
      <c r="AA29"/>
      <c r="AB29" s="130" t="s">
        <v>192</v>
      </c>
      <c r="AC29" s="132" t="s">
        <v>193</v>
      </c>
      <c r="AD29" s="132" t="s">
        <v>194</v>
      </c>
      <c r="AE29" s="132" t="s">
        <v>192</v>
      </c>
      <c r="AF29" s="132" t="s">
        <v>198</v>
      </c>
      <c r="AG29" s="132" t="s">
        <v>194</v>
      </c>
      <c r="AH29" s="132" t="s">
        <v>192</v>
      </c>
      <c r="AI29" s="132" t="s">
        <v>193</v>
      </c>
      <c r="AJ29" s="133" t="s">
        <v>194</v>
      </c>
      <c r="AK29"/>
      <c r="AL29" s="134" t="s">
        <v>199</v>
      </c>
      <c r="AM29" s="135" t="s">
        <v>200</v>
      </c>
      <c r="AN29" s="135" t="s">
        <v>199</v>
      </c>
      <c r="AO29" s="135" t="s">
        <v>201</v>
      </c>
      <c r="AP29" s="135" t="s">
        <v>199</v>
      </c>
      <c r="AQ29" s="137" t="s">
        <v>201</v>
      </c>
      <c r="AS29" s="138" t="s">
        <v>199</v>
      </c>
      <c r="AT29" s="139" t="s">
        <v>200</v>
      </c>
      <c r="AU29" s="139" t="s">
        <v>199</v>
      </c>
      <c r="AV29" s="139" t="s">
        <v>201</v>
      </c>
      <c r="AW29" s="139" t="s">
        <v>199</v>
      </c>
      <c r="AX29" s="140" t="s">
        <v>201</v>
      </c>
      <c r="AZ29" s="141" t="s">
        <v>199</v>
      </c>
      <c r="BA29" s="142" t="s">
        <v>200</v>
      </c>
      <c r="BB29" s="142" t="s">
        <v>199</v>
      </c>
      <c r="BC29" s="142" t="s">
        <v>201</v>
      </c>
      <c r="BD29" s="142" t="s">
        <v>199</v>
      </c>
      <c r="BE29" s="143" t="s">
        <v>201</v>
      </c>
    </row>
    <row r="30" spans="2:57" ht="13.8">
      <c r="C30" s="50"/>
      <c r="D30" s="62" t="s">
        <v>202</v>
      </c>
      <c r="E30" s="79" t="s">
        <v>203</v>
      </c>
      <c r="F30" s="79" t="s">
        <v>204</v>
      </c>
      <c r="G30" s="79" t="s">
        <v>205</v>
      </c>
      <c r="H30" s="79" t="s">
        <v>106</v>
      </c>
      <c r="I30" s="79" t="s">
        <v>206</v>
      </c>
      <c r="J30" s="79" t="s">
        <v>207</v>
      </c>
      <c r="K30" s="79" t="s">
        <v>206</v>
      </c>
      <c r="L30" s="79" t="s">
        <v>207</v>
      </c>
      <c r="M30" s="79" t="s">
        <v>206</v>
      </c>
      <c r="N30" s="79" t="s">
        <v>207</v>
      </c>
      <c r="O30" s="332" t="s">
        <v>208</v>
      </c>
      <c r="P30" s="332"/>
      <c r="Q30" s="333" t="s">
        <v>208</v>
      </c>
      <c r="R30" s="333"/>
      <c r="T30" s="111" t="s">
        <v>208</v>
      </c>
      <c r="U30" s="118" t="s">
        <v>209</v>
      </c>
      <c r="V30" s="119" t="s">
        <v>209</v>
      </c>
      <c r="X30" s="111" t="s">
        <v>209</v>
      </c>
      <c r="Y30" s="118" t="s">
        <v>208</v>
      </c>
      <c r="Z30" s="119" t="s">
        <v>209</v>
      </c>
      <c r="AA30"/>
      <c r="AB30" s="105"/>
      <c r="AC30" s="34"/>
      <c r="AD30" s="34"/>
      <c r="AE30" s="34"/>
      <c r="AF30" s="34"/>
      <c r="AG30" s="34"/>
      <c r="AH30" s="34"/>
      <c r="AI30" s="34"/>
      <c r="AJ30" s="120"/>
      <c r="AK30"/>
      <c r="AL30" s="105"/>
      <c r="AM30" s="34"/>
      <c r="AN30" s="34"/>
      <c r="AO30" s="34"/>
      <c r="AP30" s="34"/>
      <c r="AQ30" s="120"/>
      <c r="AS30" s="105"/>
      <c r="AT30" s="34"/>
      <c r="AU30" s="34"/>
      <c r="AV30" s="34"/>
      <c r="AW30" s="34"/>
      <c r="AX30" s="120"/>
      <c r="AZ30" s="105"/>
      <c r="BA30" s="34"/>
      <c r="BB30" s="34"/>
      <c r="BC30" s="34"/>
      <c r="BD30" s="34"/>
      <c r="BE30" s="120"/>
    </row>
    <row r="31" spans="2:57" ht="13.8">
      <c r="D31" s="63">
        <v>0</v>
      </c>
      <c r="E31" s="80">
        <v>1.52</v>
      </c>
      <c r="F31" s="148">
        <v>4.5</v>
      </c>
      <c r="G31" s="80"/>
      <c r="H31" s="80"/>
      <c r="I31" s="12">
        <v>0</v>
      </c>
      <c r="J31" s="148">
        <v>1000</v>
      </c>
      <c r="K31" s="148">
        <v>7</v>
      </c>
      <c r="L31" s="148">
        <v>11</v>
      </c>
      <c r="M31" s="151">
        <v>3855</v>
      </c>
      <c r="N31" s="151">
        <v>3855</v>
      </c>
      <c r="O31" s="329">
        <v>2000</v>
      </c>
      <c r="P31" s="329"/>
      <c r="Q31" s="330">
        <v>0</v>
      </c>
      <c r="R31" s="330"/>
      <c r="T31" s="105">
        <v>1012</v>
      </c>
      <c r="U31" s="34">
        <f>M31-$D$20-$D$19</f>
        <v>1563</v>
      </c>
      <c r="V31" s="120"/>
      <c r="X31" s="105"/>
      <c r="Y31" s="34">
        <v>40</v>
      </c>
      <c r="Z31" s="120"/>
      <c r="AA31"/>
      <c r="AB31" s="105"/>
      <c r="AC31" s="34">
        <f t="shared" ref="AC31:AC36" si="1">Z14</f>
        <v>7.5999999999999998E-2</v>
      </c>
      <c r="AD31" s="34"/>
      <c r="AE31" s="34"/>
      <c r="AF31" s="34"/>
      <c r="AG31" s="34"/>
      <c r="AH31" s="34"/>
      <c r="AI31" s="34"/>
      <c r="AJ31" s="120"/>
      <c r="AK31"/>
      <c r="AL31" s="105"/>
      <c r="AM31" s="136">
        <f t="shared" ref="AM31:AM37" si="2">AC31*U32</f>
        <v>114.988</v>
      </c>
      <c r="AN31" s="34"/>
      <c r="AO31" s="34">
        <f t="shared" ref="AO31:AO37" si="3">Y31*AC31</f>
        <v>3.04</v>
      </c>
      <c r="AP31" s="34"/>
      <c r="AQ31" s="120"/>
      <c r="AS31" s="105"/>
      <c r="AT31" s="34"/>
      <c r="AU31" s="34"/>
      <c r="AV31" s="34"/>
      <c r="AW31" s="34"/>
      <c r="AX31" s="120"/>
      <c r="AZ31" s="105"/>
      <c r="BA31" s="34"/>
      <c r="BB31" s="34"/>
      <c r="BC31" s="34"/>
      <c r="BD31" s="34"/>
      <c r="BE31" s="120"/>
    </row>
    <row r="32" spans="2:57" ht="13.8">
      <c r="C32" s="45">
        <v>4</v>
      </c>
      <c r="D32" s="63">
        <v>2</v>
      </c>
      <c r="E32" s="80"/>
      <c r="F32" s="149"/>
      <c r="G32" s="80"/>
      <c r="H32" s="80"/>
      <c r="I32" s="12">
        <v>480</v>
      </c>
      <c r="J32" s="148"/>
      <c r="K32" s="149">
        <v>11</v>
      </c>
      <c r="L32" s="148">
        <v>11</v>
      </c>
      <c r="M32" s="152">
        <v>3845</v>
      </c>
      <c r="N32" s="151">
        <v>3855</v>
      </c>
      <c r="O32" s="329">
        <v>2000</v>
      </c>
      <c r="P32" s="329"/>
      <c r="Q32" s="330">
        <v>40</v>
      </c>
      <c r="R32" s="330"/>
      <c r="T32" s="105"/>
      <c r="U32" s="34">
        <f t="shared" ref="U32:U34" si="4">M32-$D$20-$D$19-Q32</f>
        <v>1513</v>
      </c>
      <c r="V32" s="120"/>
      <c r="X32" s="105"/>
      <c r="Y32" s="34">
        <v>40</v>
      </c>
      <c r="Z32" s="120"/>
      <c r="AA32"/>
      <c r="AB32" s="105"/>
      <c r="AC32" s="34">
        <f t="shared" si="1"/>
        <v>0.156</v>
      </c>
      <c r="AD32" s="34"/>
      <c r="AE32" s="34"/>
      <c r="AF32" s="34"/>
      <c r="AG32" s="34"/>
      <c r="AH32" s="34"/>
      <c r="AI32" s="34"/>
      <c r="AJ32" s="120"/>
      <c r="AK32"/>
      <c r="AL32" s="105"/>
      <c r="AM32" s="136">
        <f t="shared" si="2"/>
        <v>235.24799999999999</v>
      </c>
      <c r="AN32" s="34"/>
      <c r="AO32" s="34">
        <f t="shared" si="3"/>
        <v>6.24</v>
      </c>
      <c r="AP32" s="34"/>
      <c r="AQ32" s="120"/>
      <c r="AS32" s="105"/>
      <c r="AT32" s="34"/>
      <c r="AU32" s="34"/>
      <c r="AV32" s="34"/>
      <c r="AW32" s="34"/>
      <c r="AX32" s="120"/>
      <c r="AZ32" s="105"/>
      <c r="BA32" s="34"/>
      <c r="BB32" s="34"/>
      <c r="BC32" s="34"/>
      <c r="BD32" s="34"/>
      <c r="BE32" s="120"/>
    </row>
    <row r="33" spans="3:57" ht="13.8">
      <c r="C33" s="45">
        <v>4</v>
      </c>
      <c r="D33" s="63">
        <v>4</v>
      </c>
      <c r="E33" s="80"/>
      <c r="F33" s="149">
        <v>0.5</v>
      </c>
      <c r="G33" s="80"/>
      <c r="H33" s="80"/>
      <c r="I33" s="12">
        <v>440</v>
      </c>
      <c r="J33" s="148"/>
      <c r="K33" s="149">
        <v>10</v>
      </c>
      <c r="L33" s="148">
        <v>11</v>
      </c>
      <c r="M33" s="152">
        <v>3840</v>
      </c>
      <c r="N33" s="151">
        <v>3855</v>
      </c>
      <c r="O33" s="329">
        <v>2000</v>
      </c>
      <c r="P33" s="329"/>
      <c r="Q33" s="330">
        <v>40</v>
      </c>
      <c r="R33" s="330"/>
      <c r="T33" s="105"/>
      <c r="U33" s="34">
        <f t="shared" si="4"/>
        <v>1508</v>
      </c>
      <c r="V33" s="120"/>
      <c r="X33" s="105"/>
      <c r="Y33" s="34">
        <v>40</v>
      </c>
      <c r="Z33" s="120"/>
      <c r="AA33"/>
      <c r="AB33" s="105"/>
      <c r="AC33" s="34">
        <f t="shared" si="1"/>
        <v>0.192</v>
      </c>
      <c r="AD33" s="34"/>
      <c r="AE33" s="34"/>
      <c r="AF33" s="34"/>
      <c r="AG33" s="34"/>
      <c r="AH33" s="34"/>
      <c r="AI33" s="34"/>
      <c r="AJ33" s="120"/>
      <c r="AK33"/>
      <c r="AL33" s="105"/>
      <c r="AM33" s="136">
        <f t="shared" si="2"/>
        <v>291.45600000000002</v>
      </c>
      <c r="AN33" s="34"/>
      <c r="AO33" s="34">
        <f t="shared" si="3"/>
        <v>7.68</v>
      </c>
      <c r="AP33" s="34"/>
      <c r="AQ33" s="120"/>
      <c r="AS33" s="105"/>
      <c r="AT33" s="34"/>
      <c r="AU33" s="34"/>
      <c r="AV33" s="34"/>
      <c r="AW33" s="34"/>
      <c r="AX33" s="120"/>
      <c r="AZ33" s="105"/>
      <c r="BA33" s="34"/>
      <c r="BB33" s="34"/>
      <c r="BC33" s="34"/>
      <c r="BD33" s="34"/>
      <c r="BE33" s="120"/>
    </row>
    <row r="34" spans="3:57" ht="13.8">
      <c r="C34" s="45">
        <v>4</v>
      </c>
      <c r="D34" s="63">
        <v>8</v>
      </c>
      <c r="E34" s="80"/>
      <c r="F34" s="12"/>
      <c r="G34" s="80"/>
      <c r="H34" s="80"/>
      <c r="I34" s="12">
        <v>400</v>
      </c>
      <c r="J34" s="148"/>
      <c r="K34" s="12">
        <v>11</v>
      </c>
      <c r="L34" s="148">
        <v>11</v>
      </c>
      <c r="M34" s="153">
        <v>3850</v>
      </c>
      <c r="N34" s="151">
        <v>3855</v>
      </c>
      <c r="O34" s="329">
        <v>2000</v>
      </c>
      <c r="P34" s="329"/>
      <c r="Q34" s="330">
        <v>40</v>
      </c>
      <c r="R34" s="330"/>
      <c r="T34" s="105"/>
      <c r="U34" s="34">
        <f t="shared" si="4"/>
        <v>1518</v>
      </c>
      <c r="V34" s="120"/>
      <c r="X34" s="105"/>
      <c r="Y34" s="34">
        <v>40</v>
      </c>
      <c r="Z34" s="120"/>
      <c r="AA34"/>
      <c r="AB34" s="105"/>
      <c r="AC34" s="34">
        <f t="shared" si="1"/>
        <v>0.20599999999999999</v>
      </c>
      <c r="AD34" s="34"/>
      <c r="AE34" s="34"/>
      <c r="AF34" s="34"/>
      <c r="AG34" s="34"/>
      <c r="AH34" s="34"/>
      <c r="AI34" s="34"/>
      <c r="AJ34" s="120"/>
      <c r="AK34"/>
      <c r="AL34" s="105"/>
      <c r="AM34" s="136">
        <f t="shared" si="2"/>
        <v>311.88399999999996</v>
      </c>
      <c r="AN34" s="34"/>
      <c r="AO34" s="34">
        <f t="shared" si="3"/>
        <v>8.24</v>
      </c>
      <c r="AP34" s="34"/>
      <c r="AQ34" s="120"/>
      <c r="AS34" s="105"/>
      <c r="AT34" s="34"/>
      <c r="AU34" s="34"/>
      <c r="AV34" s="34"/>
      <c r="AW34" s="34"/>
      <c r="AX34" s="120"/>
      <c r="AZ34" s="105"/>
      <c r="BA34" s="34"/>
      <c r="BB34" s="34"/>
      <c r="BC34" s="34"/>
      <c r="BD34" s="34"/>
      <c r="BE34" s="120"/>
    </row>
    <row r="35" spans="3:57" ht="13.8">
      <c r="C35" s="45">
        <v>4</v>
      </c>
      <c r="D35" s="63">
        <v>12</v>
      </c>
      <c r="E35" s="80"/>
      <c r="F35" s="12"/>
      <c r="G35" s="80">
        <v>2</v>
      </c>
      <c r="H35" s="80"/>
      <c r="I35" s="12">
        <v>360</v>
      </c>
      <c r="J35" s="148"/>
      <c r="K35" s="12">
        <v>11</v>
      </c>
      <c r="L35" s="148">
        <v>11</v>
      </c>
      <c r="M35" s="153">
        <v>3850</v>
      </c>
      <c r="N35" s="151">
        <v>3860</v>
      </c>
      <c r="O35" s="329">
        <v>2000</v>
      </c>
      <c r="P35" s="329"/>
      <c r="Q35" s="330">
        <v>40</v>
      </c>
      <c r="R35" s="330"/>
      <c r="T35" s="105"/>
      <c r="U35" s="34">
        <f t="shared" ref="U35:U37" si="5">M35-$D$20-$D$19-4-Q35</f>
        <v>1514</v>
      </c>
      <c r="V35" s="120"/>
      <c r="X35" s="105"/>
      <c r="Y35" s="34">
        <v>40</v>
      </c>
      <c r="Z35" s="120"/>
      <c r="AA35"/>
      <c r="AB35" s="105"/>
      <c r="AC35" s="34">
        <f t="shared" si="1"/>
        <v>0.25</v>
      </c>
      <c r="AD35" s="34"/>
      <c r="AE35" s="34"/>
      <c r="AF35" s="34"/>
      <c r="AG35" s="34"/>
      <c r="AH35" s="34"/>
      <c r="AI35" s="34"/>
      <c r="AJ35" s="120"/>
      <c r="AK35"/>
      <c r="AL35" s="105"/>
      <c r="AM35" s="136">
        <f t="shared" si="2"/>
        <v>378.5</v>
      </c>
      <c r="AN35" s="34"/>
      <c r="AO35" s="34">
        <f t="shared" si="3"/>
        <v>10</v>
      </c>
      <c r="AP35" s="34"/>
      <c r="AQ35" s="120"/>
      <c r="AS35" s="105"/>
      <c r="AT35" s="34"/>
      <c r="AU35" s="34"/>
      <c r="AV35" s="34"/>
      <c r="AW35" s="34"/>
      <c r="AX35" s="120"/>
      <c r="AZ35" s="105"/>
      <c r="BA35" s="34"/>
      <c r="BB35" s="34"/>
      <c r="BC35" s="34"/>
      <c r="BD35" s="34"/>
      <c r="BE35" s="120"/>
    </row>
    <row r="36" spans="3:57" ht="13.8">
      <c r="D36" s="63">
        <v>24</v>
      </c>
      <c r="E36" s="80"/>
      <c r="F36" s="12">
        <v>1</v>
      </c>
      <c r="G36" s="80"/>
      <c r="H36" s="80"/>
      <c r="I36" s="12">
        <v>80</v>
      </c>
      <c r="J36" s="148"/>
      <c r="K36" s="12">
        <v>10</v>
      </c>
      <c r="L36" s="148">
        <v>11</v>
      </c>
      <c r="M36" s="153">
        <v>3850</v>
      </c>
      <c r="N36" s="151">
        <v>3860</v>
      </c>
      <c r="O36" s="329">
        <v>2000</v>
      </c>
      <c r="P36" s="329"/>
      <c r="Q36" s="330">
        <v>40</v>
      </c>
      <c r="R36" s="330"/>
      <c r="T36" s="105"/>
      <c r="U36" s="34">
        <f t="shared" si="5"/>
        <v>1514</v>
      </c>
      <c r="V36" s="120"/>
      <c r="X36" s="105"/>
      <c r="Y36" s="34">
        <v>40</v>
      </c>
      <c r="Z36" s="120"/>
      <c r="AA36"/>
      <c r="AB36" s="131">
        <f>G12</f>
        <v>0.23866666666666667</v>
      </c>
      <c r="AC36" s="34">
        <f t="shared" si="1"/>
        <v>1.0999999999999999E-2</v>
      </c>
      <c r="AD36" s="34"/>
      <c r="AE36" s="34">
        <f>H12</f>
        <v>0.14000000000000001</v>
      </c>
      <c r="AF36" s="34"/>
      <c r="AG36" s="34"/>
      <c r="AH36" s="112">
        <f>I12</f>
        <v>9.2633333333333336</v>
      </c>
      <c r="AI36" s="34"/>
      <c r="AJ36" s="120"/>
      <c r="AK36"/>
      <c r="AL36" s="105">
        <f>AB36*T31</f>
        <v>241.53066666666666</v>
      </c>
      <c r="AM36" s="136">
        <f t="shared" si="2"/>
        <v>16.599</v>
      </c>
      <c r="AN36" s="34"/>
      <c r="AO36" s="34">
        <f t="shared" si="3"/>
        <v>0.43999999999999995</v>
      </c>
      <c r="AP36" s="34"/>
      <c r="AQ36" s="120"/>
      <c r="AS36" s="105"/>
      <c r="AT36" s="34"/>
      <c r="AU36" s="34"/>
      <c r="AV36" s="34"/>
      <c r="AW36" s="34"/>
      <c r="AX36" s="120"/>
      <c r="AZ36" s="105"/>
      <c r="BA36" s="34"/>
      <c r="BB36" s="34"/>
      <c r="BC36" s="34"/>
      <c r="BD36" s="34"/>
      <c r="BE36" s="120"/>
    </row>
    <row r="37" spans="3:57" ht="13.8">
      <c r="D37" s="63">
        <v>48</v>
      </c>
      <c r="E37" s="80"/>
      <c r="F37" s="150"/>
      <c r="G37" s="80"/>
      <c r="H37" s="80"/>
      <c r="I37" s="12">
        <v>40</v>
      </c>
      <c r="J37" s="148"/>
      <c r="K37" s="12">
        <v>10</v>
      </c>
      <c r="L37" s="150">
        <v>10</v>
      </c>
      <c r="M37" s="153">
        <v>3845</v>
      </c>
      <c r="N37" s="12"/>
      <c r="O37" s="329">
        <v>2000</v>
      </c>
      <c r="P37" s="329"/>
      <c r="Q37" s="330">
        <v>40</v>
      </c>
      <c r="R37" s="330"/>
      <c r="T37" s="105"/>
      <c r="U37" s="34">
        <f t="shared" si="5"/>
        <v>1509</v>
      </c>
      <c r="V37" s="120"/>
      <c r="X37" s="105">
        <v>1012</v>
      </c>
      <c r="Y37" s="34">
        <v>40</v>
      </c>
      <c r="Z37" s="120">
        <v>4</v>
      </c>
      <c r="AA37"/>
      <c r="AB37" s="105"/>
      <c r="AC37" s="34"/>
      <c r="AD37" s="34"/>
      <c r="AE37" s="34"/>
      <c r="AF37" s="34"/>
      <c r="AG37" s="34"/>
      <c r="AH37" s="34"/>
      <c r="AI37" s="34"/>
      <c r="AJ37" s="120"/>
      <c r="AK37"/>
      <c r="AL37" s="105"/>
      <c r="AM37" s="136">
        <f t="shared" si="2"/>
        <v>0</v>
      </c>
      <c r="AN37" s="34"/>
      <c r="AO37" s="34">
        <f t="shared" si="3"/>
        <v>0</v>
      </c>
      <c r="AP37" s="34"/>
      <c r="AQ37" s="120"/>
      <c r="AS37" s="105"/>
      <c r="AT37" s="34"/>
      <c r="AU37" s="34"/>
      <c r="AV37" s="34"/>
      <c r="AW37" s="34"/>
      <c r="AX37" s="120"/>
      <c r="AZ37" s="105"/>
      <c r="BA37" s="34"/>
      <c r="BB37" s="34"/>
      <c r="BC37" s="34"/>
      <c r="BD37" s="34"/>
      <c r="BE37" s="120"/>
    </row>
    <row r="38" spans="3:57" ht="13.8">
      <c r="D38" s="64" t="s">
        <v>210</v>
      </c>
      <c r="E38" s="80">
        <v>1.52</v>
      </c>
      <c r="F38" s="80">
        <f>SUM(F31:F37)</f>
        <v>6</v>
      </c>
      <c r="G38" s="80">
        <f>SUM(G31:G37)</f>
        <v>2</v>
      </c>
      <c r="H38" s="80"/>
      <c r="I38" s="80"/>
      <c r="J38" s="80"/>
      <c r="K38" s="80"/>
      <c r="L38" s="80"/>
      <c r="M38" s="80"/>
      <c r="N38" s="80"/>
      <c r="O38" s="329"/>
      <c r="P38" s="329"/>
      <c r="Q38" s="330"/>
      <c r="R38" s="330"/>
      <c r="T38" s="105"/>
      <c r="U38" s="34"/>
      <c r="V38" s="120"/>
      <c r="X38" s="105"/>
      <c r="Y38" s="34"/>
      <c r="Z38" s="120"/>
      <c r="AA38"/>
      <c r="AB38" s="105"/>
      <c r="AC38" s="34"/>
      <c r="AD38" s="34"/>
      <c r="AE38" s="34"/>
      <c r="AF38" s="34"/>
      <c r="AG38" s="34"/>
      <c r="AH38" s="34"/>
      <c r="AI38" s="34"/>
      <c r="AJ38" s="120"/>
      <c r="AK38"/>
      <c r="AL38" s="105"/>
      <c r="AM38" s="34"/>
      <c r="AN38" s="34"/>
      <c r="AO38" s="34"/>
      <c r="AP38" s="34"/>
      <c r="AQ38" s="120"/>
      <c r="AS38" s="105"/>
      <c r="AT38" s="34"/>
      <c r="AU38" s="34"/>
      <c r="AV38" s="34"/>
      <c r="AW38" s="34"/>
      <c r="AX38" s="120"/>
      <c r="AZ38" s="105"/>
      <c r="BA38" s="34"/>
      <c r="BB38" s="34"/>
      <c r="BC38" s="34"/>
      <c r="BD38" s="34"/>
      <c r="BE38" s="120"/>
    </row>
    <row r="39" spans="3:57" ht="13.8">
      <c r="D39" s="65" t="s">
        <v>211</v>
      </c>
      <c r="E39" s="323">
        <v>0</v>
      </c>
      <c r="F39" s="323"/>
      <c r="G39" s="323"/>
      <c r="H39" s="81"/>
      <c r="I39" s="81"/>
      <c r="J39" s="81"/>
      <c r="K39" s="81"/>
      <c r="L39" s="81"/>
      <c r="M39" s="81"/>
      <c r="N39" s="81"/>
      <c r="O39" s="323"/>
      <c r="P39" s="323"/>
      <c r="Q39" s="324"/>
      <c r="R39" s="324"/>
      <c r="T39" s="108"/>
      <c r="U39" s="109"/>
      <c r="V39" s="121"/>
      <c r="X39" s="108"/>
      <c r="Y39" s="109"/>
      <c r="Z39" s="121"/>
      <c r="AA39"/>
      <c r="AB39" s="108"/>
      <c r="AC39" s="109"/>
      <c r="AD39" s="109"/>
      <c r="AE39" s="109"/>
      <c r="AF39" s="109"/>
      <c r="AG39" s="109"/>
      <c r="AH39" s="109"/>
      <c r="AI39" s="109"/>
      <c r="AJ39" s="121"/>
      <c r="AK39"/>
      <c r="AL39" s="108"/>
      <c r="AM39" s="109"/>
      <c r="AN39" s="109"/>
      <c r="AO39" s="109"/>
      <c r="AP39" s="109"/>
      <c r="AQ39" s="121"/>
      <c r="AS39" s="108"/>
      <c r="AT39" s="109"/>
      <c r="AU39" s="109"/>
      <c r="AV39" s="109"/>
      <c r="AW39" s="109"/>
      <c r="AX39" s="121"/>
      <c r="AZ39" s="108"/>
      <c r="BA39" s="109"/>
      <c r="BB39" s="109"/>
      <c r="BC39" s="109"/>
      <c r="BD39" s="109"/>
      <c r="BE39" s="121"/>
    </row>
    <row r="42" spans="3:57" ht="13.8">
      <c r="D42" s="325" t="s">
        <v>212</v>
      </c>
      <c r="E42" s="325"/>
      <c r="F42" s="325"/>
      <c r="H42" s="326" t="s">
        <v>213</v>
      </c>
      <c r="I42" s="326"/>
      <c r="J42" s="326"/>
    </row>
    <row r="43" spans="3:57" ht="13.8">
      <c r="D43" s="327" t="s">
        <v>214</v>
      </c>
      <c r="E43" s="327"/>
      <c r="F43" s="327"/>
      <c r="H43" s="328" t="s">
        <v>215</v>
      </c>
      <c r="I43" s="328"/>
      <c r="J43" s="328"/>
    </row>
    <row r="44" spans="3:57" ht="13.8">
      <c r="D44" s="66" t="s">
        <v>126</v>
      </c>
      <c r="E44" s="82" t="s">
        <v>127</v>
      </c>
      <c r="F44" s="83" t="s">
        <v>128</v>
      </c>
      <c r="H44" s="84" t="s">
        <v>126</v>
      </c>
      <c r="I44" s="98" t="s">
        <v>127</v>
      </c>
      <c r="J44" s="99" t="s">
        <v>128</v>
      </c>
    </row>
    <row r="45" spans="3:57" ht="13.8">
      <c r="D45" s="67">
        <f>AM31+AO31</f>
        <v>118.02800000000001</v>
      </c>
      <c r="E45" s="50"/>
      <c r="F45" s="56"/>
      <c r="H45" s="85">
        <f t="shared" ref="H45:H50" si="6">D45/$G$15</f>
        <v>0.1199284258115518</v>
      </c>
      <c r="I45" s="50"/>
      <c r="J45" s="56"/>
    </row>
    <row r="46" spans="3:57" ht="13.8">
      <c r="D46" s="67">
        <f>AM32+AO31+AO32</f>
        <v>244.52799999999999</v>
      </c>
      <c r="E46" s="50"/>
      <c r="F46" s="56"/>
      <c r="H46" s="85">
        <f t="shared" si="6"/>
        <v>0.24846526338535888</v>
      </c>
      <c r="I46" s="50"/>
      <c r="J46" s="56"/>
    </row>
    <row r="47" spans="3:57" ht="13.8">
      <c r="D47" s="67">
        <f>AM33+SUM(AO31:AO33)</f>
        <v>308.416</v>
      </c>
      <c r="E47" s="50"/>
      <c r="F47" s="56"/>
      <c r="H47" s="85">
        <f t="shared" si="6"/>
        <v>0.31338195491828685</v>
      </c>
      <c r="I47" s="50"/>
      <c r="J47" s="56"/>
    </row>
    <row r="48" spans="3:57" ht="13.8">
      <c r="D48" s="67">
        <f>AM34+SUM(AO31:AO34)</f>
        <v>337.08399999999995</v>
      </c>
      <c r="E48" s="50"/>
      <c r="F48" s="56"/>
      <c r="H48" s="85">
        <f t="shared" si="6"/>
        <v>0.34251155222710816</v>
      </c>
      <c r="I48" s="50"/>
      <c r="J48" s="56"/>
    </row>
    <row r="49" spans="4:10" ht="13.8">
      <c r="D49" s="67">
        <f>AM35+AM34+SUM(AO31:AO35)</f>
        <v>725.58400000000006</v>
      </c>
      <c r="E49" s="50"/>
      <c r="F49" s="56"/>
      <c r="H49" s="85">
        <f t="shared" si="6"/>
        <v>0.73726697829370158</v>
      </c>
      <c r="I49" s="50"/>
      <c r="J49" s="56"/>
    </row>
    <row r="50" spans="4:10" ht="13.8">
      <c r="D50" s="68">
        <f>AM36+AM35+AM34+SUM(AO31:AO36)</f>
        <v>742.62299999999993</v>
      </c>
      <c r="E50" s="60"/>
      <c r="F50" s="61"/>
      <c r="H50" s="86">
        <f t="shared" si="6"/>
        <v>0.75458033145907766</v>
      </c>
      <c r="I50" s="60"/>
      <c r="J50" s="61"/>
    </row>
  </sheetData>
  <mergeCells count="62">
    <mergeCell ref="T27:V27"/>
    <mergeCell ref="X27:Z27"/>
    <mergeCell ref="AB27:AJ27"/>
    <mergeCell ref="AL27:AQ27"/>
    <mergeCell ref="B2:F2"/>
    <mergeCell ref="U3:X3"/>
    <mergeCell ref="Y3:AB3"/>
    <mergeCell ref="B9:D9"/>
    <mergeCell ref="F9:I9"/>
    <mergeCell ref="K9:M9"/>
    <mergeCell ref="S3:S5"/>
    <mergeCell ref="T4:T5"/>
    <mergeCell ref="AS27:AX27"/>
    <mergeCell ref="AZ27:BE27"/>
    <mergeCell ref="AB28:AD28"/>
    <mergeCell ref="AE28:AG28"/>
    <mergeCell ref="AH28:AJ28"/>
    <mergeCell ref="AL28:AM28"/>
    <mergeCell ref="AN28:AO28"/>
    <mergeCell ref="AP28:AQ28"/>
    <mergeCell ref="AS28:AT28"/>
    <mergeCell ref="AU28:AV28"/>
    <mergeCell ref="AW28:AX28"/>
    <mergeCell ref="AZ28:BA28"/>
    <mergeCell ref="BB28:BC28"/>
    <mergeCell ref="BD28:BE28"/>
    <mergeCell ref="O30:P30"/>
    <mergeCell ref="Q30:R30"/>
    <mergeCell ref="O31:P31"/>
    <mergeCell ref="Q31:R31"/>
    <mergeCell ref="O32:P32"/>
    <mergeCell ref="Q32:R32"/>
    <mergeCell ref="O38:P38"/>
    <mergeCell ref="Q38:R38"/>
    <mergeCell ref="O33:P33"/>
    <mergeCell ref="Q33:R33"/>
    <mergeCell ref="O34:P34"/>
    <mergeCell ref="Q34:R34"/>
    <mergeCell ref="O35:P35"/>
    <mergeCell ref="Q35:R35"/>
    <mergeCell ref="F15:F16"/>
    <mergeCell ref="F19:F20"/>
    <mergeCell ref="H28:H29"/>
    <mergeCell ref="E28:G29"/>
    <mergeCell ref="I28:J29"/>
    <mergeCell ref="D27:R27"/>
    <mergeCell ref="K28:L29"/>
    <mergeCell ref="M28:N29"/>
    <mergeCell ref="O28:P29"/>
    <mergeCell ref="Q28:R29"/>
    <mergeCell ref="D43:F43"/>
    <mergeCell ref="H43:J43"/>
    <mergeCell ref="D28:D29"/>
    <mergeCell ref="E39:G39"/>
    <mergeCell ref="O39:P39"/>
    <mergeCell ref="Q39:R39"/>
    <mergeCell ref="D42:F42"/>
    <mergeCell ref="H42:J42"/>
    <mergeCell ref="O36:P36"/>
    <mergeCell ref="Q36:R36"/>
    <mergeCell ref="O37:P37"/>
    <mergeCell ref="Q37:R37"/>
  </mergeCells>
  <pageMargins left="0.7" right="0.7" top="0.75" bottom="0.75" header="0.511811023622047" footer="0.511811023622047"/>
  <pageSetup orientation="portrait" horizontalDpi="300" verticalDpi="300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>
    <tabColor theme="9" tint="0.59999389629810485"/>
  </sheetPr>
  <dimension ref="B2:BE50"/>
  <sheetViews>
    <sheetView zoomScale="85" zoomScaleNormal="85" workbookViewId="0">
      <selection activeCell="D19" sqref="D19"/>
    </sheetView>
  </sheetViews>
  <sheetFormatPr defaultColWidth="10" defaultRowHeight="16.2" customHeight="1"/>
  <cols>
    <col min="1" max="1" width="10" style="45"/>
    <col min="2" max="2" width="23.8984375" style="45" customWidth="1"/>
    <col min="3" max="3" width="2.3984375" style="45" customWidth="1"/>
    <col min="4" max="4" width="19.5" style="45" customWidth="1"/>
    <col min="5" max="5" width="10" style="45"/>
    <col min="6" max="6" width="16.69921875" style="45" customWidth="1"/>
    <col min="7" max="8" width="11.09765625" style="45" customWidth="1"/>
    <col min="9" max="19" width="10" style="45"/>
    <col min="20" max="20" width="26.296875" style="45" customWidth="1"/>
    <col min="21" max="16384" width="10" style="45"/>
  </cols>
  <sheetData>
    <row r="2" spans="2:28" ht="13.8">
      <c r="B2" s="356" t="s">
        <v>116</v>
      </c>
      <c r="C2" s="356"/>
      <c r="D2" s="356"/>
      <c r="E2" s="356"/>
      <c r="F2" s="356"/>
    </row>
    <row r="3" spans="2:28" ht="13.8">
      <c r="S3" s="357" t="s">
        <v>117</v>
      </c>
      <c r="T3" s="103" t="s">
        <v>118</v>
      </c>
      <c r="U3" s="358" t="s">
        <v>119</v>
      </c>
      <c r="V3" s="358"/>
      <c r="W3" s="358"/>
      <c r="X3" s="358"/>
      <c r="Y3" s="359" t="s">
        <v>120</v>
      </c>
      <c r="Z3" s="359"/>
      <c r="AA3" s="359"/>
      <c r="AB3" s="359"/>
    </row>
    <row r="4" spans="2:28" ht="13.8">
      <c r="B4" s="46" t="s">
        <v>121</v>
      </c>
      <c r="C4" s="47" t="s">
        <v>122</v>
      </c>
      <c r="D4" s="48"/>
      <c r="E4" s="48"/>
      <c r="F4" s="48"/>
      <c r="G4" s="48"/>
      <c r="H4" s="48"/>
      <c r="I4" s="87"/>
      <c r="S4" s="357"/>
      <c r="T4" s="360" t="s">
        <v>124</v>
      </c>
      <c r="U4" s="104" t="s">
        <v>125</v>
      </c>
      <c r="V4" s="104" t="s">
        <v>126</v>
      </c>
      <c r="W4" s="104" t="s">
        <v>127</v>
      </c>
      <c r="X4" s="104" t="s">
        <v>128</v>
      </c>
      <c r="Y4" s="104" t="s">
        <v>125</v>
      </c>
      <c r="Z4" s="104" t="s">
        <v>126</v>
      </c>
      <c r="AA4" s="104" t="s">
        <v>127</v>
      </c>
      <c r="AB4" s="122" t="s">
        <v>128</v>
      </c>
    </row>
    <row r="5" spans="2:28" ht="13.8">
      <c r="B5" s="49" t="s">
        <v>129</v>
      </c>
      <c r="C5" s="50" t="s">
        <v>122</v>
      </c>
      <c r="I5" s="88"/>
      <c r="S5" s="357"/>
      <c r="T5" s="360"/>
      <c r="U5" s="104" t="s">
        <v>131</v>
      </c>
      <c r="V5" s="104" t="s">
        <v>106</v>
      </c>
      <c r="W5" s="104" t="s">
        <v>106</v>
      </c>
      <c r="X5" s="104" t="s">
        <v>106</v>
      </c>
      <c r="Y5" s="104" t="s">
        <v>131</v>
      </c>
      <c r="Z5" s="104" t="s">
        <v>106</v>
      </c>
      <c r="AA5" s="104" t="s">
        <v>106</v>
      </c>
      <c r="AB5" s="122" t="s">
        <v>106</v>
      </c>
    </row>
    <row r="6" spans="2:28" ht="13.8">
      <c r="B6" s="49" t="s">
        <v>132</v>
      </c>
      <c r="C6" s="50" t="s">
        <v>122</v>
      </c>
      <c r="D6" s="51"/>
      <c r="I6" s="88"/>
      <c r="S6" s="105">
        <v>1</v>
      </c>
      <c r="T6" s="34" t="s">
        <v>134</v>
      </c>
      <c r="U6" s="112"/>
      <c r="V6" s="34"/>
      <c r="W6" s="34"/>
      <c r="X6" s="34"/>
      <c r="Y6" s="34"/>
      <c r="Z6" s="34"/>
      <c r="AA6" s="34"/>
      <c r="AB6" s="120"/>
    </row>
    <row r="7" spans="2:28" ht="13.8">
      <c r="B7" s="52" t="s">
        <v>135</v>
      </c>
      <c r="C7" s="53" t="s">
        <v>122</v>
      </c>
      <c r="D7" s="54"/>
      <c r="E7" s="54"/>
      <c r="F7" s="54"/>
      <c r="G7" s="54"/>
      <c r="H7" s="54"/>
      <c r="I7" s="89"/>
      <c r="S7" s="105">
        <v>2</v>
      </c>
      <c r="T7" s="34" t="s">
        <v>137</v>
      </c>
      <c r="U7" s="34"/>
      <c r="V7" s="112"/>
      <c r="W7" s="112"/>
      <c r="X7" s="34"/>
      <c r="Y7" s="34"/>
      <c r="Z7" s="34"/>
      <c r="AA7" s="34"/>
      <c r="AB7" s="120"/>
    </row>
    <row r="8" spans="2:28" ht="13.8">
      <c r="S8" s="105">
        <v>3</v>
      </c>
      <c r="T8" s="34" t="s">
        <v>138</v>
      </c>
      <c r="U8" s="34"/>
      <c r="V8" s="112"/>
      <c r="W8" s="34"/>
      <c r="X8" s="34"/>
      <c r="Y8" s="34"/>
      <c r="Z8" s="34"/>
      <c r="AA8" s="34"/>
      <c r="AB8" s="120"/>
    </row>
    <row r="9" spans="2:28" ht="13.8">
      <c r="B9" s="361" t="s">
        <v>139</v>
      </c>
      <c r="C9" s="361"/>
      <c r="D9" s="361"/>
      <c r="F9" s="362" t="s">
        <v>140</v>
      </c>
      <c r="G9" s="362"/>
      <c r="H9" s="362"/>
      <c r="I9" s="362"/>
      <c r="K9" s="363" t="s">
        <v>141</v>
      </c>
      <c r="L9" s="363"/>
      <c r="M9" s="363"/>
      <c r="S9" s="105">
        <v>4</v>
      </c>
      <c r="T9" s="106" t="s">
        <v>142</v>
      </c>
      <c r="U9" s="112"/>
      <c r="V9" s="34"/>
      <c r="W9" s="34"/>
      <c r="X9" s="34"/>
      <c r="Y9" s="34"/>
      <c r="Z9" s="34"/>
      <c r="AA9" s="34"/>
      <c r="AB9" s="120"/>
    </row>
    <row r="10" spans="2:28" ht="13.8">
      <c r="B10" s="55" t="s">
        <v>108</v>
      </c>
      <c r="C10" s="50" t="s">
        <v>122</v>
      </c>
      <c r="D10" s="56" t="s">
        <v>143</v>
      </c>
      <c r="F10" s="69"/>
      <c r="G10" s="70" t="s">
        <v>126</v>
      </c>
      <c r="H10" s="70" t="s">
        <v>127</v>
      </c>
      <c r="I10" s="90" t="s">
        <v>128</v>
      </c>
      <c r="K10" s="62" t="s">
        <v>144</v>
      </c>
      <c r="L10" s="91">
        <f>(F38/1012)*1000</f>
        <v>0</v>
      </c>
      <c r="M10" s="100" t="s">
        <v>145</v>
      </c>
      <c r="S10" s="105">
        <v>5</v>
      </c>
      <c r="T10" s="34" t="s">
        <v>146</v>
      </c>
      <c r="U10" s="112"/>
      <c r="V10" s="34"/>
      <c r="W10" s="113"/>
      <c r="X10" s="34"/>
      <c r="Y10" s="34"/>
      <c r="Z10" s="34"/>
      <c r="AA10" s="34"/>
      <c r="AB10" s="120"/>
    </row>
    <row r="11" spans="2:28" ht="13.8">
      <c r="B11" s="55" t="s">
        <v>147</v>
      </c>
      <c r="C11" s="50" t="s">
        <v>122</v>
      </c>
      <c r="D11" s="56">
        <v>1000</v>
      </c>
      <c r="F11" s="71" t="s">
        <v>148</v>
      </c>
      <c r="G11" s="72" t="e">
        <f t="shared" ref="G11:I11" si="0">AVERAGE(V6:V8)</f>
        <v>#DIV/0!</v>
      </c>
      <c r="H11" s="72" t="e">
        <f t="shared" si="0"/>
        <v>#DIV/0!</v>
      </c>
      <c r="I11" s="92" t="e">
        <f t="shared" si="0"/>
        <v>#DIV/0!</v>
      </c>
      <c r="K11" s="62" t="s">
        <v>149</v>
      </c>
      <c r="L11" s="91">
        <f>((E38-(($J37*1518)/10000000))/1012)*1000</f>
        <v>1.5019762845849802</v>
      </c>
      <c r="M11" s="100" t="s">
        <v>145</v>
      </c>
      <c r="S11" s="105">
        <v>6</v>
      </c>
      <c r="T11" s="34" t="s">
        <v>150</v>
      </c>
      <c r="U11" s="34"/>
      <c r="V11" s="34"/>
      <c r="W11" s="34"/>
      <c r="X11" s="112"/>
      <c r="Y11" s="34"/>
      <c r="Z11" s="34"/>
      <c r="AA11" s="34"/>
      <c r="AB11" s="120"/>
    </row>
    <row r="12" spans="2:28" ht="13.8">
      <c r="B12" s="55" t="s">
        <v>151</v>
      </c>
      <c r="C12" s="50" t="s">
        <v>122</v>
      </c>
      <c r="D12" s="57">
        <v>0.4</v>
      </c>
      <c r="F12" s="73" t="s">
        <v>152</v>
      </c>
      <c r="G12" s="74" t="e">
        <f>AVERAGE(V10:V12)</f>
        <v>#DIV/0!</v>
      </c>
      <c r="H12" s="74" t="e">
        <f>AVERAGE(W10:W13)</f>
        <v>#DIV/0!</v>
      </c>
      <c r="I12" s="93" t="e">
        <f>AVERAGE(X10:X13)</f>
        <v>#DIV/0!</v>
      </c>
      <c r="K12" s="94" t="s">
        <v>153</v>
      </c>
      <c r="L12" s="81"/>
      <c r="M12" s="101"/>
      <c r="S12" s="107">
        <v>7</v>
      </c>
      <c r="T12" s="34" t="s">
        <v>154</v>
      </c>
      <c r="U12" s="114"/>
      <c r="V12" s="114"/>
      <c r="W12" s="114"/>
      <c r="X12" s="114"/>
      <c r="Y12" s="114"/>
      <c r="Z12" s="114"/>
      <c r="AA12" s="114"/>
      <c r="AB12" s="123"/>
    </row>
    <row r="13" spans="2:28" ht="13.8">
      <c r="B13" s="55" t="s">
        <v>155</v>
      </c>
      <c r="C13" s="50" t="s">
        <v>122</v>
      </c>
      <c r="D13" s="57">
        <v>0.6</v>
      </c>
      <c r="S13" s="105">
        <v>8</v>
      </c>
      <c r="T13" s="34" t="s">
        <v>156</v>
      </c>
      <c r="U13" s="34"/>
      <c r="V13" s="112"/>
      <c r="W13" s="113"/>
      <c r="X13" s="34"/>
      <c r="Y13" s="34"/>
      <c r="Z13" s="34"/>
      <c r="AA13" s="34"/>
      <c r="AB13" s="120"/>
    </row>
    <row r="14" spans="2:28" ht="13.8">
      <c r="B14" s="55" t="s">
        <v>157</v>
      </c>
      <c r="C14" s="50" t="s">
        <v>122</v>
      </c>
      <c r="D14" s="56" t="s">
        <v>158</v>
      </c>
      <c r="F14" s="75" t="s">
        <v>159</v>
      </c>
      <c r="G14" s="76" t="e">
        <f>G12*D20</f>
        <v>#DIV/0!</v>
      </c>
      <c r="H14" s="76"/>
      <c r="I14" s="95"/>
      <c r="S14" s="105">
        <v>9</v>
      </c>
      <c r="T14" s="34" t="s">
        <v>160</v>
      </c>
      <c r="U14" s="34"/>
      <c r="V14" s="34"/>
      <c r="W14" s="34"/>
      <c r="X14" s="34"/>
      <c r="Y14" s="34"/>
      <c r="Z14" s="34"/>
      <c r="AA14" s="34"/>
      <c r="AB14" s="120"/>
    </row>
    <row r="15" spans="2:28" ht="16.2" customHeight="1">
      <c r="B15" s="55" t="s">
        <v>161</v>
      </c>
      <c r="C15" s="50" t="s">
        <v>122</v>
      </c>
      <c r="D15" s="56">
        <v>2.1</v>
      </c>
      <c r="F15" s="351" t="s">
        <v>162</v>
      </c>
      <c r="G15" s="77" t="e">
        <f>G14+D50</f>
        <v>#DIV/0!</v>
      </c>
      <c r="H15" s="77"/>
      <c r="I15" s="96"/>
      <c r="S15" s="105">
        <v>10</v>
      </c>
      <c r="T15" s="34" t="s">
        <v>163</v>
      </c>
      <c r="U15" s="34"/>
      <c r="V15" s="34"/>
      <c r="W15" s="34"/>
      <c r="X15" s="34"/>
      <c r="Y15" s="34"/>
      <c r="Z15" s="34"/>
      <c r="AA15" s="34"/>
      <c r="AB15" s="120"/>
    </row>
    <row r="16" spans="2:28" ht="13.8">
      <c r="B16" s="55" t="s">
        <v>164</v>
      </c>
      <c r="C16" s="50" t="s">
        <v>122</v>
      </c>
      <c r="D16" s="56">
        <v>1.27</v>
      </c>
      <c r="F16" s="351"/>
      <c r="G16" s="78"/>
      <c r="H16" s="78"/>
      <c r="I16" s="97"/>
      <c r="J16" s="45" t="e">
        <f>G15/D23</f>
        <v>#DIV/0!</v>
      </c>
      <c r="S16" s="105">
        <v>11</v>
      </c>
      <c r="T16" s="34" t="s">
        <v>165</v>
      </c>
      <c r="U16" s="34"/>
      <c r="V16" s="34"/>
      <c r="W16" s="34"/>
      <c r="X16" s="34"/>
      <c r="Y16" s="34"/>
      <c r="Z16" s="34"/>
      <c r="AA16" s="34"/>
      <c r="AB16" s="120"/>
    </row>
    <row r="17" spans="2:57" ht="13.8">
      <c r="B17" s="55" t="s">
        <v>166</v>
      </c>
      <c r="C17" s="50" t="s">
        <v>122</v>
      </c>
      <c r="D17" s="56">
        <v>2</v>
      </c>
      <c r="S17" s="105">
        <v>12</v>
      </c>
      <c r="T17" s="34" t="s">
        <v>167</v>
      </c>
      <c r="Z17" s="124"/>
      <c r="AA17" s="114"/>
      <c r="AB17" s="123"/>
    </row>
    <row r="18" spans="2:57" ht="13.8">
      <c r="B18" s="55" t="s">
        <v>168</v>
      </c>
      <c r="C18" s="50" t="s">
        <v>122</v>
      </c>
      <c r="D18" s="56">
        <v>48</v>
      </c>
      <c r="F18" s="75" t="s">
        <v>169</v>
      </c>
      <c r="G18" s="76"/>
      <c r="H18" s="76"/>
      <c r="I18" s="95"/>
      <c r="O18" s="45">
        <v>4</v>
      </c>
      <c r="S18" s="105">
        <v>13</v>
      </c>
      <c r="T18" s="34" t="s">
        <v>170</v>
      </c>
      <c r="U18" s="34"/>
      <c r="V18" s="34"/>
      <c r="W18" s="34"/>
      <c r="X18" s="34"/>
      <c r="Y18" s="34"/>
      <c r="Z18" s="145"/>
      <c r="AA18" s="124"/>
      <c r="AB18" s="125"/>
    </row>
    <row r="19" spans="2:57" ht="16.2" customHeight="1">
      <c r="B19" s="55" t="s">
        <v>171</v>
      </c>
      <c r="C19" s="50" t="s">
        <v>122</v>
      </c>
      <c r="D19" s="58"/>
      <c r="F19" s="351" t="s">
        <v>172</v>
      </c>
      <c r="G19" s="77"/>
      <c r="H19" s="77"/>
      <c r="I19" s="96"/>
      <c r="S19" s="108">
        <v>14</v>
      </c>
      <c r="T19" s="109" t="s">
        <v>173</v>
      </c>
      <c r="U19" s="109"/>
      <c r="V19" s="109"/>
      <c r="W19" s="109"/>
      <c r="X19" s="109"/>
      <c r="Y19" s="109"/>
      <c r="Z19" s="146"/>
      <c r="AA19" s="126"/>
      <c r="AB19" s="127"/>
    </row>
    <row r="20" spans="2:57" ht="13.8">
      <c r="B20" s="55" t="s">
        <v>174</v>
      </c>
      <c r="C20" s="50" t="s">
        <v>122</v>
      </c>
      <c r="D20" s="56">
        <v>1012</v>
      </c>
      <c r="F20" s="351"/>
      <c r="G20" s="78"/>
      <c r="H20" s="78"/>
      <c r="I20" s="97"/>
    </row>
    <row r="21" spans="2:57" ht="13.8">
      <c r="B21" s="55" t="s">
        <v>175</v>
      </c>
      <c r="C21" s="50" t="s">
        <v>122</v>
      </c>
      <c r="D21" s="56">
        <v>1518</v>
      </c>
    </row>
    <row r="22" spans="2:57" ht="13.8">
      <c r="B22" s="55" t="s">
        <v>176</v>
      </c>
      <c r="C22" s="50" t="s">
        <v>122</v>
      </c>
      <c r="D22" s="56">
        <v>2000</v>
      </c>
    </row>
    <row r="23" spans="2:57" ht="13.8">
      <c r="B23" s="59" t="s">
        <v>177</v>
      </c>
      <c r="C23" s="60" t="s">
        <v>122</v>
      </c>
      <c r="D23" s="61">
        <v>1012</v>
      </c>
    </row>
    <row r="24" spans="2:57" ht="13.8">
      <c r="B24" s="50"/>
      <c r="C24" s="50"/>
      <c r="D24" s="50"/>
    </row>
    <row r="27" spans="2:57" ht="13.8">
      <c r="D27" s="352" t="s">
        <v>178</v>
      </c>
      <c r="E27" s="352"/>
      <c r="F27" s="352"/>
      <c r="G27" s="352"/>
      <c r="H27" s="352"/>
      <c r="I27" s="352"/>
      <c r="J27" s="352"/>
      <c r="K27" s="352"/>
      <c r="L27" s="352"/>
      <c r="M27" s="352"/>
      <c r="N27" s="352"/>
      <c r="O27" s="352"/>
      <c r="P27" s="352"/>
      <c r="Q27" s="352"/>
      <c r="R27" s="352"/>
      <c r="T27" s="353" t="s">
        <v>179</v>
      </c>
      <c r="U27" s="353"/>
      <c r="V27" s="353"/>
      <c r="X27" s="354" t="s">
        <v>180</v>
      </c>
      <c r="Y27" s="354"/>
      <c r="Z27" s="354"/>
      <c r="AA27"/>
      <c r="AB27" s="355" t="s">
        <v>181</v>
      </c>
      <c r="AC27" s="355"/>
      <c r="AD27" s="355"/>
      <c r="AE27" s="355"/>
      <c r="AF27" s="355"/>
      <c r="AG27" s="355"/>
      <c r="AH27" s="355"/>
      <c r="AI27" s="355"/>
      <c r="AJ27" s="355"/>
      <c r="AK27"/>
      <c r="AL27" s="346" t="s">
        <v>182</v>
      </c>
      <c r="AM27" s="346"/>
      <c r="AN27" s="346"/>
      <c r="AO27" s="346"/>
      <c r="AP27" s="346"/>
      <c r="AQ27" s="346"/>
      <c r="AS27" s="347" t="s">
        <v>183</v>
      </c>
      <c r="AT27" s="347"/>
      <c r="AU27" s="347"/>
      <c r="AV27" s="347"/>
      <c r="AW27" s="347"/>
      <c r="AX27" s="347"/>
      <c r="AZ27" s="348" t="s">
        <v>184</v>
      </c>
      <c r="BA27" s="348"/>
      <c r="BB27" s="348"/>
      <c r="BC27" s="348"/>
      <c r="BD27" s="348"/>
      <c r="BE27" s="348"/>
    </row>
    <row r="28" spans="2:57" ht="13.8">
      <c r="D28" s="349" t="s">
        <v>185</v>
      </c>
      <c r="E28" s="350" t="s">
        <v>186</v>
      </c>
      <c r="F28" s="350"/>
      <c r="G28" s="350"/>
      <c r="H28" s="350" t="s">
        <v>187</v>
      </c>
      <c r="I28" s="350" t="s">
        <v>188</v>
      </c>
      <c r="J28" s="350"/>
      <c r="K28" s="350" t="s">
        <v>108</v>
      </c>
      <c r="L28" s="350"/>
      <c r="M28" s="350" t="s">
        <v>189</v>
      </c>
      <c r="N28" s="350"/>
      <c r="O28" s="350" t="s">
        <v>190</v>
      </c>
      <c r="P28" s="350"/>
      <c r="Q28" s="340" t="s">
        <v>191</v>
      </c>
      <c r="R28" s="340"/>
      <c r="T28" s="110" t="s">
        <v>192</v>
      </c>
      <c r="U28" s="115" t="s">
        <v>193</v>
      </c>
      <c r="V28" s="116" t="s">
        <v>194</v>
      </c>
      <c r="X28" s="117" t="s">
        <v>192</v>
      </c>
      <c r="Y28" s="128" t="s">
        <v>193</v>
      </c>
      <c r="Z28" s="129" t="s">
        <v>194</v>
      </c>
      <c r="AA28"/>
      <c r="AB28" s="341" t="s">
        <v>126</v>
      </c>
      <c r="AC28" s="341"/>
      <c r="AD28" s="341"/>
      <c r="AE28" s="342" t="s">
        <v>127</v>
      </c>
      <c r="AF28" s="342"/>
      <c r="AG28" s="342"/>
      <c r="AH28" s="343" t="s">
        <v>128</v>
      </c>
      <c r="AI28" s="343"/>
      <c r="AJ28" s="343"/>
      <c r="AK28"/>
      <c r="AL28" s="344" t="s">
        <v>195</v>
      </c>
      <c r="AM28" s="344"/>
      <c r="AN28" s="345" t="s">
        <v>196</v>
      </c>
      <c r="AO28" s="345"/>
      <c r="AP28" s="334" t="s">
        <v>197</v>
      </c>
      <c r="AQ28" s="334"/>
      <c r="AS28" s="335" t="s">
        <v>195</v>
      </c>
      <c r="AT28" s="335"/>
      <c r="AU28" s="336" t="s">
        <v>196</v>
      </c>
      <c r="AV28" s="336"/>
      <c r="AW28" s="337" t="s">
        <v>197</v>
      </c>
      <c r="AX28" s="337"/>
      <c r="AZ28" s="338" t="s">
        <v>195</v>
      </c>
      <c r="BA28" s="338"/>
      <c r="BB28" s="339" t="s">
        <v>196</v>
      </c>
      <c r="BC28" s="339"/>
      <c r="BD28" s="331" t="s">
        <v>197</v>
      </c>
      <c r="BE28" s="331"/>
    </row>
    <row r="29" spans="2:57" ht="13.8">
      <c r="D29" s="349"/>
      <c r="E29" s="350"/>
      <c r="F29" s="350"/>
      <c r="G29" s="350"/>
      <c r="H29" s="350"/>
      <c r="I29" s="350"/>
      <c r="J29" s="350"/>
      <c r="K29" s="350"/>
      <c r="L29" s="350"/>
      <c r="M29" s="350"/>
      <c r="N29" s="350"/>
      <c r="O29" s="350"/>
      <c r="P29" s="350"/>
      <c r="Q29" s="340"/>
      <c r="R29" s="340"/>
      <c r="T29" s="110"/>
      <c r="U29" s="115"/>
      <c r="V29" s="116"/>
      <c r="X29" s="117"/>
      <c r="Y29" s="128"/>
      <c r="Z29" s="129"/>
      <c r="AA29"/>
      <c r="AB29" s="130" t="s">
        <v>192</v>
      </c>
      <c r="AC29" s="132" t="s">
        <v>193</v>
      </c>
      <c r="AD29" s="132" t="s">
        <v>194</v>
      </c>
      <c r="AE29" s="132" t="s">
        <v>192</v>
      </c>
      <c r="AF29" s="132" t="s">
        <v>198</v>
      </c>
      <c r="AG29" s="132" t="s">
        <v>194</v>
      </c>
      <c r="AH29" s="132" t="s">
        <v>192</v>
      </c>
      <c r="AI29" s="132" t="s">
        <v>193</v>
      </c>
      <c r="AJ29" s="133" t="s">
        <v>194</v>
      </c>
      <c r="AK29"/>
      <c r="AL29" s="134" t="s">
        <v>199</v>
      </c>
      <c r="AM29" s="135" t="s">
        <v>200</v>
      </c>
      <c r="AN29" s="135" t="s">
        <v>199</v>
      </c>
      <c r="AO29" s="135" t="s">
        <v>201</v>
      </c>
      <c r="AP29" s="135" t="s">
        <v>199</v>
      </c>
      <c r="AQ29" s="137" t="s">
        <v>201</v>
      </c>
      <c r="AS29" s="138" t="s">
        <v>199</v>
      </c>
      <c r="AT29" s="139" t="s">
        <v>200</v>
      </c>
      <c r="AU29" s="139" t="s">
        <v>199</v>
      </c>
      <c r="AV29" s="139" t="s">
        <v>201</v>
      </c>
      <c r="AW29" s="139" t="s">
        <v>199</v>
      </c>
      <c r="AX29" s="140" t="s">
        <v>201</v>
      </c>
      <c r="AZ29" s="141" t="s">
        <v>199</v>
      </c>
      <c r="BA29" s="142" t="s">
        <v>200</v>
      </c>
      <c r="BB29" s="142" t="s">
        <v>199</v>
      </c>
      <c r="BC29" s="142" t="s">
        <v>201</v>
      </c>
      <c r="BD29" s="142" t="s">
        <v>199</v>
      </c>
      <c r="BE29" s="143" t="s">
        <v>201</v>
      </c>
    </row>
    <row r="30" spans="2:57" ht="13.8">
      <c r="C30" s="50"/>
      <c r="D30" s="62" t="s">
        <v>202</v>
      </c>
      <c r="E30" s="79" t="s">
        <v>203</v>
      </c>
      <c r="F30" s="79" t="s">
        <v>204</v>
      </c>
      <c r="G30" s="79" t="s">
        <v>205</v>
      </c>
      <c r="H30" s="79" t="s">
        <v>106</v>
      </c>
      <c r="I30" s="79" t="s">
        <v>206</v>
      </c>
      <c r="J30" s="79" t="s">
        <v>207</v>
      </c>
      <c r="K30" s="79" t="s">
        <v>206</v>
      </c>
      <c r="L30" s="79" t="s">
        <v>207</v>
      </c>
      <c r="M30" s="79" t="s">
        <v>206</v>
      </c>
      <c r="N30" s="79" t="s">
        <v>207</v>
      </c>
      <c r="O30" s="332" t="s">
        <v>208</v>
      </c>
      <c r="P30" s="332"/>
      <c r="Q30" s="333" t="s">
        <v>208</v>
      </c>
      <c r="R30" s="333"/>
      <c r="T30" s="111" t="s">
        <v>208</v>
      </c>
      <c r="U30" s="118" t="s">
        <v>209</v>
      </c>
      <c r="V30" s="119" t="s">
        <v>209</v>
      </c>
      <c r="X30" s="111" t="s">
        <v>209</v>
      </c>
      <c r="Y30" s="118" t="s">
        <v>208</v>
      </c>
      <c r="Z30" s="119" t="s">
        <v>209</v>
      </c>
      <c r="AA30"/>
      <c r="AB30" s="105"/>
      <c r="AC30" s="34"/>
      <c r="AD30" s="34"/>
      <c r="AE30" s="34"/>
      <c r="AF30" s="34"/>
      <c r="AG30" s="34"/>
      <c r="AH30" s="34"/>
      <c r="AI30" s="34"/>
      <c r="AJ30" s="120"/>
      <c r="AK30"/>
      <c r="AL30" s="105"/>
      <c r="AM30" s="34"/>
      <c r="AN30" s="34"/>
      <c r="AO30" s="34"/>
      <c r="AP30" s="34"/>
      <c r="AQ30" s="120"/>
      <c r="AS30" s="105"/>
      <c r="AT30" s="34"/>
      <c r="AU30" s="34"/>
      <c r="AV30" s="34"/>
      <c r="AW30" s="34"/>
      <c r="AX30" s="120"/>
      <c r="AZ30" s="105"/>
      <c r="BA30" s="34"/>
      <c r="BB30" s="34"/>
      <c r="BC30" s="34"/>
      <c r="BD30" s="34"/>
      <c r="BE30" s="120"/>
    </row>
    <row r="31" spans="2:57" ht="13.8">
      <c r="D31" s="63">
        <v>0</v>
      </c>
      <c r="E31" s="80">
        <v>1.52</v>
      </c>
      <c r="F31" s="80"/>
      <c r="G31" s="80"/>
      <c r="H31" s="80"/>
      <c r="I31" s="80">
        <v>0</v>
      </c>
      <c r="J31" s="80"/>
      <c r="K31" s="80"/>
      <c r="L31" s="80"/>
      <c r="M31" s="80"/>
      <c r="N31" s="80"/>
      <c r="O31" s="329">
        <v>2000</v>
      </c>
      <c r="P31" s="329"/>
      <c r="Q31" s="330">
        <v>0</v>
      </c>
      <c r="R31" s="330"/>
      <c r="T31" s="105">
        <v>1012</v>
      </c>
      <c r="U31" s="34">
        <f>M31-$D$20-$D$19</f>
        <v>-1012</v>
      </c>
      <c r="V31" s="120"/>
      <c r="X31" s="105"/>
      <c r="Y31" s="34">
        <v>40</v>
      </c>
      <c r="Z31" s="120"/>
      <c r="AA31"/>
      <c r="AB31" s="105"/>
      <c r="AC31" s="34">
        <f t="shared" ref="AC31:AC36" si="1">Z14</f>
        <v>0</v>
      </c>
      <c r="AD31" s="34"/>
      <c r="AE31" s="34"/>
      <c r="AF31" s="34"/>
      <c r="AG31" s="34"/>
      <c r="AH31" s="34"/>
      <c r="AI31" s="34"/>
      <c r="AJ31" s="120"/>
      <c r="AK31"/>
      <c r="AL31" s="105"/>
      <c r="AM31" s="136">
        <f t="shared" ref="AM31:AM37" si="2">AC31*U32</f>
        <v>0</v>
      </c>
      <c r="AN31" s="34"/>
      <c r="AO31" s="34">
        <f t="shared" ref="AO31:AO37" si="3">Y31*AC31</f>
        <v>0</v>
      </c>
      <c r="AP31" s="34"/>
      <c r="AQ31" s="120"/>
      <c r="AS31" s="105"/>
      <c r="AT31" s="34"/>
      <c r="AU31" s="34"/>
      <c r="AV31" s="34"/>
      <c r="AW31" s="34"/>
      <c r="AX31" s="120"/>
      <c r="AZ31" s="105"/>
      <c r="BA31" s="34"/>
      <c r="BB31" s="34"/>
      <c r="BC31" s="34"/>
      <c r="BD31" s="34"/>
      <c r="BE31" s="120"/>
    </row>
    <row r="32" spans="2:57" ht="13.8">
      <c r="C32" s="45">
        <v>4</v>
      </c>
      <c r="D32" s="63">
        <v>2</v>
      </c>
      <c r="E32" s="80"/>
      <c r="F32" s="80"/>
      <c r="G32" s="80"/>
      <c r="H32" s="80"/>
      <c r="I32" s="80"/>
      <c r="J32" s="80"/>
      <c r="K32" s="80"/>
      <c r="L32" s="80"/>
      <c r="M32" s="80"/>
      <c r="N32" s="80"/>
      <c r="O32" s="329">
        <v>2000</v>
      </c>
      <c r="P32" s="329"/>
      <c r="Q32" s="330">
        <v>40</v>
      </c>
      <c r="R32" s="330"/>
      <c r="T32" s="105"/>
      <c r="U32" s="34">
        <f t="shared" ref="U32:U34" si="4">M32-$D$20-$D$19-Q32</f>
        <v>-1052</v>
      </c>
      <c r="V32" s="120"/>
      <c r="X32" s="105"/>
      <c r="Y32" s="34">
        <v>40</v>
      </c>
      <c r="Z32" s="120"/>
      <c r="AA32"/>
      <c r="AB32" s="105"/>
      <c r="AC32" s="34">
        <f t="shared" si="1"/>
        <v>0</v>
      </c>
      <c r="AD32" s="34"/>
      <c r="AE32" s="34"/>
      <c r="AF32" s="34"/>
      <c r="AG32" s="34"/>
      <c r="AH32" s="34"/>
      <c r="AI32" s="34"/>
      <c r="AJ32" s="120"/>
      <c r="AK32"/>
      <c r="AL32" s="105"/>
      <c r="AM32" s="136">
        <f t="shared" si="2"/>
        <v>0</v>
      </c>
      <c r="AN32" s="34"/>
      <c r="AO32" s="34">
        <f t="shared" si="3"/>
        <v>0</v>
      </c>
      <c r="AP32" s="34"/>
      <c r="AQ32" s="120"/>
      <c r="AS32" s="105"/>
      <c r="AT32" s="34"/>
      <c r="AU32" s="34"/>
      <c r="AV32" s="34"/>
      <c r="AW32" s="34"/>
      <c r="AX32" s="120"/>
      <c r="AZ32" s="105"/>
      <c r="BA32" s="34"/>
      <c r="BB32" s="34"/>
      <c r="BC32" s="34"/>
      <c r="BD32" s="34"/>
      <c r="BE32" s="120"/>
    </row>
    <row r="33" spans="3:57" ht="13.8">
      <c r="C33" s="45">
        <v>4</v>
      </c>
      <c r="D33" s="63">
        <v>4</v>
      </c>
      <c r="E33" s="80"/>
      <c r="F33" s="80"/>
      <c r="G33" s="80"/>
      <c r="H33" s="80"/>
      <c r="I33" s="80"/>
      <c r="J33" s="80"/>
      <c r="K33" s="80"/>
      <c r="L33" s="80"/>
      <c r="M33" s="102"/>
      <c r="N33" s="80"/>
      <c r="O33" s="329">
        <v>2000</v>
      </c>
      <c r="P33" s="329"/>
      <c r="Q33" s="330">
        <v>40</v>
      </c>
      <c r="R33" s="330"/>
      <c r="T33" s="105"/>
      <c r="U33" s="34">
        <f t="shared" si="4"/>
        <v>-1052</v>
      </c>
      <c r="V33" s="120"/>
      <c r="X33" s="105"/>
      <c r="Y33" s="34">
        <v>40</v>
      </c>
      <c r="Z33" s="120"/>
      <c r="AA33"/>
      <c r="AB33" s="105"/>
      <c r="AC33" s="34">
        <f t="shared" si="1"/>
        <v>0</v>
      </c>
      <c r="AD33" s="34"/>
      <c r="AE33" s="34"/>
      <c r="AF33" s="34"/>
      <c r="AG33" s="34"/>
      <c r="AH33" s="34"/>
      <c r="AI33" s="34"/>
      <c r="AJ33" s="120"/>
      <c r="AK33"/>
      <c r="AL33" s="105"/>
      <c r="AM33" s="136">
        <f t="shared" si="2"/>
        <v>0</v>
      </c>
      <c r="AN33" s="34"/>
      <c r="AO33" s="34">
        <f t="shared" si="3"/>
        <v>0</v>
      </c>
      <c r="AP33" s="34"/>
      <c r="AQ33" s="120"/>
      <c r="AS33" s="105"/>
      <c r="AT33" s="34"/>
      <c r="AU33" s="34"/>
      <c r="AV33" s="34"/>
      <c r="AW33" s="34"/>
      <c r="AX33" s="120"/>
      <c r="AZ33" s="105"/>
      <c r="BA33" s="34"/>
      <c r="BB33" s="34"/>
      <c r="BC33" s="34"/>
      <c r="BD33" s="34"/>
      <c r="BE33" s="120"/>
    </row>
    <row r="34" spans="3:57" ht="13.8">
      <c r="C34" s="45">
        <v>4</v>
      </c>
      <c r="D34" s="63">
        <v>8</v>
      </c>
      <c r="E34" s="80"/>
      <c r="F34" s="80"/>
      <c r="G34" s="80"/>
      <c r="H34" s="80"/>
      <c r="I34" s="80"/>
      <c r="J34" s="80"/>
      <c r="K34" s="80"/>
      <c r="L34" s="80"/>
      <c r="M34" s="80"/>
      <c r="N34" s="80"/>
      <c r="O34" s="329">
        <v>2000</v>
      </c>
      <c r="P34" s="329"/>
      <c r="Q34" s="330">
        <v>40</v>
      </c>
      <c r="R34" s="330"/>
      <c r="T34" s="105"/>
      <c r="U34" s="34">
        <f t="shared" si="4"/>
        <v>-1052</v>
      </c>
      <c r="V34" s="120"/>
      <c r="X34" s="105"/>
      <c r="Y34" s="34">
        <v>40</v>
      </c>
      <c r="Z34" s="120"/>
      <c r="AA34"/>
      <c r="AB34" s="105"/>
      <c r="AC34" s="34">
        <f t="shared" si="1"/>
        <v>0</v>
      </c>
      <c r="AD34" s="34"/>
      <c r="AE34" s="34"/>
      <c r="AF34" s="34"/>
      <c r="AG34" s="34"/>
      <c r="AH34" s="34"/>
      <c r="AI34" s="34"/>
      <c r="AJ34" s="120"/>
      <c r="AK34"/>
      <c r="AL34" s="105"/>
      <c r="AM34" s="136">
        <f t="shared" si="2"/>
        <v>0</v>
      </c>
      <c r="AN34" s="34"/>
      <c r="AO34" s="34">
        <f t="shared" si="3"/>
        <v>0</v>
      </c>
      <c r="AP34" s="34"/>
      <c r="AQ34" s="120"/>
      <c r="AS34" s="105"/>
      <c r="AT34" s="34"/>
      <c r="AU34" s="34"/>
      <c r="AV34" s="34"/>
      <c r="AW34" s="34"/>
      <c r="AX34" s="120"/>
      <c r="AZ34" s="105"/>
      <c r="BA34" s="34"/>
      <c r="BB34" s="34"/>
      <c r="BC34" s="34"/>
      <c r="BD34" s="34"/>
      <c r="BE34" s="120"/>
    </row>
    <row r="35" spans="3:57" ht="13.8">
      <c r="C35" s="45">
        <v>4</v>
      </c>
      <c r="D35" s="63">
        <v>12</v>
      </c>
      <c r="E35" s="80"/>
      <c r="F35" s="80"/>
      <c r="G35" s="80">
        <v>4</v>
      </c>
      <c r="H35" s="80"/>
      <c r="I35" s="80"/>
      <c r="J35" s="80"/>
      <c r="K35" s="80"/>
      <c r="L35" s="80"/>
      <c r="M35" s="80"/>
      <c r="N35" s="80"/>
      <c r="O35" s="329">
        <v>2000</v>
      </c>
      <c r="P35" s="329"/>
      <c r="Q35" s="330">
        <v>40</v>
      </c>
      <c r="R35" s="330"/>
      <c r="T35" s="105"/>
      <c r="U35" s="34">
        <f t="shared" ref="U35:U37" si="5">M35-$D$20-$D$19-4-Q35</f>
        <v>-1056</v>
      </c>
      <c r="V35" s="120"/>
      <c r="X35" s="105"/>
      <c r="Y35" s="34">
        <v>40</v>
      </c>
      <c r="Z35" s="120"/>
      <c r="AA35"/>
      <c r="AB35" s="105"/>
      <c r="AC35" s="34">
        <f t="shared" si="1"/>
        <v>0</v>
      </c>
      <c r="AD35" s="34"/>
      <c r="AE35" s="34"/>
      <c r="AF35" s="34"/>
      <c r="AG35" s="34"/>
      <c r="AH35" s="34"/>
      <c r="AI35" s="34"/>
      <c r="AJ35" s="120"/>
      <c r="AK35"/>
      <c r="AL35" s="105"/>
      <c r="AM35" s="136">
        <f t="shared" si="2"/>
        <v>0</v>
      </c>
      <c r="AN35" s="34"/>
      <c r="AO35" s="34">
        <f t="shared" si="3"/>
        <v>0</v>
      </c>
      <c r="AP35" s="34"/>
      <c r="AQ35" s="120"/>
      <c r="AS35" s="105"/>
      <c r="AT35" s="34"/>
      <c r="AU35" s="34"/>
      <c r="AV35" s="34"/>
      <c r="AW35" s="34"/>
      <c r="AX35" s="120"/>
      <c r="AZ35" s="105"/>
      <c r="BA35" s="34"/>
      <c r="BB35" s="34"/>
      <c r="BC35" s="34"/>
      <c r="BD35" s="34"/>
      <c r="BE35" s="120"/>
    </row>
    <row r="36" spans="3:57" ht="13.8">
      <c r="D36" s="63">
        <v>24</v>
      </c>
      <c r="E36" s="80"/>
      <c r="F36" s="80"/>
      <c r="G36" s="80"/>
      <c r="H36" s="80"/>
      <c r="I36" s="80"/>
      <c r="J36" s="80"/>
      <c r="K36" s="80"/>
      <c r="L36" s="80"/>
      <c r="M36" s="80"/>
      <c r="N36" s="144"/>
      <c r="O36" s="329">
        <v>2000</v>
      </c>
      <c r="P36" s="329"/>
      <c r="Q36" s="330">
        <v>40</v>
      </c>
      <c r="R36" s="330"/>
      <c r="T36" s="105"/>
      <c r="U36" s="34">
        <f t="shared" si="5"/>
        <v>-1056</v>
      </c>
      <c r="V36" s="120"/>
      <c r="X36" s="105"/>
      <c r="Y36" s="34">
        <v>40</v>
      </c>
      <c r="Z36" s="120"/>
      <c r="AA36"/>
      <c r="AB36" s="131" t="e">
        <f>G12</f>
        <v>#DIV/0!</v>
      </c>
      <c r="AC36" s="34">
        <f t="shared" si="1"/>
        <v>0</v>
      </c>
      <c r="AD36" s="34"/>
      <c r="AE36" s="34" t="e">
        <f>H12</f>
        <v>#DIV/0!</v>
      </c>
      <c r="AF36" s="34"/>
      <c r="AG36" s="34"/>
      <c r="AH36" s="112" t="e">
        <f>I12</f>
        <v>#DIV/0!</v>
      </c>
      <c r="AI36" s="34"/>
      <c r="AJ36" s="120"/>
      <c r="AK36"/>
      <c r="AL36" s="105" t="e">
        <f>AB36*T31</f>
        <v>#DIV/0!</v>
      </c>
      <c r="AM36" s="136">
        <f t="shared" si="2"/>
        <v>0</v>
      </c>
      <c r="AN36" s="34"/>
      <c r="AO36" s="34">
        <f t="shared" si="3"/>
        <v>0</v>
      </c>
      <c r="AP36" s="34"/>
      <c r="AQ36" s="120"/>
      <c r="AS36" s="105"/>
      <c r="AT36" s="34"/>
      <c r="AU36" s="34"/>
      <c r="AV36" s="34"/>
      <c r="AW36" s="34"/>
      <c r="AX36" s="120"/>
      <c r="AZ36" s="105"/>
      <c r="BA36" s="34"/>
      <c r="BB36" s="34"/>
      <c r="BC36" s="34"/>
      <c r="BD36" s="34"/>
      <c r="BE36" s="120"/>
    </row>
    <row r="37" spans="3:57" ht="13.8">
      <c r="D37" s="63">
        <v>48</v>
      </c>
      <c r="E37" s="80"/>
      <c r="F37" s="80"/>
      <c r="G37" s="80"/>
      <c r="H37" s="80"/>
      <c r="I37" s="80"/>
      <c r="J37" s="80"/>
      <c r="K37" s="80"/>
      <c r="L37" s="80"/>
      <c r="M37" s="102"/>
      <c r="N37" s="144"/>
      <c r="O37" s="329">
        <v>2000</v>
      </c>
      <c r="P37" s="329"/>
      <c r="Q37" s="330">
        <v>40</v>
      </c>
      <c r="R37" s="330"/>
      <c r="T37" s="105"/>
      <c r="U37" s="34">
        <f t="shared" si="5"/>
        <v>-1056</v>
      </c>
      <c r="V37" s="120"/>
      <c r="X37" s="105">
        <v>1012</v>
      </c>
      <c r="Y37" s="34">
        <v>40</v>
      </c>
      <c r="Z37" s="120">
        <v>4</v>
      </c>
      <c r="AA37"/>
      <c r="AB37" s="105"/>
      <c r="AC37" s="34"/>
      <c r="AD37" s="34"/>
      <c r="AE37" s="34"/>
      <c r="AF37" s="34"/>
      <c r="AG37" s="34"/>
      <c r="AH37" s="34"/>
      <c r="AI37" s="34"/>
      <c r="AJ37" s="120"/>
      <c r="AK37"/>
      <c r="AL37" s="105"/>
      <c r="AM37" s="136">
        <f t="shared" si="2"/>
        <v>0</v>
      </c>
      <c r="AN37" s="34"/>
      <c r="AO37" s="34">
        <f t="shared" si="3"/>
        <v>0</v>
      </c>
      <c r="AP37" s="34"/>
      <c r="AQ37" s="120"/>
      <c r="AS37" s="105"/>
      <c r="AT37" s="34"/>
      <c r="AU37" s="34"/>
      <c r="AV37" s="34"/>
      <c r="AW37" s="34"/>
      <c r="AX37" s="120"/>
      <c r="AZ37" s="105"/>
      <c r="BA37" s="34"/>
      <c r="BB37" s="34"/>
      <c r="BC37" s="34"/>
      <c r="BD37" s="34"/>
      <c r="BE37" s="120"/>
    </row>
    <row r="38" spans="3:57" ht="13.8">
      <c r="D38" s="64" t="s">
        <v>210</v>
      </c>
      <c r="E38" s="80">
        <v>1.52</v>
      </c>
      <c r="F38" s="80">
        <f>SUM(F31:F37)</f>
        <v>0</v>
      </c>
      <c r="G38" s="80">
        <f>SUM(G31:G37)</f>
        <v>4</v>
      </c>
      <c r="H38" s="80"/>
      <c r="I38" s="80"/>
      <c r="J38" s="80"/>
      <c r="K38" s="80"/>
      <c r="L38" s="80"/>
      <c r="M38" s="80"/>
      <c r="N38" s="80"/>
      <c r="O38" s="329"/>
      <c r="P38" s="329"/>
      <c r="Q38" s="330"/>
      <c r="R38" s="330"/>
      <c r="T38" s="105"/>
      <c r="U38" s="34"/>
      <c r="V38" s="120"/>
      <c r="X38" s="105"/>
      <c r="Y38" s="34"/>
      <c r="Z38" s="120"/>
      <c r="AA38"/>
      <c r="AB38" s="105"/>
      <c r="AC38" s="34"/>
      <c r="AD38" s="34"/>
      <c r="AE38" s="34"/>
      <c r="AF38" s="34"/>
      <c r="AG38" s="34"/>
      <c r="AH38" s="34"/>
      <c r="AI38" s="34"/>
      <c r="AJ38" s="120"/>
      <c r="AK38"/>
      <c r="AL38" s="105"/>
      <c r="AM38" s="34"/>
      <c r="AN38" s="34"/>
      <c r="AO38" s="34"/>
      <c r="AP38" s="34"/>
      <c r="AQ38" s="120"/>
      <c r="AS38" s="105"/>
      <c r="AT38" s="34"/>
      <c r="AU38" s="34"/>
      <c r="AV38" s="34"/>
      <c r="AW38" s="34"/>
      <c r="AX38" s="120"/>
      <c r="AZ38" s="105"/>
      <c r="BA38" s="34"/>
      <c r="BB38" s="34"/>
      <c r="BC38" s="34"/>
      <c r="BD38" s="34"/>
      <c r="BE38" s="120"/>
    </row>
    <row r="39" spans="3:57" ht="13.8">
      <c r="D39" s="65" t="s">
        <v>211</v>
      </c>
      <c r="E39" s="323">
        <v>0</v>
      </c>
      <c r="F39" s="323"/>
      <c r="G39" s="323"/>
      <c r="H39" s="81"/>
      <c r="I39" s="81"/>
      <c r="J39" s="81"/>
      <c r="K39" s="81"/>
      <c r="L39" s="81"/>
      <c r="M39" s="81"/>
      <c r="N39" s="81"/>
      <c r="O39" s="323"/>
      <c r="P39" s="323"/>
      <c r="Q39" s="324"/>
      <c r="R39" s="324"/>
      <c r="T39" s="108"/>
      <c r="U39" s="109"/>
      <c r="V39" s="121"/>
      <c r="X39" s="108"/>
      <c r="Y39" s="109"/>
      <c r="Z39" s="121"/>
      <c r="AA39"/>
      <c r="AB39" s="108"/>
      <c r="AC39" s="109"/>
      <c r="AD39" s="109"/>
      <c r="AE39" s="109"/>
      <c r="AF39" s="109"/>
      <c r="AG39" s="109"/>
      <c r="AH39" s="109"/>
      <c r="AI39" s="109"/>
      <c r="AJ39" s="121"/>
      <c r="AK39"/>
      <c r="AL39" s="108"/>
      <c r="AM39" s="109"/>
      <c r="AN39" s="109"/>
      <c r="AO39" s="109"/>
      <c r="AP39" s="109"/>
      <c r="AQ39" s="121"/>
      <c r="AS39" s="108"/>
      <c r="AT39" s="109"/>
      <c r="AU39" s="109"/>
      <c r="AV39" s="109"/>
      <c r="AW39" s="109"/>
      <c r="AX39" s="121"/>
      <c r="AZ39" s="108"/>
      <c r="BA39" s="109"/>
      <c r="BB39" s="109"/>
      <c r="BC39" s="109"/>
      <c r="BD39" s="109"/>
      <c r="BE39" s="121"/>
    </row>
    <row r="42" spans="3:57" ht="13.8">
      <c r="D42" s="325" t="s">
        <v>212</v>
      </c>
      <c r="E42" s="325"/>
      <c r="F42" s="325"/>
      <c r="H42" s="326" t="s">
        <v>213</v>
      </c>
      <c r="I42" s="326"/>
      <c r="J42" s="326"/>
    </row>
    <row r="43" spans="3:57" ht="13.8">
      <c r="D43" s="327" t="s">
        <v>214</v>
      </c>
      <c r="E43" s="327"/>
      <c r="F43" s="327"/>
      <c r="H43" s="328" t="s">
        <v>215</v>
      </c>
      <c r="I43" s="328"/>
      <c r="J43" s="328"/>
    </row>
    <row r="44" spans="3:57" ht="13.8">
      <c r="D44" s="66" t="s">
        <v>126</v>
      </c>
      <c r="E44" s="82" t="s">
        <v>127</v>
      </c>
      <c r="F44" s="83" t="s">
        <v>128</v>
      </c>
      <c r="H44" s="84" t="s">
        <v>126</v>
      </c>
      <c r="I44" s="98" t="s">
        <v>127</v>
      </c>
      <c r="J44" s="99" t="s">
        <v>128</v>
      </c>
    </row>
    <row r="45" spans="3:57" ht="13.8">
      <c r="D45" s="67">
        <f>AM31+AO31</f>
        <v>0</v>
      </c>
      <c r="E45" s="50"/>
      <c r="F45" s="56"/>
      <c r="H45" s="85" t="e">
        <f t="shared" ref="H45:H50" si="6">D45/$G$15</f>
        <v>#DIV/0!</v>
      </c>
      <c r="I45" s="50"/>
      <c r="J45" s="56"/>
    </row>
    <row r="46" spans="3:57" ht="13.8">
      <c r="D46" s="67">
        <f>AM32+AO31+AO32</f>
        <v>0</v>
      </c>
      <c r="E46" s="50"/>
      <c r="F46" s="56"/>
      <c r="H46" s="85" t="e">
        <f t="shared" si="6"/>
        <v>#DIV/0!</v>
      </c>
      <c r="I46" s="50"/>
      <c r="J46" s="56"/>
    </row>
    <row r="47" spans="3:57" ht="13.8">
      <c r="D47" s="67">
        <f>AM33+SUM(AO31:AO33)</f>
        <v>0</v>
      </c>
      <c r="E47" s="50"/>
      <c r="F47" s="56"/>
      <c r="H47" s="85" t="e">
        <f t="shared" si="6"/>
        <v>#DIV/0!</v>
      </c>
      <c r="I47" s="50"/>
      <c r="J47" s="56"/>
    </row>
    <row r="48" spans="3:57" ht="13.8">
      <c r="D48" s="67">
        <f>AM34+SUM(AO31:AO34)</f>
        <v>0</v>
      </c>
      <c r="E48" s="50"/>
      <c r="F48" s="56"/>
      <c r="H48" s="85" t="e">
        <f t="shared" si="6"/>
        <v>#DIV/0!</v>
      </c>
      <c r="I48" s="50"/>
      <c r="J48" s="56"/>
    </row>
    <row r="49" spans="4:10" ht="13.8">
      <c r="D49" s="67">
        <f>AM35+AM34+SUM(AO31:AO35)</f>
        <v>0</v>
      </c>
      <c r="E49" s="50"/>
      <c r="F49" s="56"/>
      <c r="H49" s="85" t="e">
        <f t="shared" si="6"/>
        <v>#DIV/0!</v>
      </c>
      <c r="I49" s="50"/>
      <c r="J49" s="56"/>
    </row>
    <row r="50" spans="4:10" ht="13.8">
      <c r="D50" s="68">
        <f>AM36+AM35+AM34+SUM(AO31:AO36)</f>
        <v>0</v>
      </c>
      <c r="E50" s="60"/>
      <c r="F50" s="61"/>
      <c r="H50" s="86" t="e">
        <f t="shared" si="6"/>
        <v>#DIV/0!</v>
      </c>
      <c r="I50" s="60"/>
      <c r="J50" s="61"/>
    </row>
  </sheetData>
  <mergeCells count="62">
    <mergeCell ref="T27:V27"/>
    <mergeCell ref="X27:Z27"/>
    <mergeCell ref="AB27:AJ27"/>
    <mergeCell ref="AL27:AQ27"/>
    <mergeCell ref="B2:F2"/>
    <mergeCell ref="U3:X3"/>
    <mergeCell ref="Y3:AB3"/>
    <mergeCell ref="B9:D9"/>
    <mergeCell ref="F9:I9"/>
    <mergeCell ref="K9:M9"/>
    <mergeCell ref="S3:S5"/>
    <mergeCell ref="T4:T5"/>
    <mergeCell ref="AS27:AX27"/>
    <mergeCell ref="AZ27:BE27"/>
    <mergeCell ref="AB28:AD28"/>
    <mergeCell ref="AE28:AG28"/>
    <mergeCell ref="AH28:AJ28"/>
    <mergeCell ref="AL28:AM28"/>
    <mergeCell ref="AN28:AO28"/>
    <mergeCell ref="AP28:AQ28"/>
    <mergeCell ref="AS28:AT28"/>
    <mergeCell ref="AU28:AV28"/>
    <mergeCell ref="AW28:AX28"/>
    <mergeCell ref="AZ28:BA28"/>
    <mergeCell ref="BB28:BC28"/>
    <mergeCell ref="BD28:BE28"/>
    <mergeCell ref="O30:P30"/>
    <mergeCell ref="Q30:R30"/>
    <mergeCell ref="O31:P31"/>
    <mergeCell ref="Q31:R31"/>
    <mergeCell ref="O32:P32"/>
    <mergeCell ref="Q32:R32"/>
    <mergeCell ref="O38:P38"/>
    <mergeCell ref="Q38:R38"/>
    <mergeCell ref="O33:P33"/>
    <mergeCell ref="Q33:R33"/>
    <mergeCell ref="O34:P34"/>
    <mergeCell ref="Q34:R34"/>
    <mergeCell ref="O35:P35"/>
    <mergeCell ref="Q35:R35"/>
    <mergeCell ref="F15:F16"/>
    <mergeCell ref="F19:F20"/>
    <mergeCell ref="H28:H29"/>
    <mergeCell ref="E28:G29"/>
    <mergeCell ref="I28:J29"/>
    <mergeCell ref="D27:R27"/>
    <mergeCell ref="K28:L29"/>
    <mergeCell ref="M28:N29"/>
    <mergeCell ref="O28:P29"/>
    <mergeCell ref="Q28:R29"/>
    <mergeCell ref="D43:F43"/>
    <mergeCell ref="H43:J43"/>
    <mergeCell ref="D28:D29"/>
    <mergeCell ref="E39:G39"/>
    <mergeCell ref="O39:P39"/>
    <mergeCell ref="Q39:R39"/>
    <mergeCell ref="D42:F42"/>
    <mergeCell ref="H42:J42"/>
    <mergeCell ref="O36:P36"/>
    <mergeCell ref="Q36:R36"/>
    <mergeCell ref="O37:P37"/>
    <mergeCell ref="Q37:R37"/>
  </mergeCells>
  <pageMargins left="0.7" right="0.7" top="0.75" bottom="0.75" header="0.511811023622047" footer="0.511811023622047"/>
  <pageSetup orientation="portrait" horizontalDpi="300" verticalDpi="300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>
    <tabColor theme="9" tint="0.59999389629810485"/>
  </sheetPr>
  <dimension ref="B2:BE50"/>
  <sheetViews>
    <sheetView zoomScale="70" zoomScaleNormal="70" workbookViewId="0">
      <selection activeCell="J6" sqref="J6"/>
    </sheetView>
  </sheetViews>
  <sheetFormatPr defaultColWidth="10" defaultRowHeight="16.2" customHeight="1"/>
  <cols>
    <col min="1" max="1" width="10" style="45"/>
    <col min="2" max="2" width="23.8984375" style="45" customWidth="1"/>
    <col min="3" max="3" width="2.3984375" style="45" customWidth="1"/>
    <col min="4" max="4" width="19.5" style="45" customWidth="1"/>
    <col min="5" max="5" width="10" style="45"/>
    <col min="6" max="6" width="16.69921875" style="45" customWidth="1"/>
    <col min="7" max="8" width="11.09765625" style="45" customWidth="1"/>
    <col min="9" max="19" width="10" style="45"/>
    <col min="20" max="20" width="26.296875" style="45" customWidth="1"/>
    <col min="21" max="16384" width="10" style="45"/>
  </cols>
  <sheetData>
    <row r="2" spans="2:28" ht="13.8">
      <c r="B2" s="356" t="s">
        <v>116</v>
      </c>
      <c r="C2" s="356"/>
      <c r="D2" s="356"/>
      <c r="E2" s="356"/>
      <c r="F2" s="356"/>
    </row>
    <row r="3" spans="2:28" ht="13.8">
      <c r="S3" s="357" t="s">
        <v>117</v>
      </c>
      <c r="T3" s="103" t="s">
        <v>118</v>
      </c>
      <c r="U3" s="358" t="s">
        <v>119</v>
      </c>
      <c r="V3" s="358"/>
      <c r="W3" s="358"/>
      <c r="X3" s="358"/>
      <c r="Y3" s="359" t="s">
        <v>120</v>
      </c>
      <c r="Z3" s="359"/>
      <c r="AA3" s="359"/>
      <c r="AB3" s="359"/>
    </row>
    <row r="4" spans="2:28" ht="13.8">
      <c r="B4" s="46" t="s">
        <v>121</v>
      </c>
      <c r="C4" s="47" t="s">
        <v>122</v>
      </c>
      <c r="D4" s="48"/>
      <c r="E4" s="48"/>
      <c r="F4" s="48"/>
      <c r="G4" s="48"/>
      <c r="H4" s="48"/>
      <c r="I4" s="87"/>
      <c r="S4" s="357"/>
      <c r="T4" s="360" t="s">
        <v>124</v>
      </c>
      <c r="U4" s="104" t="s">
        <v>125</v>
      </c>
      <c r="V4" s="104" t="s">
        <v>126</v>
      </c>
      <c r="W4" s="104" t="s">
        <v>127</v>
      </c>
      <c r="X4" s="104" t="s">
        <v>128</v>
      </c>
      <c r="Y4" s="104" t="s">
        <v>125</v>
      </c>
      <c r="Z4" s="104" t="s">
        <v>126</v>
      </c>
      <c r="AA4" s="104" t="s">
        <v>127</v>
      </c>
      <c r="AB4" s="122" t="s">
        <v>128</v>
      </c>
    </row>
    <row r="5" spans="2:28" ht="13.8">
      <c r="B5" s="49" t="s">
        <v>129</v>
      </c>
      <c r="C5" s="50" t="s">
        <v>122</v>
      </c>
      <c r="I5" s="88"/>
      <c r="S5" s="357"/>
      <c r="T5" s="360"/>
      <c r="U5" s="104" t="s">
        <v>131</v>
      </c>
      <c r="V5" s="104" t="s">
        <v>106</v>
      </c>
      <c r="W5" s="104" t="s">
        <v>106</v>
      </c>
      <c r="X5" s="104" t="s">
        <v>106</v>
      </c>
      <c r="Y5" s="104" t="s">
        <v>131</v>
      </c>
      <c r="Z5" s="104" t="s">
        <v>106</v>
      </c>
      <c r="AA5" s="104" t="s">
        <v>106</v>
      </c>
      <c r="AB5" s="122" t="s">
        <v>106</v>
      </c>
    </row>
    <row r="6" spans="2:28" ht="13.8">
      <c r="B6" s="49" t="s">
        <v>132</v>
      </c>
      <c r="C6" s="50" t="s">
        <v>122</v>
      </c>
      <c r="D6" s="51"/>
      <c r="I6" s="88"/>
      <c r="S6" s="105">
        <v>1</v>
      </c>
      <c r="T6" s="34" t="s">
        <v>134</v>
      </c>
      <c r="U6" s="112"/>
      <c r="V6" s="34"/>
      <c r="W6" s="34"/>
      <c r="X6" s="34"/>
      <c r="Y6" s="34"/>
      <c r="Z6" s="34"/>
      <c r="AA6" s="34"/>
      <c r="AB6" s="120"/>
    </row>
    <row r="7" spans="2:28" ht="13.8">
      <c r="B7" s="52" t="s">
        <v>135</v>
      </c>
      <c r="C7" s="53" t="s">
        <v>122</v>
      </c>
      <c r="D7" s="54"/>
      <c r="E7" s="54"/>
      <c r="F7" s="54"/>
      <c r="G7" s="54"/>
      <c r="H7" s="54"/>
      <c r="I7" s="89"/>
      <c r="S7" s="105">
        <v>2</v>
      </c>
      <c r="T7" s="34" t="s">
        <v>137</v>
      </c>
      <c r="U7" s="34"/>
      <c r="V7" s="112"/>
      <c r="W7" s="112"/>
      <c r="X7" s="34"/>
      <c r="Y7" s="34"/>
      <c r="Z7" s="34"/>
      <c r="AA7" s="34"/>
      <c r="AB7" s="120"/>
    </row>
    <row r="8" spans="2:28" ht="13.8">
      <c r="S8" s="105">
        <v>3</v>
      </c>
      <c r="T8" s="34" t="s">
        <v>138</v>
      </c>
      <c r="U8" s="34"/>
      <c r="V8" s="112"/>
      <c r="W8" s="34"/>
      <c r="X8" s="34"/>
      <c r="Y8" s="34"/>
      <c r="Z8" s="34"/>
      <c r="AA8" s="34"/>
      <c r="AB8" s="120"/>
    </row>
    <row r="9" spans="2:28" ht="13.8">
      <c r="B9" s="361" t="s">
        <v>139</v>
      </c>
      <c r="C9" s="361"/>
      <c r="D9" s="361"/>
      <c r="F9" s="362" t="s">
        <v>140</v>
      </c>
      <c r="G9" s="362"/>
      <c r="H9" s="362"/>
      <c r="I9" s="362"/>
      <c r="K9" s="363" t="s">
        <v>141</v>
      </c>
      <c r="L9" s="363"/>
      <c r="M9" s="363"/>
      <c r="S9" s="105">
        <v>4</v>
      </c>
      <c r="T9" s="106" t="s">
        <v>142</v>
      </c>
      <c r="U9" s="112"/>
      <c r="V9" s="34"/>
      <c r="W9" s="34"/>
      <c r="X9" s="34"/>
      <c r="Y9" s="34"/>
      <c r="Z9" s="34"/>
      <c r="AA9" s="34"/>
      <c r="AB9" s="120"/>
    </row>
    <row r="10" spans="2:28" ht="13.8">
      <c r="B10" s="55" t="s">
        <v>108</v>
      </c>
      <c r="C10" s="50" t="s">
        <v>122</v>
      </c>
      <c r="D10" s="56" t="s">
        <v>143</v>
      </c>
      <c r="F10" s="69"/>
      <c r="G10" s="70" t="s">
        <v>126</v>
      </c>
      <c r="H10" s="70" t="s">
        <v>127</v>
      </c>
      <c r="I10" s="90" t="s">
        <v>128</v>
      </c>
      <c r="K10" s="62" t="s">
        <v>144</v>
      </c>
      <c r="L10" s="91">
        <f>(F38/1012)*1000</f>
        <v>0</v>
      </c>
      <c r="M10" s="100" t="s">
        <v>145</v>
      </c>
      <c r="S10" s="105">
        <v>5</v>
      </c>
      <c r="T10" s="34" t="s">
        <v>146</v>
      </c>
      <c r="U10" s="112"/>
      <c r="V10" s="34"/>
      <c r="W10" s="113"/>
      <c r="X10" s="34"/>
      <c r="Y10" s="34"/>
      <c r="Z10" s="34"/>
      <c r="AA10" s="34"/>
      <c r="AB10" s="120"/>
    </row>
    <row r="11" spans="2:28" ht="13.8">
      <c r="B11" s="55" t="s">
        <v>147</v>
      </c>
      <c r="C11" s="50" t="s">
        <v>122</v>
      </c>
      <c r="D11" s="56">
        <v>1000</v>
      </c>
      <c r="F11" s="71" t="s">
        <v>148</v>
      </c>
      <c r="G11" s="72" t="e">
        <f t="shared" ref="G11:I11" si="0">AVERAGE(V6:V8)</f>
        <v>#DIV/0!</v>
      </c>
      <c r="H11" s="72" t="e">
        <f t="shared" si="0"/>
        <v>#DIV/0!</v>
      </c>
      <c r="I11" s="92" t="e">
        <f t="shared" si="0"/>
        <v>#DIV/0!</v>
      </c>
      <c r="K11" s="62" t="s">
        <v>149</v>
      </c>
      <c r="L11" s="91">
        <f>((E38-(($J37*1518)/10000000))/1012)*1000</f>
        <v>1.5019762845849802</v>
      </c>
      <c r="M11" s="100" t="s">
        <v>145</v>
      </c>
      <c r="S11" s="105">
        <v>6</v>
      </c>
      <c r="T11" s="34" t="s">
        <v>150</v>
      </c>
      <c r="U11" s="34"/>
      <c r="V11" s="34"/>
      <c r="W11" s="34"/>
      <c r="X11" s="112"/>
      <c r="Y11" s="34"/>
      <c r="Z11" s="34"/>
      <c r="AA11" s="34"/>
      <c r="AB11" s="120"/>
    </row>
    <row r="12" spans="2:28" ht="13.8">
      <c r="B12" s="55" t="s">
        <v>151</v>
      </c>
      <c r="C12" s="50" t="s">
        <v>122</v>
      </c>
      <c r="D12" s="57">
        <v>0.4</v>
      </c>
      <c r="F12" s="73" t="s">
        <v>152</v>
      </c>
      <c r="G12" s="74" t="e">
        <f>AVERAGE(V10:V12)</f>
        <v>#DIV/0!</v>
      </c>
      <c r="H12" s="74" t="e">
        <f>AVERAGE(W10:W13)</f>
        <v>#DIV/0!</v>
      </c>
      <c r="I12" s="93" t="e">
        <f>AVERAGE(X10:X13)</f>
        <v>#DIV/0!</v>
      </c>
      <c r="K12" s="94" t="s">
        <v>153</v>
      </c>
      <c r="L12" s="81"/>
      <c r="M12" s="101"/>
      <c r="S12" s="107">
        <v>7</v>
      </c>
      <c r="T12" s="34" t="s">
        <v>154</v>
      </c>
      <c r="U12" s="114"/>
      <c r="V12" s="114"/>
      <c r="W12" s="114"/>
      <c r="X12" s="114"/>
      <c r="Y12" s="114"/>
      <c r="Z12" s="114"/>
      <c r="AA12" s="114"/>
      <c r="AB12" s="123"/>
    </row>
    <row r="13" spans="2:28" ht="13.8">
      <c r="B13" s="55" t="s">
        <v>155</v>
      </c>
      <c r="C13" s="50" t="s">
        <v>122</v>
      </c>
      <c r="D13" s="57">
        <v>0.6</v>
      </c>
      <c r="S13" s="105">
        <v>8</v>
      </c>
      <c r="T13" s="34" t="s">
        <v>156</v>
      </c>
      <c r="U13" s="34"/>
      <c r="V13" s="112"/>
      <c r="W13" s="113"/>
      <c r="X13" s="34"/>
      <c r="Y13" s="34"/>
      <c r="Z13" s="34"/>
      <c r="AA13" s="34"/>
      <c r="AB13" s="120"/>
    </row>
    <row r="14" spans="2:28" ht="13.8">
      <c r="B14" s="55" t="s">
        <v>157</v>
      </c>
      <c r="C14" s="50" t="s">
        <v>122</v>
      </c>
      <c r="D14" s="56" t="s">
        <v>158</v>
      </c>
      <c r="F14" s="75" t="s">
        <v>159</v>
      </c>
      <c r="G14" s="76" t="e">
        <f>G12*D20</f>
        <v>#DIV/0!</v>
      </c>
      <c r="H14" s="76"/>
      <c r="I14" s="95"/>
      <c r="S14" s="105">
        <v>9</v>
      </c>
      <c r="T14" s="34" t="s">
        <v>160</v>
      </c>
      <c r="U14" s="34"/>
      <c r="V14" s="34"/>
      <c r="W14" s="34"/>
      <c r="X14" s="34"/>
      <c r="Y14" s="34"/>
      <c r="Z14" s="34"/>
      <c r="AA14" s="34"/>
      <c r="AB14" s="120"/>
    </row>
    <row r="15" spans="2:28" ht="16.2" customHeight="1">
      <c r="B15" s="55" t="s">
        <v>161</v>
      </c>
      <c r="C15" s="50" t="s">
        <v>122</v>
      </c>
      <c r="D15" s="56">
        <v>2.1</v>
      </c>
      <c r="F15" s="351" t="s">
        <v>162</v>
      </c>
      <c r="G15" s="77" t="e">
        <f>G14+D50</f>
        <v>#DIV/0!</v>
      </c>
      <c r="H15" s="77"/>
      <c r="I15" s="96"/>
      <c r="S15" s="105">
        <v>10</v>
      </c>
      <c r="T15" s="34" t="s">
        <v>163</v>
      </c>
      <c r="U15" s="34"/>
      <c r="V15" s="34"/>
      <c r="W15" s="34"/>
      <c r="X15" s="34"/>
      <c r="Y15" s="34"/>
      <c r="Z15" s="34"/>
      <c r="AA15" s="34"/>
      <c r="AB15" s="120"/>
    </row>
    <row r="16" spans="2:28" ht="13.8">
      <c r="B16" s="55" t="s">
        <v>164</v>
      </c>
      <c r="C16" s="50" t="s">
        <v>122</v>
      </c>
      <c r="D16" s="56">
        <v>1.27</v>
      </c>
      <c r="F16" s="351"/>
      <c r="G16" s="78"/>
      <c r="H16" s="78"/>
      <c r="I16" s="97"/>
      <c r="J16" s="45" t="e">
        <f>G15/D23</f>
        <v>#DIV/0!</v>
      </c>
      <c r="S16" s="105">
        <v>11</v>
      </c>
      <c r="T16" s="34" t="s">
        <v>165</v>
      </c>
      <c r="U16" s="34"/>
      <c r="V16" s="34"/>
      <c r="W16" s="34"/>
      <c r="X16" s="34"/>
      <c r="Y16" s="34"/>
      <c r="Z16" s="34"/>
      <c r="AA16" s="34"/>
      <c r="AB16" s="120"/>
    </row>
    <row r="17" spans="2:57" ht="13.8">
      <c r="B17" s="55" t="s">
        <v>166</v>
      </c>
      <c r="C17" s="50" t="s">
        <v>122</v>
      </c>
      <c r="D17" s="56">
        <v>2</v>
      </c>
      <c r="S17" s="105">
        <v>12</v>
      </c>
      <c r="T17" s="34" t="s">
        <v>167</v>
      </c>
      <c r="Z17" s="124"/>
      <c r="AA17" s="114"/>
      <c r="AB17" s="123"/>
    </row>
    <row r="18" spans="2:57" ht="13.8">
      <c r="B18" s="55" t="s">
        <v>168</v>
      </c>
      <c r="C18" s="50" t="s">
        <v>122</v>
      </c>
      <c r="D18" s="56">
        <v>48</v>
      </c>
      <c r="F18" s="75" t="s">
        <v>169</v>
      </c>
      <c r="G18" s="76"/>
      <c r="H18" s="76"/>
      <c r="I18" s="95"/>
      <c r="O18" s="45">
        <v>4</v>
      </c>
      <c r="S18" s="105">
        <v>13</v>
      </c>
      <c r="T18" s="34" t="s">
        <v>170</v>
      </c>
      <c r="U18" s="34"/>
      <c r="V18" s="34"/>
      <c r="W18" s="34"/>
      <c r="X18" s="34"/>
      <c r="Y18" s="34"/>
      <c r="Z18" s="145"/>
      <c r="AA18" s="124"/>
      <c r="AB18" s="125"/>
    </row>
    <row r="19" spans="2:57" ht="16.2" customHeight="1">
      <c r="B19" s="55" t="s">
        <v>171</v>
      </c>
      <c r="C19" s="50" t="s">
        <v>122</v>
      </c>
      <c r="D19" s="58"/>
      <c r="F19" s="351" t="s">
        <v>172</v>
      </c>
      <c r="G19" s="77"/>
      <c r="H19" s="77"/>
      <c r="I19" s="96"/>
      <c r="S19" s="108">
        <v>14</v>
      </c>
      <c r="T19" s="109" t="s">
        <v>173</v>
      </c>
      <c r="U19" s="109"/>
      <c r="V19" s="109"/>
      <c r="W19" s="109"/>
      <c r="X19" s="109"/>
      <c r="Y19" s="109"/>
      <c r="Z19" s="146"/>
      <c r="AA19" s="126"/>
      <c r="AB19" s="127"/>
    </row>
    <row r="20" spans="2:57" ht="13.8">
      <c r="B20" s="55" t="s">
        <v>174</v>
      </c>
      <c r="C20" s="50" t="s">
        <v>122</v>
      </c>
      <c r="D20" s="56">
        <v>1012</v>
      </c>
      <c r="F20" s="351"/>
      <c r="G20" s="78"/>
      <c r="H20" s="78"/>
      <c r="I20" s="97"/>
    </row>
    <row r="21" spans="2:57" ht="13.8">
      <c r="B21" s="55" t="s">
        <v>175</v>
      </c>
      <c r="C21" s="50" t="s">
        <v>122</v>
      </c>
      <c r="D21" s="56">
        <v>1518</v>
      </c>
    </row>
    <row r="22" spans="2:57" ht="13.8">
      <c r="B22" s="55" t="s">
        <v>176</v>
      </c>
      <c r="C22" s="50" t="s">
        <v>122</v>
      </c>
      <c r="D22" s="56">
        <v>2000</v>
      </c>
    </row>
    <row r="23" spans="2:57" ht="13.8">
      <c r="B23" s="59" t="s">
        <v>177</v>
      </c>
      <c r="C23" s="60" t="s">
        <v>122</v>
      </c>
      <c r="D23" s="61">
        <v>1012</v>
      </c>
    </row>
    <row r="24" spans="2:57" ht="13.8">
      <c r="B24" s="50"/>
      <c r="C24" s="50"/>
      <c r="D24" s="50"/>
    </row>
    <row r="27" spans="2:57" ht="13.8">
      <c r="D27" s="352" t="s">
        <v>178</v>
      </c>
      <c r="E27" s="352"/>
      <c r="F27" s="352"/>
      <c r="G27" s="352"/>
      <c r="H27" s="352"/>
      <c r="I27" s="352"/>
      <c r="J27" s="352"/>
      <c r="K27" s="352"/>
      <c r="L27" s="352"/>
      <c r="M27" s="352"/>
      <c r="N27" s="352"/>
      <c r="O27" s="352"/>
      <c r="P27" s="352"/>
      <c r="Q27" s="352"/>
      <c r="R27" s="352"/>
      <c r="T27" s="353" t="s">
        <v>179</v>
      </c>
      <c r="U27" s="353"/>
      <c r="V27" s="353"/>
      <c r="X27" s="354" t="s">
        <v>180</v>
      </c>
      <c r="Y27" s="354"/>
      <c r="Z27" s="354"/>
      <c r="AA27"/>
      <c r="AB27" s="355" t="s">
        <v>181</v>
      </c>
      <c r="AC27" s="355"/>
      <c r="AD27" s="355"/>
      <c r="AE27" s="355"/>
      <c r="AF27" s="355"/>
      <c r="AG27" s="355"/>
      <c r="AH27" s="355"/>
      <c r="AI27" s="355"/>
      <c r="AJ27" s="355"/>
      <c r="AK27"/>
      <c r="AL27" s="346" t="s">
        <v>182</v>
      </c>
      <c r="AM27" s="346"/>
      <c r="AN27" s="346"/>
      <c r="AO27" s="346"/>
      <c r="AP27" s="346"/>
      <c r="AQ27" s="346"/>
      <c r="AS27" s="347" t="s">
        <v>183</v>
      </c>
      <c r="AT27" s="347"/>
      <c r="AU27" s="347"/>
      <c r="AV27" s="347"/>
      <c r="AW27" s="347"/>
      <c r="AX27" s="347"/>
      <c r="AZ27" s="348" t="s">
        <v>184</v>
      </c>
      <c r="BA27" s="348"/>
      <c r="BB27" s="348"/>
      <c r="BC27" s="348"/>
      <c r="BD27" s="348"/>
      <c r="BE27" s="348"/>
    </row>
    <row r="28" spans="2:57" ht="13.8">
      <c r="D28" s="349" t="s">
        <v>185</v>
      </c>
      <c r="E28" s="350" t="s">
        <v>186</v>
      </c>
      <c r="F28" s="350"/>
      <c r="G28" s="350"/>
      <c r="H28" s="350" t="s">
        <v>187</v>
      </c>
      <c r="I28" s="350" t="s">
        <v>188</v>
      </c>
      <c r="J28" s="350"/>
      <c r="K28" s="350" t="s">
        <v>108</v>
      </c>
      <c r="L28" s="350"/>
      <c r="M28" s="350" t="s">
        <v>189</v>
      </c>
      <c r="N28" s="350"/>
      <c r="O28" s="350" t="s">
        <v>190</v>
      </c>
      <c r="P28" s="350"/>
      <c r="Q28" s="340" t="s">
        <v>191</v>
      </c>
      <c r="R28" s="340"/>
      <c r="T28" s="110" t="s">
        <v>192</v>
      </c>
      <c r="U28" s="115" t="s">
        <v>193</v>
      </c>
      <c r="V28" s="116" t="s">
        <v>194</v>
      </c>
      <c r="X28" s="117" t="s">
        <v>192</v>
      </c>
      <c r="Y28" s="128" t="s">
        <v>193</v>
      </c>
      <c r="Z28" s="129" t="s">
        <v>194</v>
      </c>
      <c r="AA28"/>
      <c r="AB28" s="341" t="s">
        <v>126</v>
      </c>
      <c r="AC28" s="341"/>
      <c r="AD28" s="341"/>
      <c r="AE28" s="342" t="s">
        <v>127</v>
      </c>
      <c r="AF28" s="342"/>
      <c r="AG28" s="342"/>
      <c r="AH28" s="343" t="s">
        <v>128</v>
      </c>
      <c r="AI28" s="343"/>
      <c r="AJ28" s="343"/>
      <c r="AK28"/>
      <c r="AL28" s="344" t="s">
        <v>195</v>
      </c>
      <c r="AM28" s="344"/>
      <c r="AN28" s="345" t="s">
        <v>196</v>
      </c>
      <c r="AO28" s="345"/>
      <c r="AP28" s="334" t="s">
        <v>197</v>
      </c>
      <c r="AQ28" s="334"/>
      <c r="AS28" s="335" t="s">
        <v>195</v>
      </c>
      <c r="AT28" s="335"/>
      <c r="AU28" s="336" t="s">
        <v>196</v>
      </c>
      <c r="AV28" s="336"/>
      <c r="AW28" s="337" t="s">
        <v>197</v>
      </c>
      <c r="AX28" s="337"/>
      <c r="AZ28" s="338" t="s">
        <v>195</v>
      </c>
      <c r="BA28" s="338"/>
      <c r="BB28" s="339" t="s">
        <v>196</v>
      </c>
      <c r="BC28" s="339"/>
      <c r="BD28" s="331" t="s">
        <v>197</v>
      </c>
      <c r="BE28" s="331"/>
    </row>
    <row r="29" spans="2:57" ht="13.8">
      <c r="D29" s="349"/>
      <c r="E29" s="350"/>
      <c r="F29" s="350"/>
      <c r="G29" s="350"/>
      <c r="H29" s="350"/>
      <c r="I29" s="350"/>
      <c r="J29" s="350"/>
      <c r="K29" s="350"/>
      <c r="L29" s="350"/>
      <c r="M29" s="350"/>
      <c r="N29" s="350"/>
      <c r="O29" s="350"/>
      <c r="P29" s="350"/>
      <c r="Q29" s="340"/>
      <c r="R29" s="340"/>
      <c r="T29" s="110"/>
      <c r="U29" s="115"/>
      <c r="V29" s="116"/>
      <c r="X29" s="117"/>
      <c r="Y29" s="128"/>
      <c r="Z29" s="129"/>
      <c r="AA29"/>
      <c r="AB29" s="130" t="s">
        <v>192</v>
      </c>
      <c r="AC29" s="132" t="s">
        <v>193</v>
      </c>
      <c r="AD29" s="132" t="s">
        <v>194</v>
      </c>
      <c r="AE29" s="132" t="s">
        <v>192</v>
      </c>
      <c r="AF29" s="132" t="s">
        <v>198</v>
      </c>
      <c r="AG29" s="132" t="s">
        <v>194</v>
      </c>
      <c r="AH29" s="132" t="s">
        <v>192</v>
      </c>
      <c r="AI29" s="132" t="s">
        <v>193</v>
      </c>
      <c r="AJ29" s="133" t="s">
        <v>194</v>
      </c>
      <c r="AK29"/>
      <c r="AL29" s="134" t="s">
        <v>199</v>
      </c>
      <c r="AM29" s="135" t="s">
        <v>200</v>
      </c>
      <c r="AN29" s="135" t="s">
        <v>199</v>
      </c>
      <c r="AO29" s="135" t="s">
        <v>201</v>
      </c>
      <c r="AP29" s="135" t="s">
        <v>199</v>
      </c>
      <c r="AQ29" s="137" t="s">
        <v>201</v>
      </c>
      <c r="AS29" s="138" t="s">
        <v>199</v>
      </c>
      <c r="AT29" s="139" t="s">
        <v>200</v>
      </c>
      <c r="AU29" s="139" t="s">
        <v>199</v>
      </c>
      <c r="AV29" s="139" t="s">
        <v>201</v>
      </c>
      <c r="AW29" s="139" t="s">
        <v>199</v>
      </c>
      <c r="AX29" s="140" t="s">
        <v>201</v>
      </c>
      <c r="AZ29" s="141" t="s">
        <v>199</v>
      </c>
      <c r="BA29" s="142" t="s">
        <v>200</v>
      </c>
      <c r="BB29" s="142" t="s">
        <v>199</v>
      </c>
      <c r="BC29" s="142" t="s">
        <v>201</v>
      </c>
      <c r="BD29" s="142" t="s">
        <v>199</v>
      </c>
      <c r="BE29" s="143" t="s">
        <v>201</v>
      </c>
    </row>
    <row r="30" spans="2:57" ht="13.8">
      <c r="C30" s="50"/>
      <c r="D30" s="62" t="s">
        <v>202</v>
      </c>
      <c r="E30" s="79" t="s">
        <v>203</v>
      </c>
      <c r="F30" s="79" t="s">
        <v>204</v>
      </c>
      <c r="G30" s="79" t="s">
        <v>205</v>
      </c>
      <c r="H30" s="79" t="s">
        <v>106</v>
      </c>
      <c r="I30" s="79" t="s">
        <v>206</v>
      </c>
      <c r="J30" s="79" t="s">
        <v>207</v>
      </c>
      <c r="K30" s="79" t="s">
        <v>206</v>
      </c>
      <c r="L30" s="79" t="s">
        <v>207</v>
      </c>
      <c r="M30" s="79" t="s">
        <v>206</v>
      </c>
      <c r="N30" s="79" t="s">
        <v>207</v>
      </c>
      <c r="O30" s="332" t="s">
        <v>208</v>
      </c>
      <c r="P30" s="332"/>
      <c r="Q30" s="333" t="s">
        <v>208</v>
      </c>
      <c r="R30" s="333"/>
      <c r="T30" s="111" t="s">
        <v>208</v>
      </c>
      <c r="U30" s="118" t="s">
        <v>209</v>
      </c>
      <c r="V30" s="119" t="s">
        <v>209</v>
      </c>
      <c r="X30" s="111" t="s">
        <v>209</v>
      </c>
      <c r="Y30" s="118" t="s">
        <v>208</v>
      </c>
      <c r="Z30" s="119" t="s">
        <v>209</v>
      </c>
      <c r="AA30"/>
      <c r="AB30" s="105"/>
      <c r="AC30" s="34"/>
      <c r="AD30" s="34"/>
      <c r="AE30" s="34"/>
      <c r="AF30" s="34"/>
      <c r="AG30" s="34"/>
      <c r="AH30" s="34"/>
      <c r="AI30" s="34"/>
      <c r="AJ30" s="120"/>
      <c r="AK30"/>
      <c r="AL30" s="105"/>
      <c r="AM30" s="34"/>
      <c r="AN30" s="34"/>
      <c r="AO30" s="34"/>
      <c r="AP30" s="34"/>
      <c r="AQ30" s="120"/>
      <c r="AS30" s="105"/>
      <c r="AT30" s="34"/>
      <c r="AU30" s="34"/>
      <c r="AV30" s="34"/>
      <c r="AW30" s="34"/>
      <c r="AX30" s="120"/>
      <c r="AZ30" s="105"/>
      <c r="BA30" s="34"/>
      <c r="BB30" s="34"/>
      <c r="BC30" s="34"/>
      <c r="BD30" s="34"/>
      <c r="BE30" s="120"/>
    </row>
    <row r="31" spans="2:57" ht="13.8">
      <c r="D31" s="63">
        <v>0</v>
      </c>
      <c r="E31" s="80">
        <v>1.52</v>
      </c>
      <c r="F31" s="80"/>
      <c r="G31" s="80"/>
      <c r="H31" s="80"/>
      <c r="I31" s="80">
        <v>0</v>
      </c>
      <c r="J31" s="80"/>
      <c r="K31" s="80"/>
      <c r="L31" s="80"/>
      <c r="M31" s="80"/>
      <c r="N31" s="80"/>
      <c r="O31" s="329">
        <v>2000</v>
      </c>
      <c r="P31" s="329"/>
      <c r="Q31" s="330">
        <v>0</v>
      </c>
      <c r="R31" s="330"/>
      <c r="T31" s="105">
        <v>1012</v>
      </c>
      <c r="U31" s="34">
        <f>M31-$D$20-$D$19</f>
        <v>-1012</v>
      </c>
      <c r="V31" s="120"/>
      <c r="X31" s="105"/>
      <c r="Y31" s="34">
        <v>40</v>
      </c>
      <c r="Z31" s="120"/>
      <c r="AA31"/>
      <c r="AB31" s="105"/>
      <c r="AC31" s="34">
        <f t="shared" ref="AC31:AC36" si="1">Z14</f>
        <v>0</v>
      </c>
      <c r="AD31" s="34"/>
      <c r="AE31" s="34"/>
      <c r="AF31" s="34"/>
      <c r="AG31" s="34"/>
      <c r="AH31" s="34"/>
      <c r="AI31" s="34"/>
      <c r="AJ31" s="120"/>
      <c r="AK31"/>
      <c r="AL31" s="105"/>
      <c r="AM31" s="136">
        <f t="shared" ref="AM31:AM37" si="2">AC31*U32</f>
        <v>0</v>
      </c>
      <c r="AN31" s="34"/>
      <c r="AO31" s="34">
        <f t="shared" ref="AO31:AO37" si="3">Y31*AC31</f>
        <v>0</v>
      </c>
      <c r="AP31" s="34"/>
      <c r="AQ31" s="120"/>
      <c r="AS31" s="105"/>
      <c r="AT31" s="34"/>
      <c r="AU31" s="34"/>
      <c r="AV31" s="34"/>
      <c r="AW31" s="34"/>
      <c r="AX31" s="120"/>
      <c r="AZ31" s="105"/>
      <c r="BA31" s="34"/>
      <c r="BB31" s="34"/>
      <c r="BC31" s="34"/>
      <c r="BD31" s="34"/>
      <c r="BE31" s="120"/>
    </row>
    <row r="32" spans="2:57" ht="13.8">
      <c r="C32" s="45">
        <v>4</v>
      </c>
      <c r="D32" s="63">
        <v>2</v>
      </c>
      <c r="E32" s="80"/>
      <c r="F32" s="80"/>
      <c r="G32" s="80"/>
      <c r="H32" s="80"/>
      <c r="I32" s="80"/>
      <c r="J32" s="80"/>
      <c r="K32" s="80"/>
      <c r="L32" s="80"/>
      <c r="M32" s="80"/>
      <c r="N32" s="80"/>
      <c r="O32" s="329">
        <v>2000</v>
      </c>
      <c r="P32" s="329"/>
      <c r="Q32" s="330">
        <v>40</v>
      </c>
      <c r="R32" s="330"/>
      <c r="T32" s="105"/>
      <c r="U32" s="34">
        <f t="shared" ref="U32:U34" si="4">M32-$D$20-$D$19-Q32</f>
        <v>-1052</v>
      </c>
      <c r="V32" s="120"/>
      <c r="X32" s="105"/>
      <c r="Y32" s="34">
        <v>40</v>
      </c>
      <c r="Z32" s="120"/>
      <c r="AA32"/>
      <c r="AB32" s="105"/>
      <c r="AC32" s="34">
        <f t="shared" si="1"/>
        <v>0</v>
      </c>
      <c r="AD32" s="34"/>
      <c r="AE32" s="34"/>
      <c r="AF32" s="34"/>
      <c r="AG32" s="34"/>
      <c r="AH32" s="34"/>
      <c r="AI32" s="34"/>
      <c r="AJ32" s="120"/>
      <c r="AK32"/>
      <c r="AL32" s="105"/>
      <c r="AM32" s="136">
        <f t="shared" si="2"/>
        <v>0</v>
      </c>
      <c r="AN32" s="34"/>
      <c r="AO32" s="34">
        <f t="shared" si="3"/>
        <v>0</v>
      </c>
      <c r="AP32" s="34"/>
      <c r="AQ32" s="120"/>
      <c r="AS32" s="105"/>
      <c r="AT32" s="34"/>
      <c r="AU32" s="34"/>
      <c r="AV32" s="34"/>
      <c r="AW32" s="34"/>
      <c r="AX32" s="120"/>
      <c r="AZ32" s="105"/>
      <c r="BA32" s="34"/>
      <c r="BB32" s="34"/>
      <c r="BC32" s="34"/>
      <c r="BD32" s="34"/>
      <c r="BE32" s="120"/>
    </row>
    <row r="33" spans="3:57" ht="13.8">
      <c r="C33" s="45">
        <v>4</v>
      </c>
      <c r="D33" s="63">
        <v>4</v>
      </c>
      <c r="E33" s="80"/>
      <c r="F33" s="80"/>
      <c r="G33" s="80"/>
      <c r="H33" s="80"/>
      <c r="I33" s="80"/>
      <c r="J33" s="80"/>
      <c r="K33" s="80"/>
      <c r="L33" s="80"/>
      <c r="M33" s="102"/>
      <c r="N33" s="80"/>
      <c r="O33" s="329">
        <v>2000</v>
      </c>
      <c r="P33" s="329"/>
      <c r="Q33" s="330">
        <v>40</v>
      </c>
      <c r="R33" s="330"/>
      <c r="T33" s="105"/>
      <c r="U33" s="34">
        <f t="shared" si="4"/>
        <v>-1052</v>
      </c>
      <c r="V33" s="120"/>
      <c r="X33" s="105"/>
      <c r="Y33" s="34">
        <v>40</v>
      </c>
      <c r="Z33" s="120"/>
      <c r="AA33"/>
      <c r="AB33" s="105"/>
      <c r="AC33" s="34">
        <f t="shared" si="1"/>
        <v>0</v>
      </c>
      <c r="AD33" s="34"/>
      <c r="AE33" s="34"/>
      <c r="AF33" s="34"/>
      <c r="AG33" s="34"/>
      <c r="AH33" s="34"/>
      <c r="AI33" s="34"/>
      <c r="AJ33" s="120"/>
      <c r="AK33"/>
      <c r="AL33" s="105"/>
      <c r="AM33" s="136">
        <f t="shared" si="2"/>
        <v>0</v>
      </c>
      <c r="AN33" s="34"/>
      <c r="AO33" s="34">
        <f t="shared" si="3"/>
        <v>0</v>
      </c>
      <c r="AP33" s="34"/>
      <c r="AQ33" s="120"/>
      <c r="AS33" s="105"/>
      <c r="AT33" s="34"/>
      <c r="AU33" s="34"/>
      <c r="AV33" s="34"/>
      <c r="AW33" s="34"/>
      <c r="AX33" s="120"/>
      <c r="AZ33" s="105"/>
      <c r="BA33" s="34"/>
      <c r="BB33" s="34"/>
      <c r="BC33" s="34"/>
      <c r="BD33" s="34"/>
      <c r="BE33" s="120"/>
    </row>
    <row r="34" spans="3:57" ht="13.8">
      <c r="C34" s="45">
        <v>4</v>
      </c>
      <c r="D34" s="63">
        <v>8</v>
      </c>
      <c r="E34" s="80"/>
      <c r="F34" s="80"/>
      <c r="G34" s="80"/>
      <c r="H34" s="80"/>
      <c r="I34" s="80"/>
      <c r="J34" s="80"/>
      <c r="K34" s="80"/>
      <c r="L34" s="80"/>
      <c r="M34" s="80"/>
      <c r="N34" s="80"/>
      <c r="O34" s="329">
        <v>2000</v>
      </c>
      <c r="P34" s="329"/>
      <c r="Q34" s="330">
        <v>40</v>
      </c>
      <c r="R34" s="330"/>
      <c r="T34" s="105"/>
      <c r="U34" s="34">
        <f t="shared" si="4"/>
        <v>-1052</v>
      </c>
      <c r="V34" s="120"/>
      <c r="X34" s="105"/>
      <c r="Y34" s="34">
        <v>40</v>
      </c>
      <c r="Z34" s="120"/>
      <c r="AA34"/>
      <c r="AB34" s="105"/>
      <c r="AC34" s="34">
        <f t="shared" si="1"/>
        <v>0</v>
      </c>
      <c r="AD34" s="34"/>
      <c r="AE34" s="34"/>
      <c r="AF34" s="34"/>
      <c r="AG34" s="34"/>
      <c r="AH34" s="34"/>
      <c r="AI34" s="34"/>
      <c r="AJ34" s="120"/>
      <c r="AK34"/>
      <c r="AL34" s="105"/>
      <c r="AM34" s="136">
        <f t="shared" si="2"/>
        <v>0</v>
      </c>
      <c r="AN34" s="34"/>
      <c r="AO34" s="34">
        <f t="shared" si="3"/>
        <v>0</v>
      </c>
      <c r="AP34" s="34"/>
      <c r="AQ34" s="120"/>
      <c r="AS34" s="105"/>
      <c r="AT34" s="34"/>
      <c r="AU34" s="34"/>
      <c r="AV34" s="34"/>
      <c r="AW34" s="34"/>
      <c r="AX34" s="120"/>
      <c r="AZ34" s="105"/>
      <c r="BA34" s="34"/>
      <c r="BB34" s="34"/>
      <c r="BC34" s="34"/>
      <c r="BD34" s="34"/>
      <c r="BE34" s="120"/>
    </row>
    <row r="35" spans="3:57" ht="13.8">
      <c r="C35" s="45">
        <v>4</v>
      </c>
      <c r="D35" s="63">
        <v>12</v>
      </c>
      <c r="E35" s="80"/>
      <c r="F35" s="80"/>
      <c r="G35" s="80">
        <v>4</v>
      </c>
      <c r="H35" s="80"/>
      <c r="I35" s="80"/>
      <c r="J35" s="80"/>
      <c r="K35" s="80"/>
      <c r="L35" s="80"/>
      <c r="M35" s="80"/>
      <c r="N35" s="80"/>
      <c r="O35" s="329">
        <v>2000</v>
      </c>
      <c r="P35" s="329"/>
      <c r="Q35" s="330">
        <v>40</v>
      </c>
      <c r="R35" s="330"/>
      <c r="T35" s="105"/>
      <c r="U35" s="34">
        <f t="shared" ref="U35:U37" si="5">M35-$D$20-$D$19-4-Q35</f>
        <v>-1056</v>
      </c>
      <c r="V35" s="120"/>
      <c r="X35" s="105"/>
      <c r="Y35" s="34">
        <v>40</v>
      </c>
      <c r="Z35" s="120"/>
      <c r="AA35"/>
      <c r="AB35" s="105"/>
      <c r="AC35" s="34">
        <f t="shared" si="1"/>
        <v>0</v>
      </c>
      <c r="AD35" s="34"/>
      <c r="AE35" s="34"/>
      <c r="AF35" s="34"/>
      <c r="AG35" s="34"/>
      <c r="AH35" s="34"/>
      <c r="AI35" s="34"/>
      <c r="AJ35" s="120"/>
      <c r="AK35"/>
      <c r="AL35" s="105"/>
      <c r="AM35" s="136">
        <f t="shared" si="2"/>
        <v>0</v>
      </c>
      <c r="AN35" s="34"/>
      <c r="AO35" s="34">
        <f t="shared" si="3"/>
        <v>0</v>
      </c>
      <c r="AP35" s="34"/>
      <c r="AQ35" s="120"/>
      <c r="AS35" s="105"/>
      <c r="AT35" s="34"/>
      <c r="AU35" s="34"/>
      <c r="AV35" s="34"/>
      <c r="AW35" s="34"/>
      <c r="AX35" s="120"/>
      <c r="AZ35" s="105"/>
      <c r="BA35" s="34"/>
      <c r="BB35" s="34"/>
      <c r="BC35" s="34"/>
      <c r="BD35" s="34"/>
      <c r="BE35" s="120"/>
    </row>
    <row r="36" spans="3:57" ht="13.8">
      <c r="D36" s="63">
        <v>24</v>
      </c>
      <c r="E36" s="80"/>
      <c r="F36" s="80"/>
      <c r="G36" s="80"/>
      <c r="H36" s="80"/>
      <c r="I36" s="80"/>
      <c r="J36" s="80"/>
      <c r="K36" s="80"/>
      <c r="L36" s="80"/>
      <c r="M36" s="80"/>
      <c r="N36" s="144"/>
      <c r="O36" s="329">
        <v>2000</v>
      </c>
      <c r="P36" s="329"/>
      <c r="Q36" s="330">
        <v>40</v>
      </c>
      <c r="R36" s="330"/>
      <c r="T36" s="105"/>
      <c r="U36" s="34">
        <f t="shared" si="5"/>
        <v>-1056</v>
      </c>
      <c r="V36" s="120"/>
      <c r="X36" s="105"/>
      <c r="Y36" s="34">
        <v>40</v>
      </c>
      <c r="Z36" s="120"/>
      <c r="AA36"/>
      <c r="AB36" s="131" t="e">
        <f>G12</f>
        <v>#DIV/0!</v>
      </c>
      <c r="AC36" s="34">
        <f t="shared" si="1"/>
        <v>0</v>
      </c>
      <c r="AD36" s="34"/>
      <c r="AE36" s="34" t="e">
        <f>H12</f>
        <v>#DIV/0!</v>
      </c>
      <c r="AF36" s="34"/>
      <c r="AG36" s="34"/>
      <c r="AH36" s="112" t="e">
        <f>I12</f>
        <v>#DIV/0!</v>
      </c>
      <c r="AI36" s="34"/>
      <c r="AJ36" s="120"/>
      <c r="AK36"/>
      <c r="AL36" s="105" t="e">
        <f>AB36*T31</f>
        <v>#DIV/0!</v>
      </c>
      <c r="AM36" s="136">
        <f t="shared" si="2"/>
        <v>0</v>
      </c>
      <c r="AN36" s="34"/>
      <c r="AO36" s="34">
        <f t="shared" si="3"/>
        <v>0</v>
      </c>
      <c r="AP36" s="34"/>
      <c r="AQ36" s="120"/>
      <c r="AS36" s="105"/>
      <c r="AT36" s="34"/>
      <c r="AU36" s="34"/>
      <c r="AV36" s="34"/>
      <c r="AW36" s="34"/>
      <c r="AX36" s="120"/>
      <c r="AZ36" s="105"/>
      <c r="BA36" s="34"/>
      <c r="BB36" s="34"/>
      <c r="BC36" s="34"/>
      <c r="BD36" s="34"/>
      <c r="BE36" s="120"/>
    </row>
    <row r="37" spans="3:57" ht="13.8">
      <c r="D37" s="63">
        <v>48</v>
      </c>
      <c r="E37" s="80"/>
      <c r="F37" s="80"/>
      <c r="G37" s="80"/>
      <c r="H37" s="80"/>
      <c r="I37" s="80"/>
      <c r="J37" s="80"/>
      <c r="K37" s="80"/>
      <c r="L37" s="80"/>
      <c r="M37" s="102"/>
      <c r="N37" s="144"/>
      <c r="O37" s="329">
        <v>2000</v>
      </c>
      <c r="P37" s="329"/>
      <c r="Q37" s="330">
        <v>40</v>
      </c>
      <c r="R37" s="330"/>
      <c r="T37" s="105"/>
      <c r="U37" s="34">
        <f t="shared" si="5"/>
        <v>-1056</v>
      </c>
      <c r="V37" s="120"/>
      <c r="X37" s="105">
        <v>1012</v>
      </c>
      <c r="Y37" s="34">
        <v>40</v>
      </c>
      <c r="Z37" s="120">
        <v>4</v>
      </c>
      <c r="AA37"/>
      <c r="AB37" s="105"/>
      <c r="AC37" s="34"/>
      <c r="AD37" s="34"/>
      <c r="AE37" s="34"/>
      <c r="AF37" s="34"/>
      <c r="AG37" s="34"/>
      <c r="AH37" s="34"/>
      <c r="AI37" s="34"/>
      <c r="AJ37" s="120"/>
      <c r="AK37"/>
      <c r="AL37" s="105"/>
      <c r="AM37" s="136">
        <f t="shared" si="2"/>
        <v>0</v>
      </c>
      <c r="AN37" s="34"/>
      <c r="AO37" s="34">
        <f t="shared" si="3"/>
        <v>0</v>
      </c>
      <c r="AP37" s="34"/>
      <c r="AQ37" s="120"/>
      <c r="AS37" s="105"/>
      <c r="AT37" s="34"/>
      <c r="AU37" s="34"/>
      <c r="AV37" s="34"/>
      <c r="AW37" s="34"/>
      <c r="AX37" s="120"/>
      <c r="AZ37" s="105"/>
      <c r="BA37" s="34"/>
      <c r="BB37" s="34"/>
      <c r="BC37" s="34"/>
      <c r="BD37" s="34"/>
      <c r="BE37" s="120"/>
    </row>
    <row r="38" spans="3:57" ht="13.8">
      <c r="D38" s="64" t="s">
        <v>210</v>
      </c>
      <c r="E38" s="80">
        <v>1.52</v>
      </c>
      <c r="F38" s="80">
        <f>SUM(F31:F37)</f>
        <v>0</v>
      </c>
      <c r="G38" s="80">
        <f>SUM(G31:G37)</f>
        <v>4</v>
      </c>
      <c r="H38" s="80"/>
      <c r="I38" s="80"/>
      <c r="J38" s="80"/>
      <c r="K38" s="80"/>
      <c r="L38" s="80"/>
      <c r="M38" s="80"/>
      <c r="N38" s="80"/>
      <c r="O38" s="329"/>
      <c r="P38" s="329"/>
      <c r="Q38" s="330"/>
      <c r="R38" s="330"/>
      <c r="T38" s="105"/>
      <c r="U38" s="34"/>
      <c r="V38" s="120"/>
      <c r="X38" s="105"/>
      <c r="Y38" s="34"/>
      <c r="Z38" s="120"/>
      <c r="AA38"/>
      <c r="AB38" s="105"/>
      <c r="AC38" s="34"/>
      <c r="AD38" s="34"/>
      <c r="AE38" s="34"/>
      <c r="AF38" s="34"/>
      <c r="AG38" s="34"/>
      <c r="AH38" s="34"/>
      <c r="AI38" s="34"/>
      <c r="AJ38" s="120"/>
      <c r="AK38"/>
      <c r="AL38" s="105"/>
      <c r="AM38" s="34"/>
      <c r="AN38" s="34"/>
      <c r="AO38" s="34"/>
      <c r="AP38" s="34"/>
      <c r="AQ38" s="120"/>
      <c r="AS38" s="105"/>
      <c r="AT38" s="34"/>
      <c r="AU38" s="34"/>
      <c r="AV38" s="34"/>
      <c r="AW38" s="34"/>
      <c r="AX38" s="120"/>
      <c r="AZ38" s="105"/>
      <c r="BA38" s="34"/>
      <c r="BB38" s="34"/>
      <c r="BC38" s="34"/>
      <c r="BD38" s="34"/>
      <c r="BE38" s="120"/>
    </row>
    <row r="39" spans="3:57" ht="13.8">
      <c r="D39" s="65" t="s">
        <v>211</v>
      </c>
      <c r="E39" s="323">
        <v>0</v>
      </c>
      <c r="F39" s="323"/>
      <c r="G39" s="323"/>
      <c r="H39" s="81"/>
      <c r="I39" s="81"/>
      <c r="J39" s="81"/>
      <c r="K39" s="81"/>
      <c r="L39" s="81"/>
      <c r="M39" s="81"/>
      <c r="N39" s="81"/>
      <c r="O39" s="323"/>
      <c r="P39" s="323"/>
      <c r="Q39" s="324"/>
      <c r="R39" s="324"/>
      <c r="T39" s="108"/>
      <c r="U39" s="109"/>
      <c r="V39" s="121"/>
      <c r="X39" s="108"/>
      <c r="Y39" s="109"/>
      <c r="Z39" s="121"/>
      <c r="AA39"/>
      <c r="AB39" s="108"/>
      <c r="AC39" s="109"/>
      <c r="AD39" s="109"/>
      <c r="AE39" s="109"/>
      <c r="AF39" s="109"/>
      <c r="AG39" s="109"/>
      <c r="AH39" s="109"/>
      <c r="AI39" s="109"/>
      <c r="AJ39" s="121"/>
      <c r="AK39"/>
      <c r="AL39" s="108"/>
      <c r="AM39" s="109"/>
      <c r="AN39" s="109"/>
      <c r="AO39" s="109"/>
      <c r="AP39" s="109"/>
      <c r="AQ39" s="121"/>
      <c r="AS39" s="108"/>
      <c r="AT39" s="109"/>
      <c r="AU39" s="109"/>
      <c r="AV39" s="109"/>
      <c r="AW39" s="109"/>
      <c r="AX39" s="121"/>
      <c r="AZ39" s="108"/>
      <c r="BA39" s="109"/>
      <c r="BB39" s="109"/>
      <c r="BC39" s="109"/>
      <c r="BD39" s="109"/>
      <c r="BE39" s="121"/>
    </row>
    <row r="42" spans="3:57" ht="13.8">
      <c r="D42" s="325" t="s">
        <v>212</v>
      </c>
      <c r="E42" s="325"/>
      <c r="F42" s="325"/>
      <c r="H42" s="326" t="s">
        <v>213</v>
      </c>
      <c r="I42" s="326"/>
      <c r="J42" s="326"/>
    </row>
    <row r="43" spans="3:57" ht="13.8">
      <c r="D43" s="327" t="s">
        <v>214</v>
      </c>
      <c r="E43" s="327"/>
      <c r="F43" s="327"/>
      <c r="H43" s="328" t="s">
        <v>215</v>
      </c>
      <c r="I43" s="328"/>
      <c r="J43" s="328"/>
    </row>
    <row r="44" spans="3:57" ht="13.8">
      <c r="D44" s="66" t="s">
        <v>126</v>
      </c>
      <c r="E44" s="82" t="s">
        <v>127</v>
      </c>
      <c r="F44" s="83" t="s">
        <v>128</v>
      </c>
      <c r="H44" s="84" t="s">
        <v>126</v>
      </c>
      <c r="I44" s="98" t="s">
        <v>127</v>
      </c>
      <c r="J44" s="99" t="s">
        <v>128</v>
      </c>
    </row>
    <row r="45" spans="3:57" ht="13.8">
      <c r="D45" s="67">
        <f>AM31+AO31</f>
        <v>0</v>
      </c>
      <c r="E45" s="50"/>
      <c r="F45" s="56"/>
      <c r="H45" s="85" t="e">
        <f t="shared" ref="H45:H50" si="6">D45/$G$15</f>
        <v>#DIV/0!</v>
      </c>
      <c r="I45" s="50"/>
      <c r="J45" s="56"/>
    </row>
    <row r="46" spans="3:57" ht="13.8">
      <c r="D46" s="67">
        <f>AM32+AO31+AO32</f>
        <v>0</v>
      </c>
      <c r="E46" s="50"/>
      <c r="F46" s="56"/>
      <c r="H46" s="85" t="e">
        <f t="shared" si="6"/>
        <v>#DIV/0!</v>
      </c>
      <c r="I46" s="50"/>
      <c r="J46" s="56"/>
    </row>
    <row r="47" spans="3:57" ht="13.8">
      <c r="D47" s="67">
        <f>AM33+SUM(AO31:AO33)</f>
        <v>0</v>
      </c>
      <c r="E47" s="50"/>
      <c r="F47" s="56"/>
      <c r="H47" s="85" t="e">
        <f t="shared" si="6"/>
        <v>#DIV/0!</v>
      </c>
      <c r="I47" s="50"/>
      <c r="J47" s="56"/>
    </row>
    <row r="48" spans="3:57" ht="13.8">
      <c r="D48" s="67">
        <f>AM34+SUM(AO31:AO34)</f>
        <v>0</v>
      </c>
      <c r="E48" s="50"/>
      <c r="F48" s="56"/>
      <c r="H48" s="85" t="e">
        <f t="shared" si="6"/>
        <v>#DIV/0!</v>
      </c>
      <c r="I48" s="50"/>
      <c r="J48" s="56"/>
    </row>
    <row r="49" spans="4:10" ht="13.8">
      <c r="D49" s="67">
        <f>AM35+AM34+SUM(AO31:AO35)</f>
        <v>0</v>
      </c>
      <c r="E49" s="50"/>
      <c r="F49" s="56"/>
      <c r="H49" s="85" t="e">
        <f t="shared" si="6"/>
        <v>#DIV/0!</v>
      </c>
      <c r="I49" s="50"/>
      <c r="J49" s="56"/>
    </row>
    <row r="50" spans="4:10" ht="13.8">
      <c r="D50" s="68">
        <f>AM36+AM35+AM34+SUM(AO31:AO36)</f>
        <v>0</v>
      </c>
      <c r="E50" s="60"/>
      <c r="F50" s="61"/>
      <c r="H50" s="86" t="e">
        <f t="shared" si="6"/>
        <v>#DIV/0!</v>
      </c>
      <c r="I50" s="60"/>
      <c r="J50" s="61"/>
    </row>
  </sheetData>
  <mergeCells count="62">
    <mergeCell ref="T27:V27"/>
    <mergeCell ref="X27:Z27"/>
    <mergeCell ref="AB27:AJ27"/>
    <mergeCell ref="AL27:AQ27"/>
    <mergeCell ref="B2:F2"/>
    <mergeCell ref="U3:X3"/>
    <mergeCell ref="Y3:AB3"/>
    <mergeCell ref="B9:D9"/>
    <mergeCell ref="F9:I9"/>
    <mergeCell ref="K9:M9"/>
    <mergeCell ref="S3:S5"/>
    <mergeCell ref="T4:T5"/>
    <mergeCell ref="AS27:AX27"/>
    <mergeCell ref="AZ27:BE27"/>
    <mergeCell ref="AB28:AD28"/>
    <mergeCell ref="AE28:AG28"/>
    <mergeCell ref="AH28:AJ28"/>
    <mergeCell ref="AL28:AM28"/>
    <mergeCell ref="AN28:AO28"/>
    <mergeCell ref="AP28:AQ28"/>
    <mergeCell ref="AS28:AT28"/>
    <mergeCell ref="AU28:AV28"/>
    <mergeCell ref="AW28:AX28"/>
    <mergeCell ref="AZ28:BA28"/>
    <mergeCell ref="BB28:BC28"/>
    <mergeCell ref="BD28:BE28"/>
    <mergeCell ref="O30:P30"/>
    <mergeCell ref="Q30:R30"/>
    <mergeCell ref="O31:P31"/>
    <mergeCell ref="Q31:R31"/>
    <mergeCell ref="O32:P32"/>
    <mergeCell ref="Q32:R32"/>
    <mergeCell ref="O38:P38"/>
    <mergeCell ref="Q38:R38"/>
    <mergeCell ref="O33:P33"/>
    <mergeCell ref="Q33:R33"/>
    <mergeCell ref="O34:P34"/>
    <mergeCell ref="Q34:R34"/>
    <mergeCell ref="O35:P35"/>
    <mergeCell ref="Q35:R35"/>
    <mergeCell ref="F15:F16"/>
    <mergeCell ref="F19:F20"/>
    <mergeCell ref="H28:H29"/>
    <mergeCell ref="E28:G29"/>
    <mergeCell ref="I28:J29"/>
    <mergeCell ref="D27:R27"/>
    <mergeCell ref="K28:L29"/>
    <mergeCell ref="M28:N29"/>
    <mergeCell ref="O28:P29"/>
    <mergeCell ref="Q28:R29"/>
    <mergeCell ref="D43:F43"/>
    <mergeCell ref="H43:J43"/>
    <mergeCell ref="D28:D29"/>
    <mergeCell ref="E39:G39"/>
    <mergeCell ref="O39:P39"/>
    <mergeCell ref="Q39:R39"/>
    <mergeCell ref="D42:F42"/>
    <mergeCell ref="H42:J42"/>
    <mergeCell ref="O36:P36"/>
    <mergeCell ref="Q36:R36"/>
    <mergeCell ref="O37:P37"/>
    <mergeCell ref="Q37:R37"/>
  </mergeCells>
  <pageMargins left="0.7" right="0.7" top="0.75" bottom="0.75" header="0.511811023622047" footer="0.511811023622047"/>
  <pageSetup orientation="portrait" horizontalDpi="300" verticalDpi="300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>
    <tabColor theme="9" tint="0.59999389629810485"/>
  </sheetPr>
  <dimension ref="B2:BE50"/>
  <sheetViews>
    <sheetView zoomScale="70" zoomScaleNormal="70" workbookViewId="0"/>
  </sheetViews>
  <sheetFormatPr defaultColWidth="10" defaultRowHeight="16.2" customHeight="1"/>
  <cols>
    <col min="1" max="1" width="10" style="45"/>
    <col min="2" max="2" width="23.8984375" style="45" customWidth="1"/>
    <col min="3" max="3" width="2.3984375" style="45" customWidth="1"/>
    <col min="4" max="4" width="19.5" style="45" customWidth="1"/>
    <col min="5" max="5" width="10" style="45"/>
    <col min="6" max="6" width="16.69921875" style="45" customWidth="1"/>
    <col min="7" max="8" width="11.09765625" style="45" customWidth="1"/>
    <col min="9" max="11" width="10" style="45"/>
    <col min="12" max="12" width="12.59765625" style="45"/>
    <col min="13" max="19" width="10" style="45"/>
    <col min="20" max="20" width="26.296875" style="45" customWidth="1"/>
    <col min="21" max="16384" width="10" style="45"/>
  </cols>
  <sheetData>
    <row r="2" spans="2:28" ht="13.8">
      <c r="B2" s="356" t="s">
        <v>116</v>
      </c>
      <c r="C2" s="356"/>
      <c r="D2" s="356"/>
      <c r="E2" s="356"/>
      <c r="F2" s="356"/>
    </row>
    <row r="3" spans="2:28" ht="13.8">
      <c r="S3" s="357" t="s">
        <v>117</v>
      </c>
      <c r="T3" s="103" t="s">
        <v>118</v>
      </c>
      <c r="U3" s="358" t="s">
        <v>119</v>
      </c>
      <c r="V3" s="358"/>
      <c r="W3" s="358"/>
      <c r="X3" s="358"/>
      <c r="Y3" s="359" t="s">
        <v>120</v>
      </c>
      <c r="Z3" s="359"/>
      <c r="AA3" s="359"/>
      <c r="AB3" s="359"/>
    </row>
    <row r="4" spans="2:28" ht="13.8">
      <c r="B4" s="46" t="s">
        <v>121</v>
      </c>
      <c r="C4" s="47" t="s">
        <v>122</v>
      </c>
      <c r="D4" s="48" t="s">
        <v>326</v>
      </c>
      <c r="E4" s="48"/>
      <c r="F4" s="48"/>
      <c r="G4" s="48"/>
      <c r="H4" s="48"/>
      <c r="I4" s="87"/>
      <c r="S4" s="357"/>
      <c r="T4" s="360" t="s">
        <v>124</v>
      </c>
      <c r="U4" s="104" t="s">
        <v>125</v>
      </c>
      <c r="V4" s="104" t="s">
        <v>126</v>
      </c>
      <c r="W4" s="104" t="s">
        <v>127</v>
      </c>
      <c r="X4" s="104" t="s">
        <v>128</v>
      </c>
      <c r="Y4" s="104" t="s">
        <v>125</v>
      </c>
      <c r="Z4" s="104" t="s">
        <v>126</v>
      </c>
      <c r="AA4" s="104" t="s">
        <v>127</v>
      </c>
      <c r="AB4" s="122" t="s">
        <v>128</v>
      </c>
    </row>
    <row r="5" spans="2:28" ht="13.8">
      <c r="B5" s="49" t="s">
        <v>129</v>
      </c>
      <c r="C5" s="50" t="s">
        <v>122</v>
      </c>
      <c r="I5" s="88"/>
      <c r="S5" s="357"/>
      <c r="T5" s="360"/>
      <c r="U5" s="104" t="s">
        <v>131</v>
      </c>
      <c r="V5" s="104" t="s">
        <v>106</v>
      </c>
      <c r="W5" s="104" t="s">
        <v>106</v>
      </c>
      <c r="X5" s="104" t="s">
        <v>106</v>
      </c>
      <c r="Y5" s="104" t="s">
        <v>131</v>
      </c>
      <c r="Z5" s="104" t="s">
        <v>106</v>
      </c>
      <c r="AA5" s="104" t="s">
        <v>106</v>
      </c>
      <c r="AB5" s="122" t="s">
        <v>106</v>
      </c>
    </row>
    <row r="6" spans="2:28" ht="13.8">
      <c r="B6" s="49" t="s">
        <v>132</v>
      </c>
      <c r="C6" s="50" t="s">
        <v>122</v>
      </c>
      <c r="D6" s="51"/>
      <c r="I6" s="88"/>
      <c r="S6" s="105">
        <v>1</v>
      </c>
      <c r="T6" s="34" t="s">
        <v>134</v>
      </c>
      <c r="U6" s="112"/>
      <c r="V6" s="34">
        <v>0.71899999999999997</v>
      </c>
      <c r="W6" s="34">
        <v>1.38</v>
      </c>
      <c r="X6" s="34">
        <v>18.75</v>
      </c>
      <c r="Y6" s="34"/>
      <c r="Z6" s="34"/>
      <c r="AA6" s="34"/>
      <c r="AB6" s="120"/>
    </row>
    <row r="7" spans="2:28" ht="13.8">
      <c r="B7" s="52" t="s">
        <v>135</v>
      </c>
      <c r="C7" s="53" t="s">
        <v>122</v>
      </c>
      <c r="D7" s="54"/>
      <c r="E7" s="54"/>
      <c r="F7" s="54"/>
      <c r="G7" s="54"/>
      <c r="H7" s="54"/>
      <c r="I7" s="89"/>
      <c r="S7" s="105">
        <v>2</v>
      </c>
      <c r="T7" s="34" t="s">
        <v>137</v>
      </c>
      <c r="U7" s="34"/>
      <c r="V7" s="112">
        <v>0.74</v>
      </c>
      <c r="W7" s="112">
        <v>1.39</v>
      </c>
      <c r="X7" s="34">
        <v>18.91</v>
      </c>
      <c r="Y7" s="34"/>
      <c r="Z7" s="34"/>
      <c r="AA7" s="34"/>
      <c r="AB7" s="120"/>
    </row>
    <row r="8" spans="2:28" ht="13.8">
      <c r="S8" s="105">
        <v>3</v>
      </c>
      <c r="T8" s="34" t="s">
        <v>138</v>
      </c>
      <c r="U8" s="34"/>
      <c r="V8" s="112">
        <v>0.69399999999999995</v>
      </c>
      <c r="W8" s="34">
        <v>1.39</v>
      </c>
      <c r="X8" s="34">
        <v>18.52</v>
      </c>
      <c r="Y8" s="34"/>
      <c r="Z8" s="34"/>
      <c r="AA8" s="34"/>
      <c r="AB8" s="120"/>
    </row>
    <row r="9" spans="2:28" ht="13.8">
      <c r="B9" s="361" t="s">
        <v>139</v>
      </c>
      <c r="C9" s="361"/>
      <c r="D9" s="361"/>
      <c r="F9" s="362" t="s">
        <v>140</v>
      </c>
      <c r="G9" s="362"/>
      <c r="H9" s="362"/>
      <c r="I9" s="362"/>
      <c r="K9" s="363" t="s">
        <v>141</v>
      </c>
      <c r="L9" s="363"/>
      <c r="M9" s="363"/>
      <c r="S9" s="105">
        <v>4</v>
      </c>
      <c r="T9" s="106" t="s">
        <v>142</v>
      </c>
      <c r="U9" s="112"/>
      <c r="W9" s="34"/>
      <c r="X9" s="34"/>
      <c r="Y9" s="34"/>
      <c r="Z9" s="34"/>
      <c r="AA9" s="34"/>
      <c r="AB9" s="120"/>
    </row>
    <row r="10" spans="2:28" ht="13.8">
      <c r="B10" s="55" t="s">
        <v>108</v>
      </c>
      <c r="C10" s="50" t="s">
        <v>122</v>
      </c>
      <c r="D10" s="56" t="s">
        <v>143</v>
      </c>
      <c r="F10" s="69"/>
      <c r="G10" s="70" t="s">
        <v>126</v>
      </c>
      <c r="H10" s="70" t="s">
        <v>127</v>
      </c>
      <c r="I10" s="90" t="s">
        <v>128</v>
      </c>
      <c r="K10" s="62" t="s">
        <v>144</v>
      </c>
      <c r="L10" s="91">
        <f>(F38/1012)*1000</f>
        <v>10.671936758893281</v>
      </c>
      <c r="M10" s="100" t="s">
        <v>145</v>
      </c>
      <c r="S10" s="105">
        <v>5</v>
      </c>
      <c r="T10" s="34" t="s">
        <v>146</v>
      </c>
      <c r="U10" s="112"/>
      <c r="V10" s="34">
        <v>0.40799999999999997</v>
      </c>
      <c r="W10" s="113">
        <v>1.04</v>
      </c>
      <c r="X10" s="34">
        <v>16.43</v>
      </c>
      <c r="Y10" s="34"/>
      <c r="Z10" s="34"/>
      <c r="AA10" s="34"/>
      <c r="AB10" s="120"/>
    </row>
    <row r="11" spans="2:28" ht="13.8">
      <c r="B11" s="55" t="s">
        <v>147</v>
      </c>
      <c r="C11" s="50" t="s">
        <v>122</v>
      </c>
      <c r="D11" s="56">
        <v>1500</v>
      </c>
      <c r="F11" s="71" t="s">
        <v>148</v>
      </c>
      <c r="G11" s="72">
        <f>AVERAGE(V6:V8)</f>
        <v>0.71766666666666667</v>
      </c>
      <c r="H11" s="72">
        <f t="shared" ref="H11:I11" si="0">AVERAGE(W6:W8)</f>
        <v>1.3866666666666665</v>
      </c>
      <c r="I11" s="92">
        <f t="shared" si="0"/>
        <v>18.726666666666663</v>
      </c>
      <c r="K11" s="62" t="s">
        <v>149</v>
      </c>
      <c r="L11" s="91">
        <f>((E38-(($J37*1518)/10000000))/1012)*1000</f>
        <v>1.5019762845849802</v>
      </c>
      <c r="M11" s="100" t="s">
        <v>145</v>
      </c>
      <c r="S11" s="105">
        <v>6</v>
      </c>
      <c r="T11" s="34" t="s">
        <v>150</v>
      </c>
      <c r="U11" s="34"/>
      <c r="V11" s="34">
        <v>0.41899999999999998</v>
      </c>
      <c r="W11" s="34">
        <v>1.03</v>
      </c>
      <c r="X11" s="112">
        <v>16.55</v>
      </c>
      <c r="Y11" s="34"/>
      <c r="Z11" s="34"/>
      <c r="AA11" s="34"/>
      <c r="AB11" s="120"/>
    </row>
    <row r="12" spans="2:28" ht="13.8">
      <c r="B12" s="55" t="s">
        <v>151</v>
      </c>
      <c r="C12" s="50" t="s">
        <v>122</v>
      </c>
      <c r="D12" s="57">
        <v>0.4</v>
      </c>
      <c r="F12" s="73" t="s">
        <v>152</v>
      </c>
      <c r="G12" s="74">
        <f>AVERAGE(V10:V12)</f>
        <v>0.40266666666666667</v>
      </c>
      <c r="H12" s="74">
        <f>AVERAGE(W10:W13)</f>
        <v>1.03</v>
      </c>
      <c r="I12" s="93">
        <f>AVERAGE(X10:X13)</f>
        <v>16.373333333333335</v>
      </c>
      <c r="K12" s="94" t="s">
        <v>153</v>
      </c>
      <c r="L12" s="81"/>
      <c r="M12" s="101"/>
      <c r="S12" s="107">
        <v>7</v>
      </c>
      <c r="T12" s="34" t="s">
        <v>154</v>
      </c>
      <c r="U12" s="114"/>
      <c r="V12" s="114">
        <v>0.38100000000000001</v>
      </c>
      <c r="W12" s="114">
        <v>1.02</v>
      </c>
      <c r="X12" s="114">
        <v>16.14</v>
      </c>
      <c r="Y12" s="114"/>
      <c r="Z12" s="114"/>
      <c r="AA12" s="114"/>
      <c r="AB12" s="123"/>
    </row>
    <row r="13" spans="2:28" ht="13.8">
      <c r="B13" s="55" t="s">
        <v>155</v>
      </c>
      <c r="C13" s="50" t="s">
        <v>122</v>
      </c>
      <c r="D13" s="57">
        <v>0.6</v>
      </c>
      <c r="S13" s="105">
        <v>8</v>
      </c>
      <c r="T13" s="34" t="s">
        <v>156</v>
      </c>
      <c r="U13" s="34"/>
      <c r="V13" s="112"/>
      <c r="W13" s="113"/>
      <c r="X13" s="34"/>
      <c r="Y13" s="34"/>
      <c r="Z13" s="34"/>
      <c r="AA13" s="34"/>
      <c r="AB13" s="120"/>
    </row>
    <row r="14" spans="2:28" ht="13.8">
      <c r="B14" s="55" t="s">
        <v>157</v>
      </c>
      <c r="C14" s="50" t="s">
        <v>122</v>
      </c>
      <c r="D14" s="56" t="s">
        <v>158</v>
      </c>
      <c r="F14" s="75" t="s">
        <v>159</v>
      </c>
      <c r="G14" s="76">
        <f>G12*D20</f>
        <v>407.49866666666668</v>
      </c>
      <c r="H14" s="76"/>
      <c r="I14" s="95"/>
      <c r="S14" s="105">
        <v>9</v>
      </c>
      <c r="T14" s="34" t="s">
        <v>160</v>
      </c>
      <c r="U14" s="34"/>
      <c r="V14" s="34"/>
      <c r="W14" s="34"/>
      <c r="X14" s="34"/>
      <c r="Y14" s="34"/>
      <c r="Z14" s="34">
        <v>0.33600000000000002</v>
      </c>
      <c r="AA14" s="34"/>
      <c r="AB14" s="120"/>
    </row>
    <row r="15" spans="2:28" ht="16.2" customHeight="1">
      <c r="B15" s="55" t="s">
        <v>161</v>
      </c>
      <c r="C15" s="50" t="s">
        <v>122</v>
      </c>
      <c r="D15" s="56">
        <v>2.1</v>
      </c>
      <c r="F15" s="351" t="s">
        <v>162</v>
      </c>
      <c r="G15" s="77">
        <f>G14+D50</f>
        <v>1199.4066666666668</v>
      </c>
      <c r="H15" s="77"/>
      <c r="I15" s="96"/>
      <c r="S15" s="105">
        <v>10</v>
      </c>
      <c r="T15" s="34" t="s">
        <v>163</v>
      </c>
      <c r="U15" s="34"/>
      <c r="V15" s="34"/>
      <c r="W15" s="34"/>
      <c r="X15" s="34"/>
      <c r="Y15" s="34"/>
      <c r="Z15" s="34">
        <v>0.46899999999999997</v>
      </c>
      <c r="AA15" s="34"/>
      <c r="AB15" s="120"/>
    </row>
    <row r="16" spans="2:28" ht="13.8">
      <c r="B16" s="55" t="s">
        <v>164</v>
      </c>
      <c r="C16" s="50" t="s">
        <v>122</v>
      </c>
      <c r="D16" s="56">
        <v>1.27</v>
      </c>
      <c r="F16" s="351"/>
      <c r="G16" s="78"/>
      <c r="H16" s="78"/>
      <c r="I16" s="97"/>
      <c r="J16" s="45">
        <f>G15/D23</f>
        <v>1.1851844532279316</v>
      </c>
      <c r="S16" s="105">
        <v>11</v>
      </c>
      <c r="T16" s="34" t="s">
        <v>165</v>
      </c>
      <c r="U16" s="34"/>
      <c r="V16" s="34"/>
      <c r="W16" s="34"/>
      <c r="X16" s="34"/>
      <c r="Y16" s="34"/>
      <c r="Z16" s="34">
        <v>0.55200000000000005</v>
      </c>
      <c r="AA16" s="34"/>
      <c r="AB16" s="120"/>
    </row>
    <row r="17" spans="2:57" ht="13.8">
      <c r="B17" s="55" t="s">
        <v>166</v>
      </c>
      <c r="C17" s="50" t="s">
        <v>122</v>
      </c>
      <c r="D17" s="56">
        <v>0</v>
      </c>
      <c r="S17" s="105">
        <v>12</v>
      </c>
      <c r="T17" s="34" t="s">
        <v>167</v>
      </c>
      <c r="Y17" s="50"/>
      <c r="Z17" s="50">
        <v>0.53800000000000003</v>
      </c>
      <c r="AA17" s="114"/>
      <c r="AB17" s="123"/>
    </row>
    <row r="18" spans="2:57" ht="13.8">
      <c r="B18" s="55" t="s">
        <v>168</v>
      </c>
      <c r="C18" s="50" t="s">
        <v>122</v>
      </c>
      <c r="D18" s="56">
        <v>48</v>
      </c>
      <c r="F18" s="75" t="s">
        <v>169</v>
      </c>
      <c r="G18" s="76"/>
      <c r="H18" s="76"/>
      <c r="I18" s="95"/>
      <c r="O18" s="45">
        <v>4</v>
      </c>
      <c r="S18" s="105">
        <v>13</v>
      </c>
      <c r="T18" s="34" t="s">
        <v>170</v>
      </c>
      <c r="U18" s="34"/>
      <c r="V18" s="34"/>
      <c r="W18" s="34"/>
      <c r="X18" s="34"/>
      <c r="Y18" s="34"/>
      <c r="Z18" s="34">
        <v>0.51200000000000001</v>
      </c>
      <c r="AA18" s="124"/>
      <c r="AB18" s="125"/>
    </row>
    <row r="19" spans="2:57" ht="16.2" customHeight="1">
      <c r="B19" s="55" t="s">
        <v>171</v>
      </c>
      <c r="C19" s="50" t="s">
        <v>122</v>
      </c>
      <c r="D19" s="58">
        <v>355</v>
      </c>
      <c r="F19" s="351" t="s">
        <v>172</v>
      </c>
      <c r="G19" s="77"/>
      <c r="H19" s="77"/>
      <c r="I19" s="96"/>
      <c r="S19" s="108">
        <v>14</v>
      </c>
      <c r="T19" s="109" t="s">
        <v>173</v>
      </c>
      <c r="U19" s="109"/>
      <c r="V19" s="109"/>
      <c r="W19" s="109"/>
      <c r="X19" s="109"/>
      <c r="Y19" s="109"/>
      <c r="Z19" s="109">
        <v>0.45200000000000001</v>
      </c>
      <c r="AA19" s="126"/>
      <c r="AB19" s="127"/>
    </row>
    <row r="20" spans="2:57" ht="13.8">
      <c r="B20" s="55" t="s">
        <v>174</v>
      </c>
      <c r="C20" s="50" t="s">
        <v>122</v>
      </c>
      <c r="D20" s="56">
        <v>1012</v>
      </c>
      <c r="F20" s="351"/>
      <c r="G20" s="78"/>
      <c r="H20" s="78"/>
      <c r="I20" s="97"/>
      <c r="L20" s="45">
        <f>(G11-G12)/G11</f>
        <v>0.43892243381328377</v>
      </c>
    </row>
    <row r="21" spans="2:57" ht="13.8">
      <c r="B21" s="55" t="s">
        <v>175</v>
      </c>
      <c r="C21" s="50" t="s">
        <v>122</v>
      </c>
      <c r="D21" s="56">
        <v>1518</v>
      </c>
    </row>
    <row r="22" spans="2:57" ht="13.8">
      <c r="B22" s="55" t="s">
        <v>176</v>
      </c>
      <c r="C22" s="50" t="s">
        <v>122</v>
      </c>
      <c r="D22" s="56">
        <v>2000</v>
      </c>
    </row>
    <row r="23" spans="2:57" ht="13.8">
      <c r="B23" s="59" t="s">
        <v>177</v>
      </c>
      <c r="C23" s="60" t="s">
        <v>122</v>
      </c>
      <c r="D23" s="61">
        <v>1012</v>
      </c>
    </row>
    <row r="24" spans="2:57" ht="13.8">
      <c r="B24" s="50"/>
      <c r="C24" s="50"/>
      <c r="D24" s="50"/>
    </row>
    <row r="27" spans="2:57" ht="13.8">
      <c r="D27" s="352" t="s">
        <v>178</v>
      </c>
      <c r="E27" s="352"/>
      <c r="F27" s="352"/>
      <c r="G27" s="352"/>
      <c r="H27" s="352"/>
      <c r="I27" s="352"/>
      <c r="J27" s="352"/>
      <c r="K27" s="352"/>
      <c r="L27" s="352"/>
      <c r="M27" s="352"/>
      <c r="N27" s="352"/>
      <c r="O27" s="352"/>
      <c r="P27" s="352"/>
      <c r="Q27" s="352"/>
      <c r="R27" s="352"/>
      <c r="T27" s="353" t="s">
        <v>179</v>
      </c>
      <c r="U27" s="353"/>
      <c r="V27" s="353"/>
      <c r="X27" s="354" t="s">
        <v>180</v>
      </c>
      <c r="Y27" s="354"/>
      <c r="Z27" s="354"/>
      <c r="AA27"/>
      <c r="AB27" s="355" t="s">
        <v>181</v>
      </c>
      <c r="AC27" s="355"/>
      <c r="AD27" s="355"/>
      <c r="AE27" s="355"/>
      <c r="AF27" s="355"/>
      <c r="AG27" s="355"/>
      <c r="AH27" s="355"/>
      <c r="AI27" s="355"/>
      <c r="AJ27" s="355"/>
      <c r="AK27"/>
      <c r="AL27" s="346" t="s">
        <v>182</v>
      </c>
      <c r="AM27" s="346"/>
      <c r="AN27" s="346"/>
      <c r="AO27" s="346"/>
      <c r="AP27" s="346"/>
      <c r="AQ27" s="346"/>
      <c r="AS27" s="347" t="s">
        <v>183</v>
      </c>
      <c r="AT27" s="347"/>
      <c r="AU27" s="347"/>
      <c r="AV27" s="347"/>
      <c r="AW27" s="347"/>
      <c r="AX27" s="347"/>
      <c r="AZ27" s="348" t="s">
        <v>184</v>
      </c>
      <c r="BA27" s="348"/>
      <c r="BB27" s="348"/>
      <c r="BC27" s="348"/>
      <c r="BD27" s="348"/>
      <c r="BE27" s="348"/>
    </row>
    <row r="28" spans="2:57" ht="13.8">
      <c r="D28" s="349" t="s">
        <v>185</v>
      </c>
      <c r="E28" s="350" t="s">
        <v>186</v>
      </c>
      <c r="F28" s="350"/>
      <c r="G28" s="350"/>
      <c r="H28" s="350" t="s">
        <v>187</v>
      </c>
      <c r="I28" s="350" t="s">
        <v>188</v>
      </c>
      <c r="J28" s="350"/>
      <c r="K28" s="350" t="s">
        <v>108</v>
      </c>
      <c r="L28" s="350"/>
      <c r="M28" s="350" t="s">
        <v>189</v>
      </c>
      <c r="N28" s="350"/>
      <c r="O28" s="350" t="s">
        <v>190</v>
      </c>
      <c r="P28" s="350"/>
      <c r="Q28" s="340" t="s">
        <v>191</v>
      </c>
      <c r="R28" s="340"/>
      <c r="T28" s="110" t="s">
        <v>192</v>
      </c>
      <c r="U28" s="115" t="s">
        <v>193</v>
      </c>
      <c r="V28" s="116" t="s">
        <v>194</v>
      </c>
      <c r="X28" s="117" t="s">
        <v>192</v>
      </c>
      <c r="Y28" s="128" t="s">
        <v>193</v>
      </c>
      <c r="Z28" s="129" t="s">
        <v>194</v>
      </c>
      <c r="AA28"/>
      <c r="AB28" s="341" t="s">
        <v>126</v>
      </c>
      <c r="AC28" s="341"/>
      <c r="AD28" s="341"/>
      <c r="AE28" s="342" t="s">
        <v>127</v>
      </c>
      <c r="AF28" s="342"/>
      <c r="AG28" s="342"/>
      <c r="AH28" s="343" t="s">
        <v>128</v>
      </c>
      <c r="AI28" s="343"/>
      <c r="AJ28" s="343"/>
      <c r="AK28"/>
      <c r="AL28" s="344" t="s">
        <v>195</v>
      </c>
      <c r="AM28" s="344"/>
      <c r="AN28" s="345" t="s">
        <v>196</v>
      </c>
      <c r="AO28" s="345"/>
      <c r="AP28" s="334" t="s">
        <v>197</v>
      </c>
      <c r="AQ28" s="334"/>
      <c r="AS28" s="335" t="s">
        <v>195</v>
      </c>
      <c r="AT28" s="335"/>
      <c r="AU28" s="336" t="s">
        <v>196</v>
      </c>
      <c r="AV28" s="336"/>
      <c r="AW28" s="337" t="s">
        <v>197</v>
      </c>
      <c r="AX28" s="337"/>
      <c r="AZ28" s="338" t="s">
        <v>195</v>
      </c>
      <c r="BA28" s="338"/>
      <c r="BB28" s="339" t="s">
        <v>196</v>
      </c>
      <c r="BC28" s="339"/>
      <c r="BD28" s="331" t="s">
        <v>197</v>
      </c>
      <c r="BE28" s="331"/>
    </row>
    <row r="29" spans="2:57" ht="13.8">
      <c r="D29" s="349"/>
      <c r="E29" s="350"/>
      <c r="F29" s="350"/>
      <c r="G29" s="350"/>
      <c r="H29" s="350"/>
      <c r="I29" s="350"/>
      <c r="J29" s="350"/>
      <c r="K29" s="350"/>
      <c r="L29" s="350"/>
      <c r="M29" s="350"/>
      <c r="N29" s="350"/>
      <c r="O29" s="350"/>
      <c r="P29" s="350"/>
      <c r="Q29" s="340"/>
      <c r="R29" s="340"/>
      <c r="T29" s="110"/>
      <c r="U29" s="115"/>
      <c r="V29" s="116"/>
      <c r="X29" s="117"/>
      <c r="Y29" s="128"/>
      <c r="Z29" s="129"/>
      <c r="AA29"/>
      <c r="AB29" s="130" t="s">
        <v>192</v>
      </c>
      <c r="AC29" s="132" t="s">
        <v>193</v>
      </c>
      <c r="AD29" s="132" t="s">
        <v>194</v>
      </c>
      <c r="AE29" s="132" t="s">
        <v>192</v>
      </c>
      <c r="AF29" s="132" t="s">
        <v>198</v>
      </c>
      <c r="AG29" s="132" t="s">
        <v>194</v>
      </c>
      <c r="AH29" s="132" t="s">
        <v>192</v>
      </c>
      <c r="AI29" s="132" t="s">
        <v>193</v>
      </c>
      <c r="AJ29" s="133" t="s">
        <v>194</v>
      </c>
      <c r="AK29"/>
      <c r="AL29" s="134" t="s">
        <v>199</v>
      </c>
      <c r="AM29" s="135" t="s">
        <v>200</v>
      </c>
      <c r="AN29" s="135" t="s">
        <v>199</v>
      </c>
      <c r="AO29" s="135" t="s">
        <v>201</v>
      </c>
      <c r="AP29" s="135" t="s">
        <v>199</v>
      </c>
      <c r="AQ29" s="137" t="s">
        <v>201</v>
      </c>
      <c r="AS29" s="138" t="s">
        <v>199</v>
      </c>
      <c r="AT29" s="139" t="s">
        <v>200</v>
      </c>
      <c r="AU29" s="139" t="s">
        <v>199</v>
      </c>
      <c r="AV29" s="139" t="s">
        <v>201</v>
      </c>
      <c r="AW29" s="139" t="s">
        <v>199</v>
      </c>
      <c r="AX29" s="140" t="s">
        <v>201</v>
      </c>
      <c r="AZ29" s="141" t="s">
        <v>199</v>
      </c>
      <c r="BA29" s="142" t="s">
        <v>200</v>
      </c>
      <c r="BB29" s="142" t="s">
        <v>199</v>
      </c>
      <c r="BC29" s="142" t="s">
        <v>201</v>
      </c>
      <c r="BD29" s="142" t="s">
        <v>199</v>
      </c>
      <c r="BE29" s="143" t="s">
        <v>201</v>
      </c>
    </row>
    <row r="30" spans="2:57" ht="13.8">
      <c r="C30" s="50"/>
      <c r="D30" s="62" t="s">
        <v>202</v>
      </c>
      <c r="E30" s="79" t="s">
        <v>203</v>
      </c>
      <c r="F30" s="79" t="s">
        <v>204</v>
      </c>
      <c r="G30" s="79" t="s">
        <v>205</v>
      </c>
      <c r="H30" s="79" t="s">
        <v>106</v>
      </c>
      <c r="I30" s="79" t="s">
        <v>206</v>
      </c>
      <c r="J30" s="79" t="s">
        <v>207</v>
      </c>
      <c r="K30" s="79" t="s">
        <v>206</v>
      </c>
      <c r="L30" s="79" t="s">
        <v>207</v>
      </c>
      <c r="M30" s="79" t="s">
        <v>206</v>
      </c>
      <c r="N30" s="79" t="s">
        <v>207</v>
      </c>
      <c r="O30" s="332" t="s">
        <v>208</v>
      </c>
      <c r="P30" s="332"/>
      <c r="Q30" s="333" t="s">
        <v>208</v>
      </c>
      <c r="R30" s="333"/>
      <c r="T30" s="111" t="s">
        <v>208</v>
      </c>
      <c r="U30" s="118" t="s">
        <v>209</v>
      </c>
      <c r="V30" s="119" t="s">
        <v>209</v>
      </c>
      <c r="X30" s="111" t="s">
        <v>209</v>
      </c>
      <c r="Y30" s="118" t="s">
        <v>208</v>
      </c>
      <c r="Z30" s="119" t="s">
        <v>209</v>
      </c>
      <c r="AA30"/>
      <c r="AB30" s="105"/>
      <c r="AC30" s="34"/>
      <c r="AD30" s="34"/>
      <c r="AE30" s="34"/>
      <c r="AF30" s="34"/>
      <c r="AG30" s="34"/>
      <c r="AH30" s="34"/>
      <c r="AI30" s="34"/>
      <c r="AJ30" s="120"/>
      <c r="AK30"/>
      <c r="AL30" s="105"/>
      <c r="AM30" s="34"/>
      <c r="AN30" s="34"/>
      <c r="AO30" s="34"/>
      <c r="AP30" s="34"/>
      <c r="AQ30" s="120"/>
      <c r="AS30" s="105"/>
      <c r="AT30" s="34"/>
      <c r="AU30" s="34"/>
      <c r="AV30" s="34"/>
      <c r="AW30" s="34"/>
      <c r="AX30" s="120"/>
      <c r="AZ30" s="105"/>
      <c r="BA30" s="34"/>
      <c r="BB30" s="34"/>
      <c r="BC30" s="34"/>
      <c r="BD30" s="34"/>
      <c r="BE30" s="120"/>
    </row>
    <row r="31" spans="2:57" ht="13.8">
      <c r="D31" s="63">
        <v>0</v>
      </c>
      <c r="E31" s="80">
        <v>1.52</v>
      </c>
      <c r="F31" s="80">
        <v>2.5</v>
      </c>
      <c r="G31" s="80"/>
      <c r="H31" s="80"/>
      <c r="I31" s="80">
        <v>0</v>
      </c>
      <c r="J31" s="80">
        <v>1000</v>
      </c>
      <c r="K31" s="80">
        <v>7.4</v>
      </c>
      <c r="L31" s="80">
        <v>11</v>
      </c>
      <c r="M31" s="80">
        <v>2920</v>
      </c>
      <c r="N31" s="80">
        <v>2920</v>
      </c>
      <c r="O31" s="329">
        <v>2000</v>
      </c>
      <c r="P31" s="329"/>
      <c r="Q31" s="330">
        <v>0</v>
      </c>
      <c r="R31" s="330"/>
      <c r="T31" s="105">
        <v>1012</v>
      </c>
      <c r="U31" s="34">
        <f>M31-$D$20-$D$19</f>
        <v>1553</v>
      </c>
      <c r="V31" s="120"/>
      <c r="X31" s="105"/>
      <c r="Y31" s="34">
        <v>40</v>
      </c>
      <c r="Z31" s="120"/>
      <c r="AA31"/>
      <c r="AB31" s="105"/>
      <c r="AC31" s="34">
        <f t="shared" ref="AC31:AC36" si="1">Z14</f>
        <v>0.33600000000000002</v>
      </c>
      <c r="AD31" s="34"/>
      <c r="AE31" s="34"/>
      <c r="AF31" s="34"/>
      <c r="AG31" s="34"/>
      <c r="AH31" s="34"/>
      <c r="AI31" s="34"/>
      <c r="AJ31" s="120"/>
      <c r="AK31"/>
      <c r="AL31" s="105"/>
      <c r="AM31" s="136">
        <f t="shared" ref="AM31:AM37" si="2">AC31*U32</f>
        <v>506.68800000000005</v>
      </c>
      <c r="AN31" s="34"/>
      <c r="AO31" s="34">
        <f t="shared" ref="AO31:AO37" si="3">Y31*AC31</f>
        <v>13.440000000000001</v>
      </c>
      <c r="AP31" s="34"/>
      <c r="AQ31" s="120"/>
      <c r="AS31" s="105"/>
      <c r="AT31" s="34"/>
      <c r="AU31" s="34"/>
      <c r="AV31" s="34"/>
      <c r="AW31" s="34"/>
      <c r="AX31" s="120"/>
      <c r="AZ31" s="105"/>
      <c r="BA31" s="34"/>
      <c r="BB31" s="34"/>
      <c r="BC31" s="34"/>
      <c r="BD31" s="34"/>
      <c r="BE31" s="120"/>
    </row>
    <row r="32" spans="2:57" ht="13.8">
      <c r="C32" s="45">
        <v>4</v>
      </c>
      <c r="D32" s="63">
        <v>2</v>
      </c>
      <c r="E32" s="80"/>
      <c r="F32" s="80">
        <v>0.5</v>
      </c>
      <c r="G32" s="80"/>
      <c r="H32" s="80"/>
      <c r="I32" s="80">
        <v>700</v>
      </c>
      <c r="J32" s="80"/>
      <c r="K32" s="80">
        <v>10.5</v>
      </c>
      <c r="L32" s="80">
        <v>11</v>
      </c>
      <c r="M32" s="80">
        <v>2915</v>
      </c>
      <c r="N32" s="80">
        <v>2920</v>
      </c>
      <c r="O32" s="329">
        <v>2000</v>
      </c>
      <c r="P32" s="329"/>
      <c r="Q32" s="330">
        <v>40</v>
      </c>
      <c r="R32" s="330"/>
      <c r="T32" s="105"/>
      <c r="U32" s="34">
        <f>M32-$D$20-$D$19-Q32</f>
        <v>1508</v>
      </c>
      <c r="V32" s="120"/>
      <c r="X32" s="105"/>
      <c r="Y32" s="34">
        <v>40</v>
      </c>
      <c r="Z32" s="120"/>
      <c r="AA32"/>
      <c r="AB32" s="105"/>
      <c r="AC32" s="34">
        <f t="shared" si="1"/>
        <v>0.46899999999999997</v>
      </c>
      <c r="AD32" s="34"/>
      <c r="AE32" s="34"/>
      <c r="AF32" s="34"/>
      <c r="AG32" s="34"/>
      <c r="AH32" s="34"/>
      <c r="AI32" s="34"/>
      <c r="AJ32" s="120"/>
      <c r="AK32"/>
      <c r="AL32" s="105"/>
      <c r="AM32" s="136">
        <f t="shared" si="2"/>
        <v>704.90699999999993</v>
      </c>
      <c r="AN32" s="34"/>
      <c r="AO32" s="34">
        <f t="shared" si="3"/>
        <v>18.759999999999998</v>
      </c>
      <c r="AP32" s="34"/>
      <c r="AQ32" s="120"/>
      <c r="AS32" s="105"/>
      <c r="AT32" s="34"/>
      <c r="AU32" s="34"/>
      <c r="AV32" s="34"/>
      <c r="AW32" s="34"/>
      <c r="AX32" s="120"/>
      <c r="AZ32" s="105"/>
      <c r="BA32" s="34"/>
      <c r="BB32" s="34"/>
      <c r="BC32" s="34"/>
      <c r="BD32" s="34"/>
      <c r="BE32" s="120"/>
    </row>
    <row r="33" spans="3:57" ht="13.8">
      <c r="C33" s="45">
        <v>4</v>
      </c>
      <c r="D33" s="63">
        <v>4</v>
      </c>
      <c r="E33" s="80"/>
      <c r="F33" s="80">
        <v>1.5</v>
      </c>
      <c r="G33" s="80"/>
      <c r="H33" s="80"/>
      <c r="I33" s="80">
        <v>400</v>
      </c>
      <c r="J33" s="80"/>
      <c r="K33" s="80">
        <v>10.7</v>
      </c>
      <c r="L33" s="80">
        <v>11</v>
      </c>
      <c r="M33" s="102">
        <v>2910</v>
      </c>
      <c r="N33" s="80">
        <v>2920</v>
      </c>
      <c r="O33" s="329">
        <v>2000</v>
      </c>
      <c r="P33" s="329"/>
      <c r="Q33" s="330">
        <v>40</v>
      </c>
      <c r="R33" s="330"/>
      <c r="T33" s="105"/>
      <c r="U33" s="34">
        <f t="shared" ref="U33:U34" si="4">M33-$D$20-$D$19-Q33</f>
        <v>1503</v>
      </c>
      <c r="V33" s="120"/>
      <c r="X33" s="105"/>
      <c r="Y33" s="34">
        <v>40</v>
      </c>
      <c r="Z33" s="120"/>
      <c r="AA33"/>
      <c r="AB33" s="105"/>
      <c r="AC33" s="34">
        <f t="shared" si="1"/>
        <v>0.55200000000000005</v>
      </c>
      <c r="AD33" s="34"/>
      <c r="AE33" s="34"/>
      <c r="AF33" s="34"/>
      <c r="AG33" s="34"/>
      <c r="AH33" s="34"/>
      <c r="AI33" s="34"/>
      <c r="AJ33" s="120"/>
      <c r="AK33"/>
      <c r="AL33" s="105"/>
      <c r="AM33" s="136">
        <f t="shared" si="2"/>
        <v>829.65600000000006</v>
      </c>
      <c r="AN33" s="34"/>
      <c r="AO33" s="34">
        <f t="shared" si="3"/>
        <v>22.080000000000002</v>
      </c>
      <c r="AP33" s="34"/>
      <c r="AQ33" s="120"/>
      <c r="AS33" s="105"/>
      <c r="AT33" s="34"/>
      <c r="AU33" s="34"/>
      <c r="AV33" s="34"/>
      <c r="AW33" s="34"/>
      <c r="AX33" s="120"/>
      <c r="AZ33" s="105"/>
      <c r="BA33" s="34"/>
      <c r="BB33" s="34"/>
      <c r="BC33" s="34"/>
      <c r="BD33" s="34"/>
      <c r="BE33" s="120"/>
    </row>
    <row r="34" spans="3:57" ht="13.8">
      <c r="C34" s="45">
        <v>4</v>
      </c>
      <c r="D34" s="63">
        <v>8</v>
      </c>
      <c r="E34" s="80"/>
      <c r="F34" s="80">
        <v>2.5</v>
      </c>
      <c r="G34" s="80"/>
      <c r="H34" s="80"/>
      <c r="I34" s="80">
        <v>200</v>
      </c>
      <c r="J34" s="80"/>
      <c r="K34" s="80">
        <v>10.5</v>
      </c>
      <c r="L34" s="80">
        <v>11</v>
      </c>
      <c r="M34" s="102">
        <v>2910</v>
      </c>
      <c r="N34" s="80">
        <v>2920</v>
      </c>
      <c r="O34" s="329">
        <v>2000</v>
      </c>
      <c r="P34" s="329"/>
      <c r="Q34" s="330">
        <v>40</v>
      </c>
      <c r="R34" s="330"/>
      <c r="T34" s="105"/>
      <c r="U34" s="34">
        <f t="shared" si="4"/>
        <v>1503</v>
      </c>
      <c r="V34" s="120"/>
      <c r="X34" s="105"/>
      <c r="Y34" s="34">
        <v>40</v>
      </c>
      <c r="Z34" s="120"/>
      <c r="AA34"/>
      <c r="AB34" s="105"/>
      <c r="AC34" s="34">
        <f t="shared" si="1"/>
        <v>0.53800000000000003</v>
      </c>
      <c r="AD34" s="34"/>
      <c r="AE34" s="34"/>
      <c r="AF34" s="34"/>
      <c r="AG34" s="34"/>
      <c r="AH34" s="34"/>
      <c r="AI34" s="34"/>
      <c r="AJ34" s="120"/>
      <c r="AK34"/>
      <c r="AL34" s="105"/>
      <c r="AM34" s="136">
        <f t="shared" si="2"/>
        <v>806.4620000000001</v>
      </c>
      <c r="AN34" s="34"/>
      <c r="AO34" s="34">
        <f t="shared" si="3"/>
        <v>21.520000000000003</v>
      </c>
      <c r="AP34" s="34"/>
      <c r="AQ34" s="120"/>
      <c r="AS34" s="105"/>
      <c r="AT34" s="34"/>
      <c r="AU34" s="34"/>
      <c r="AV34" s="34"/>
      <c r="AW34" s="34"/>
      <c r="AX34" s="120"/>
      <c r="AZ34" s="105"/>
      <c r="BA34" s="34"/>
      <c r="BB34" s="34"/>
      <c r="BC34" s="34"/>
      <c r="BD34" s="34"/>
      <c r="BE34" s="120"/>
    </row>
    <row r="35" spans="3:57" ht="13.8">
      <c r="C35" s="45">
        <v>4</v>
      </c>
      <c r="D35" s="63">
        <v>12</v>
      </c>
      <c r="E35" s="80"/>
      <c r="F35" s="80">
        <v>3.5</v>
      </c>
      <c r="G35" s="80">
        <v>0</v>
      </c>
      <c r="H35" s="80"/>
      <c r="I35" s="80">
        <v>150</v>
      </c>
      <c r="J35" s="80"/>
      <c r="K35" s="80">
        <v>10.5</v>
      </c>
      <c r="L35" s="80">
        <v>11</v>
      </c>
      <c r="M35" s="102">
        <v>2910</v>
      </c>
      <c r="N35" s="80">
        <v>2920</v>
      </c>
      <c r="O35" s="329">
        <v>2000</v>
      </c>
      <c r="P35" s="329"/>
      <c r="Q35" s="330">
        <v>40</v>
      </c>
      <c r="R35" s="330"/>
      <c r="T35" s="105"/>
      <c r="U35" s="34">
        <f t="shared" ref="U35:U37" si="5">M35-$D$20-$D$19-4-Q35</f>
        <v>1499</v>
      </c>
      <c r="V35" s="120"/>
      <c r="X35" s="105"/>
      <c r="Y35" s="34">
        <v>40</v>
      </c>
      <c r="Z35" s="120"/>
      <c r="AA35"/>
      <c r="AB35" s="105"/>
      <c r="AC35" s="34">
        <f t="shared" si="1"/>
        <v>0.51200000000000001</v>
      </c>
      <c r="AD35" s="34"/>
      <c r="AE35" s="34"/>
      <c r="AF35" s="34"/>
      <c r="AG35" s="34"/>
      <c r="AH35" s="34"/>
      <c r="AI35" s="34"/>
      <c r="AJ35" s="120"/>
      <c r="AK35"/>
      <c r="AL35" s="105"/>
      <c r="AM35" s="136">
        <f t="shared" si="2"/>
        <v>767.48800000000006</v>
      </c>
      <c r="AN35" s="34"/>
      <c r="AO35" s="34">
        <f t="shared" si="3"/>
        <v>20.48</v>
      </c>
      <c r="AP35" s="34"/>
      <c r="AQ35" s="120"/>
      <c r="AS35" s="105"/>
      <c r="AT35" s="34"/>
      <c r="AU35" s="34"/>
      <c r="AV35" s="34"/>
      <c r="AW35" s="34"/>
      <c r="AX35" s="120"/>
      <c r="AZ35" s="105"/>
      <c r="BA35" s="34"/>
      <c r="BB35" s="34"/>
      <c r="BC35" s="34"/>
      <c r="BD35" s="34"/>
      <c r="BE35" s="120"/>
    </row>
    <row r="36" spans="3:57" ht="13.8">
      <c r="D36" s="63">
        <v>24</v>
      </c>
      <c r="E36" s="80"/>
      <c r="F36" s="80">
        <v>0.3</v>
      </c>
      <c r="G36" s="80"/>
      <c r="H36" s="80"/>
      <c r="I36" s="80">
        <v>150</v>
      </c>
      <c r="J36" s="80"/>
      <c r="K36" s="80">
        <v>10.5</v>
      </c>
      <c r="L36" s="80">
        <v>11</v>
      </c>
      <c r="M36" s="102">
        <v>2910</v>
      </c>
      <c r="N36" s="80">
        <v>2920</v>
      </c>
      <c r="O36" s="329">
        <v>2000</v>
      </c>
      <c r="P36" s="329"/>
      <c r="Q36" s="330">
        <v>40</v>
      </c>
      <c r="R36" s="330"/>
      <c r="T36" s="105"/>
      <c r="U36" s="34">
        <f t="shared" si="5"/>
        <v>1499</v>
      </c>
      <c r="V36" s="120"/>
      <c r="X36" s="105"/>
      <c r="Y36" s="34">
        <v>40</v>
      </c>
      <c r="Z36" s="120"/>
      <c r="AA36"/>
      <c r="AB36" s="131">
        <f>G12</f>
        <v>0.40266666666666667</v>
      </c>
      <c r="AC36" s="34">
        <f t="shared" si="1"/>
        <v>0.45200000000000001</v>
      </c>
      <c r="AD36" s="34"/>
      <c r="AE36" s="34">
        <f>H12</f>
        <v>1.03</v>
      </c>
      <c r="AF36" s="34"/>
      <c r="AG36" s="34"/>
      <c r="AH36" s="112">
        <f>I12</f>
        <v>16.373333333333335</v>
      </c>
      <c r="AI36" s="34"/>
      <c r="AJ36" s="120"/>
      <c r="AK36"/>
      <c r="AL36" s="105">
        <f>AB36*T31</f>
        <v>407.49866666666668</v>
      </c>
      <c r="AM36" s="136">
        <f t="shared" si="2"/>
        <v>677.548</v>
      </c>
      <c r="AN36" s="34"/>
      <c r="AO36" s="34">
        <f t="shared" si="3"/>
        <v>18.080000000000002</v>
      </c>
      <c r="AP36" s="34"/>
      <c r="AQ36" s="120"/>
      <c r="AS36" s="105"/>
      <c r="AT36" s="34"/>
      <c r="AU36" s="34"/>
      <c r="AV36" s="34"/>
      <c r="AW36" s="34"/>
      <c r="AX36" s="120"/>
      <c r="AZ36" s="105"/>
      <c r="BA36" s="34"/>
      <c r="BB36" s="34"/>
      <c r="BC36" s="34"/>
      <c r="BD36" s="34"/>
      <c r="BE36" s="120"/>
    </row>
    <row r="37" spans="3:57" ht="13.8">
      <c r="D37" s="63">
        <v>48</v>
      </c>
      <c r="E37" s="80"/>
      <c r="F37" s="80"/>
      <c r="G37" s="80"/>
      <c r="H37" s="80"/>
      <c r="I37" s="80">
        <v>150</v>
      </c>
      <c r="J37" s="80"/>
      <c r="K37" s="80">
        <v>10.6</v>
      </c>
      <c r="L37" s="80">
        <v>11.1</v>
      </c>
      <c r="M37" s="102">
        <v>2910</v>
      </c>
      <c r="N37" s="80">
        <v>2920</v>
      </c>
      <c r="O37" s="329">
        <v>2000</v>
      </c>
      <c r="P37" s="329"/>
      <c r="Q37" s="330">
        <v>40</v>
      </c>
      <c r="R37" s="330"/>
      <c r="T37" s="105"/>
      <c r="U37" s="34">
        <f t="shared" si="5"/>
        <v>1499</v>
      </c>
      <c r="V37" s="120"/>
      <c r="X37" s="105">
        <v>1012</v>
      </c>
      <c r="Y37" s="34">
        <v>40</v>
      </c>
      <c r="Z37" s="120">
        <v>4</v>
      </c>
      <c r="AA37"/>
      <c r="AB37" s="105"/>
      <c r="AC37" s="34"/>
      <c r="AD37" s="34"/>
      <c r="AE37" s="34"/>
      <c r="AF37" s="34"/>
      <c r="AG37" s="34"/>
      <c r="AH37" s="34"/>
      <c r="AI37" s="34"/>
      <c r="AJ37" s="120"/>
      <c r="AK37"/>
      <c r="AL37" s="105"/>
      <c r="AM37" s="136">
        <f t="shared" si="2"/>
        <v>0</v>
      </c>
      <c r="AN37" s="34"/>
      <c r="AO37" s="34">
        <f t="shared" si="3"/>
        <v>0</v>
      </c>
      <c r="AP37" s="34"/>
      <c r="AQ37" s="120"/>
      <c r="AS37" s="105"/>
      <c r="AT37" s="34"/>
      <c r="AU37" s="34"/>
      <c r="AV37" s="34"/>
      <c r="AW37" s="34"/>
      <c r="AX37" s="120"/>
      <c r="AZ37" s="105"/>
      <c r="BA37" s="34"/>
      <c r="BB37" s="34"/>
      <c r="BC37" s="34"/>
      <c r="BD37" s="34"/>
      <c r="BE37" s="120"/>
    </row>
    <row r="38" spans="3:57" ht="13.8">
      <c r="D38" s="64" t="s">
        <v>210</v>
      </c>
      <c r="E38" s="80">
        <v>1.52</v>
      </c>
      <c r="F38" s="80">
        <f>SUM(F31:F37)</f>
        <v>10.8</v>
      </c>
      <c r="G38" s="80">
        <f>SUM(G31:G37)</f>
        <v>0</v>
      </c>
      <c r="H38" s="80"/>
      <c r="I38" s="80"/>
      <c r="J38" s="80"/>
      <c r="K38" s="80"/>
      <c r="L38" s="80"/>
      <c r="M38" s="80"/>
      <c r="N38" s="80"/>
      <c r="O38" s="329"/>
      <c r="P38" s="329"/>
      <c r="Q38" s="330"/>
      <c r="R38" s="330"/>
      <c r="T38" s="105"/>
      <c r="U38" s="34"/>
      <c r="V38" s="120"/>
      <c r="X38" s="105"/>
      <c r="Y38" s="34"/>
      <c r="Z38" s="120"/>
      <c r="AA38"/>
      <c r="AB38" s="105"/>
      <c r="AC38" s="34"/>
      <c r="AD38" s="34"/>
      <c r="AE38" s="34"/>
      <c r="AF38" s="34"/>
      <c r="AG38" s="34"/>
      <c r="AH38" s="34"/>
      <c r="AI38" s="34"/>
      <c r="AJ38" s="120"/>
      <c r="AK38"/>
      <c r="AL38" s="105"/>
      <c r="AM38" s="34"/>
      <c r="AN38" s="34"/>
      <c r="AO38" s="34"/>
      <c r="AP38" s="34"/>
      <c r="AQ38" s="120"/>
      <c r="AS38" s="105"/>
      <c r="AT38" s="34"/>
      <c r="AU38" s="34"/>
      <c r="AV38" s="34"/>
      <c r="AW38" s="34"/>
      <c r="AX38" s="120"/>
      <c r="AZ38" s="105"/>
      <c r="BA38" s="34"/>
      <c r="BB38" s="34"/>
      <c r="BC38" s="34"/>
      <c r="BD38" s="34"/>
      <c r="BE38" s="120"/>
    </row>
    <row r="39" spans="3:57" ht="13.8">
      <c r="D39" s="65" t="s">
        <v>211</v>
      </c>
      <c r="E39" s="323">
        <v>0</v>
      </c>
      <c r="F39" s="323"/>
      <c r="G39" s="323"/>
      <c r="H39" s="81"/>
      <c r="I39" s="81"/>
      <c r="J39" s="81"/>
      <c r="K39" s="81"/>
      <c r="L39" s="81"/>
      <c r="M39" s="81"/>
      <c r="N39" s="81"/>
      <c r="O39" s="323"/>
      <c r="P39" s="323"/>
      <c r="Q39" s="324"/>
      <c r="R39" s="324"/>
      <c r="T39" s="108"/>
      <c r="U39" s="109"/>
      <c r="V39" s="121"/>
      <c r="X39" s="108"/>
      <c r="Y39" s="109"/>
      <c r="Z39" s="121"/>
      <c r="AA39"/>
      <c r="AB39" s="108"/>
      <c r="AC39" s="109"/>
      <c r="AD39" s="109"/>
      <c r="AE39" s="109"/>
      <c r="AF39" s="109"/>
      <c r="AG39" s="109"/>
      <c r="AH39" s="109"/>
      <c r="AI39" s="109"/>
      <c r="AJ39" s="121"/>
      <c r="AK39"/>
      <c r="AL39" s="108"/>
      <c r="AM39" s="109"/>
      <c r="AN39" s="109"/>
      <c r="AO39" s="109"/>
      <c r="AP39" s="109"/>
      <c r="AQ39" s="121"/>
      <c r="AS39" s="108"/>
      <c r="AT39" s="109"/>
      <c r="AU39" s="109"/>
      <c r="AV39" s="109"/>
      <c r="AW39" s="109"/>
      <c r="AX39" s="121"/>
      <c r="AZ39" s="108"/>
      <c r="BA39" s="109"/>
      <c r="BB39" s="109"/>
      <c r="BC39" s="109"/>
      <c r="BD39" s="109"/>
      <c r="BE39" s="121"/>
    </row>
    <row r="42" spans="3:57" ht="13.8">
      <c r="D42" s="325" t="s">
        <v>212</v>
      </c>
      <c r="E42" s="325"/>
      <c r="F42" s="325"/>
      <c r="H42" s="326" t="s">
        <v>213</v>
      </c>
      <c r="I42" s="326"/>
      <c r="J42" s="326"/>
    </row>
    <row r="43" spans="3:57" ht="13.8">
      <c r="D43" s="327" t="s">
        <v>214</v>
      </c>
      <c r="E43" s="327"/>
      <c r="F43" s="327"/>
      <c r="H43" s="328" t="s">
        <v>215</v>
      </c>
      <c r="I43" s="328"/>
      <c r="J43" s="328"/>
    </row>
    <row r="44" spans="3:57" ht="13.8">
      <c r="D44" s="66" t="s">
        <v>126</v>
      </c>
      <c r="E44" s="82" t="s">
        <v>127</v>
      </c>
      <c r="F44" s="83" t="s">
        <v>128</v>
      </c>
      <c r="H44" s="84" t="s">
        <v>126</v>
      </c>
      <c r="I44" s="98" t="s">
        <v>127</v>
      </c>
      <c r="J44" s="99" t="s">
        <v>128</v>
      </c>
    </row>
    <row r="45" spans="3:57" ht="13.8">
      <c r="D45" s="67">
        <f>AM31+AO31</f>
        <v>520.12800000000004</v>
      </c>
      <c r="E45" s="50"/>
      <c r="F45" s="56"/>
      <c r="H45" s="85">
        <f t="shared" ref="H45:H50" si="6">D45/$G$15</f>
        <v>0.43365441801779769</v>
      </c>
      <c r="I45" s="50"/>
      <c r="J45" s="56"/>
    </row>
    <row r="46" spans="3:57" ht="13.8">
      <c r="D46" s="67">
        <f>AM32+AO31+AO32</f>
        <v>737.10699999999997</v>
      </c>
      <c r="E46" s="50"/>
      <c r="F46" s="56"/>
      <c r="H46" s="85">
        <f t="shared" si="6"/>
        <v>0.61455969896226459</v>
      </c>
      <c r="I46" s="50"/>
      <c r="J46" s="56"/>
    </row>
    <row r="47" spans="3:57" ht="13.8">
      <c r="D47" s="67">
        <f>AM33+SUM(AO31:AO33)</f>
        <v>883.93600000000004</v>
      </c>
      <c r="E47" s="50"/>
      <c r="F47" s="56"/>
      <c r="H47" s="85">
        <f t="shared" si="6"/>
        <v>0.73697772787656113</v>
      </c>
      <c r="I47" s="50"/>
      <c r="J47" s="56"/>
    </row>
    <row r="48" spans="3:57" ht="13.8">
      <c r="D48" s="67">
        <f>AM34+SUM(AO31:AO34)</f>
        <v>882.26200000000017</v>
      </c>
      <c r="E48" s="50"/>
      <c r="F48" s="56"/>
      <c r="H48" s="85">
        <f t="shared" si="6"/>
        <v>0.73558203778534947</v>
      </c>
      <c r="I48" s="50"/>
      <c r="J48" s="56"/>
    </row>
    <row r="49" spans="4:10" ht="13.8">
      <c r="D49" s="67">
        <f>AM35+SUM(AO31:AO35)</f>
        <v>863.76800000000003</v>
      </c>
      <c r="E49" s="50"/>
      <c r="F49" s="56"/>
      <c r="H49" s="85">
        <f t="shared" si="6"/>
        <v>0.72016274713608397</v>
      </c>
      <c r="I49" s="50"/>
      <c r="J49" s="56"/>
    </row>
    <row r="50" spans="4:10" ht="13.8">
      <c r="D50" s="68">
        <f>AM36+SUM(AO31:AO36)</f>
        <v>791.90800000000002</v>
      </c>
      <c r="E50" s="60"/>
      <c r="F50" s="61"/>
      <c r="H50" s="86">
        <f t="shared" si="6"/>
        <v>0.6602497901740304</v>
      </c>
      <c r="I50" s="60"/>
      <c r="J50" s="61"/>
    </row>
  </sheetData>
  <mergeCells count="62">
    <mergeCell ref="T27:V27"/>
    <mergeCell ref="X27:Z27"/>
    <mergeCell ref="AB27:AJ27"/>
    <mergeCell ref="AL27:AQ27"/>
    <mergeCell ref="B2:F2"/>
    <mergeCell ref="U3:X3"/>
    <mergeCell ref="Y3:AB3"/>
    <mergeCell ref="B9:D9"/>
    <mergeCell ref="F9:I9"/>
    <mergeCell ref="K9:M9"/>
    <mergeCell ref="S3:S5"/>
    <mergeCell ref="T4:T5"/>
    <mergeCell ref="AS27:AX27"/>
    <mergeCell ref="AZ27:BE27"/>
    <mergeCell ref="AB28:AD28"/>
    <mergeCell ref="AE28:AG28"/>
    <mergeCell ref="AH28:AJ28"/>
    <mergeCell ref="AL28:AM28"/>
    <mergeCell ref="AN28:AO28"/>
    <mergeCell ref="AP28:AQ28"/>
    <mergeCell ref="AS28:AT28"/>
    <mergeCell ref="AU28:AV28"/>
    <mergeCell ref="AW28:AX28"/>
    <mergeCell ref="AZ28:BA28"/>
    <mergeCell ref="BB28:BC28"/>
    <mergeCell ref="BD28:BE28"/>
    <mergeCell ref="O30:P30"/>
    <mergeCell ref="Q30:R30"/>
    <mergeCell ref="O31:P31"/>
    <mergeCell ref="Q31:R31"/>
    <mergeCell ref="O32:P32"/>
    <mergeCell ref="Q32:R32"/>
    <mergeCell ref="O38:P38"/>
    <mergeCell ref="Q38:R38"/>
    <mergeCell ref="O33:P33"/>
    <mergeCell ref="Q33:R33"/>
    <mergeCell ref="O34:P34"/>
    <mergeCell ref="Q34:R34"/>
    <mergeCell ref="O35:P35"/>
    <mergeCell ref="Q35:R35"/>
    <mergeCell ref="F15:F16"/>
    <mergeCell ref="F19:F20"/>
    <mergeCell ref="H28:H29"/>
    <mergeCell ref="E28:G29"/>
    <mergeCell ref="I28:J29"/>
    <mergeCell ref="D27:R27"/>
    <mergeCell ref="K28:L29"/>
    <mergeCell ref="M28:N29"/>
    <mergeCell ref="O28:P29"/>
    <mergeCell ref="Q28:R29"/>
    <mergeCell ref="D43:F43"/>
    <mergeCell ref="H43:J43"/>
    <mergeCell ref="D28:D29"/>
    <mergeCell ref="E39:G39"/>
    <mergeCell ref="O39:P39"/>
    <mergeCell ref="Q39:R39"/>
    <mergeCell ref="D42:F42"/>
    <mergeCell ref="H42:J42"/>
    <mergeCell ref="O36:P36"/>
    <mergeCell ref="Q36:R36"/>
    <mergeCell ref="O37:P37"/>
    <mergeCell ref="Q37:R37"/>
  </mergeCells>
  <pageMargins left="0.7" right="0.7" top="0.75" bottom="0.75" header="0.511811023622047" footer="0.511811023622047"/>
  <pageSetup orientation="portrait" horizontalDpi="300" verticalDpi="300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>
    <tabColor theme="9" tint="0.59999389629810485"/>
  </sheetPr>
  <dimension ref="B3:V37"/>
  <sheetViews>
    <sheetView topLeftCell="A9" zoomScale="70" zoomScaleNormal="70" workbookViewId="0">
      <selection activeCell="R73" sqref="R73"/>
    </sheetView>
  </sheetViews>
  <sheetFormatPr defaultColWidth="9" defaultRowHeight="13.8"/>
  <cols>
    <col min="2" max="2" width="18.69921875" customWidth="1"/>
    <col min="5" max="5" width="21.8984375" customWidth="1"/>
    <col min="7" max="7" width="14" customWidth="1"/>
    <col min="10" max="10" width="24" customWidth="1"/>
    <col min="13" max="13" width="22.19921875" customWidth="1"/>
    <col min="21" max="22" width="12.59765625"/>
  </cols>
  <sheetData>
    <row r="3" spans="2:7">
      <c r="B3" s="485" t="s">
        <v>327</v>
      </c>
      <c r="C3" s="486"/>
      <c r="D3" s="486"/>
      <c r="E3" s="486"/>
      <c r="F3" s="486"/>
      <c r="G3" s="487"/>
    </row>
    <row r="4" spans="2:7">
      <c r="B4" s="1"/>
      <c r="C4" s="2"/>
      <c r="D4" s="2"/>
      <c r="E4" s="2"/>
      <c r="F4" s="2"/>
      <c r="G4" s="15"/>
    </row>
    <row r="5" spans="2:7">
      <c r="B5" s="3" t="s">
        <v>101</v>
      </c>
      <c r="C5" s="2" t="s">
        <v>122</v>
      </c>
      <c r="D5" s="488" t="s">
        <v>328</v>
      </c>
      <c r="E5" s="488"/>
      <c r="F5" s="488"/>
      <c r="G5" s="489"/>
    </row>
    <row r="6" spans="2:7">
      <c r="B6" s="3" t="s">
        <v>329</v>
      </c>
      <c r="C6" s="2" t="s">
        <v>122</v>
      </c>
      <c r="D6" s="488" t="s">
        <v>41</v>
      </c>
      <c r="E6" s="488"/>
      <c r="F6" s="488"/>
      <c r="G6" s="489"/>
    </row>
    <row r="7" spans="2:7">
      <c r="B7" s="3" t="s">
        <v>132</v>
      </c>
      <c r="C7" s="2" t="s">
        <v>122</v>
      </c>
      <c r="D7" s="490">
        <v>46224</v>
      </c>
      <c r="E7" s="490"/>
      <c r="F7" s="490"/>
      <c r="G7" s="491"/>
    </row>
    <row r="8" spans="2:7">
      <c r="B8" s="3" t="s">
        <v>330</v>
      </c>
      <c r="C8" s="2" t="s">
        <v>122</v>
      </c>
      <c r="D8" s="488" t="s">
        <v>331</v>
      </c>
      <c r="E8" s="488"/>
      <c r="F8" s="488"/>
      <c r="G8" s="489"/>
    </row>
    <row r="9" spans="2:7">
      <c r="B9" s="4"/>
      <c r="C9" s="5"/>
      <c r="D9" s="5"/>
      <c r="E9" s="5"/>
      <c r="F9" s="5"/>
      <c r="G9" s="9"/>
    </row>
    <row r="12" spans="2:7">
      <c r="B12" s="478" t="s">
        <v>332</v>
      </c>
      <c r="C12" s="479"/>
      <c r="D12" s="480"/>
    </row>
    <row r="13" spans="2:7">
      <c r="B13" s="6" t="s">
        <v>108</v>
      </c>
      <c r="C13" s="7" t="s">
        <v>122</v>
      </c>
      <c r="D13" s="8" t="s">
        <v>333</v>
      </c>
    </row>
    <row r="14" spans="2:7">
      <c r="B14" s="6" t="s">
        <v>334</v>
      </c>
      <c r="C14" s="7" t="s">
        <v>122</v>
      </c>
      <c r="D14" s="8">
        <v>10000</v>
      </c>
    </row>
    <row r="15" spans="2:7">
      <c r="B15" s="6" t="s">
        <v>335</v>
      </c>
      <c r="C15" s="7" t="s">
        <v>122</v>
      </c>
      <c r="D15" s="8">
        <v>50</v>
      </c>
    </row>
    <row r="16" spans="2:7">
      <c r="B16" s="6" t="s">
        <v>336</v>
      </c>
      <c r="C16" s="7" t="s">
        <v>122</v>
      </c>
      <c r="D16" s="8">
        <v>100</v>
      </c>
    </row>
    <row r="17" spans="2:22">
      <c r="B17" s="6" t="s">
        <v>337</v>
      </c>
      <c r="C17" s="7" t="s">
        <v>122</v>
      </c>
      <c r="D17" s="8">
        <v>2</v>
      </c>
    </row>
    <row r="18" spans="2:22">
      <c r="B18" s="6" t="s">
        <v>175</v>
      </c>
      <c r="C18" s="7" t="s">
        <v>122</v>
      </c>
      <c r="D18" s="8">
        <v>200</v>
      </c>
    </row>
    <row r="19" spans="2:22">
      <c r="B19" s="4"/>
      <c r="C19" s="5"/>
      <c r="D19" s="9"/>
    </row>
    <row r="23" spans="2:22">
      <c r="B23" s="481" t="s">
        <v>338</v>
      </c>
      <c r="C23" s="482"/>
      <c r="D23" s="482"/>
      <c r="E23" s="482"/>
      <c r="F23" s="482"/>
      <c r="G23" s="482"/>
      <c r="H23" s="482"/>
      <c r="I23" s="482"/>
      <c r="J23" s="483"/>
      <c r="L23" s="469" t="s">
        <v>339</v>
      </c>
      <c r="M23" s="470"/>
      <c r="N23" s="471"/>
      <c r="P23" s="390" t="s">
        <v>340</v>
      </c>
      <c r="Q23" s="391"/>
      <c r="R23" s="392"/>
      <c r="T23" s="370" t="s">
        <v>341</v>
      </c>
      <c r="U23" s="371"/>
      <c r="V23" s="445"/>
    </row>
    <row r="24" spans="2:22">
      <c r="B24" s="455" t="s">
        <v>342</v>
      </c>
      <c r="C24" s="484" t="s">
        <v>343</v>
      </c>
      <c r="D24" s="484"/>
      <c r="E24" s="484"/>
      <c r="F24" s="484" t="s">
        <v>108</v>
      </c>
      <c r="G24" s="484"/>
      <c r="H24" s="484" t="s">
        <v>344</v>
      </c>
      <c r="I24" s="484"/>
      <c r="J24" s="16" t="s">
        <v>345</v>
      </c>
      <c r="L24" s="472"/>
      <c r="M24" s="473"/>
      <c r="N24" s="474"/>
      <c r="P24" s="475"/>
      <c r="Q24" s="476"/>
      <c r="R24" s="477"/>
      <c r="T24" s="446"/>
      <c r="U24" s="447"/>
      <c r="V24" s="448"/>
    </row>
    <row r="25" spans="2:22">
      <c r="B25" s="456"/>
      <c r="C25" s="10" t="s">
        <v>346</v>
      </c>
      <c r="D25" s="10" t="s">
        <v>347</v>
      </c>
      <c r="E25" s="10" t="s">
        <v>197</v>
      </c>
      <c r="F25" s="10" t="s">
        <v>206</v>
      </c>
      <c r="G25" s="10" t="s">
        <v>207</v>
      </c>
      <c r="H25" s="10" t="s">
        <v>206</v>
      </c>
      <c r="I25" s="10" t="s">
        <v>207</v>
      </c>
      <c r="J25" s="16" t="s">
        <v>208</v>
      </c>
      <c r="L25" s="17" t="s">
        <v>126</v>
      </c>
      <c r="M25" s="22" t="s">
        <v>127</v>
      </c>
      <c r="N25" s="23" t="s">
        <v>128</v>
      </c>
      <c r="P25" s="24" t="s">
        <v>126</v>
      </c>
      <c r="Q25" s="31" t="s">
        <v>127</v>
      </c>
      <c r="R25" s="32" t="s">
        <v>128</v>
      </c>
      <c r="T25" s="33" t="s">
        <v>126</v>
      </c>
      <c r="U25" s="39" t="s">
        <v>127</v>
      </c>
      <c r="V25" s="40" t="s">
        <v>128</v>
      </c>
    </row>
    <row r="26" spans="2:22">
      <c r="B26" s="11">
        <v>0</v>
      </c>
      <c r="C26" s="12"/>
      <c r="D26" s="12">
        <v>1.96</v>
      </c>
      <c r="E26" s="12">
        <v>50</v>
      </c>
      <c r="F26" s="12"/>
      <c r="G26" s="12">
        <v>14</v>
      </c>
      <c r="H26" s="12">
        <v>0</v>
      </c>
      <c r="I26" s="12">
        <v>10000</v>
      </c>
      <c r="J26" s="18"/>
      <c r="L26" s="11"/>
      <c r="M26" s="12"/>
      <c r="N26" s="18"/>
      <c r="P26" s="25"/>
      <c r="Q26" s="34">
        <f t="shared" ref="Q26:R30" si="0">$D$18*M26</f>
        <v>0</v>
      </c>
      <c r="R26" s="35">
        <f t="shared" si="0"/>
        <v>0</v>
      </c>
      <c r="T26" s="25"/>
      <c r="U26" s="41">
        <f>Q26/$M$36</f>
        <v>0</v>
      </c>
      <c r="V26" s="42">
        <f>R26/$N$36</f>
        <v>0</v>
      </c>
    </row>
    <row r="27" spans="2:22">
      <c r="B27" s="11">
        <v>30</v>
      </c>
      <c r="C27" s="12"/>
      <c r="D27" s="12"/>
      <c r="E27" s="12"/>
      <c r="F27" s="12"/>
      <c r="G27" s="12">
        <v>13</v>
      </c>
      <c r="H27" s="12"/>
      <c r="I27" s="12">
        <v>8500</v>
      </c>
      <c r="J27" s="18">
        <v>10</v>
      </c>
      <c r="L27" s="11"/>
      <c r="M27" s="12">
        <v>30.623999999999999</v>
      </c>
      <c r="N27" s="18">
        <v>0.76700000000000002</v>
      </c>
      <c r="P27" s="25"/>
      <c r="Q27" s="34">
        <f t="shared" si="0"/>
        <v>6124.8</v>
      </c>
      <c r="R27" s="35">
        <f t="shared" si="0"/>
        <v>153.4</v>
      </c>
      <c r="T27" s="25"/>
      <c r="U27" s="41">
        <f>Q27/$M$36</f>
        <v>0.33652747252747256</v>
      </c>
      <c r="V27" s="42">
        <f>R27/$N$36</f>
        <v>0.10579310344827586</v>
      </c>
    </row>
    <row r="28" spans="2:22">
      <c r="B28" s="11">
        <v>60</v>
      </c>
      <c r="C28" s="12"/>
      <c r="D28" s="12"/>
      <c r="E28" s="12"/>
      <c r="F28" s="12"/>
      <c r="G28" s="12">
        <v>13</v>
      </c>
      <c r="H28" s="12"/>
      <c r="I28" s="12">
        <v>6500</v>
      </c>
      <c r="J28" s="18">
        <v>10</v>
      </c>
      <c r="L28" s="11"/>
      <c r="M28" s="12">
        <v>27.663</v>
      </c>
      <c r="N28" s="18">
        <v>0.93400000000000005</v>
      </c>
      <c r="P28" s="25"/>
      <c r="Q28" s="34">
        <f t="shared" si="0"/>
        <v>5532.6</v>
      </c>
      <c r="R28" s="35">
        <f t="shared" si="0"/>
        <v>186.8</v>
      </c>
      <c r="T28" s="25"/>
      <c r="U28" s="41">
        <f>Q28/$M$36</f>
        <v>0.30398901098901099</v>
      </c>
      <c r="V28" s="42">
        <f>R28/$N$36</f>
        <v>0.12882758620689655</v>
      </c>
    </row>
    <row r="29" spans="2:22">
      <c r="B29" s="11">
        <v>90</v>
      </c>
      <c r="C29" s="12"/>
      <c r="D29" s="12"/>
      <c r="E29" s="12"/>
      <c r="F29" s="12"/>
      <c r="G29" s="12">
        <v>13</v>
      </c>
      <c r="H29" s="12"/>
      <c r="I29" s="12">
        <v>5000</v>
      </c>
      <c r="J29" s="18">
        <v>10</v>
      </c>
      <c r="L29" s="11"/>
      <c r="M29" s="12">
        <v>2.6480000000000001</v>
      </c>
      <c r="N29" s="18">
        <v>1.1299999999999999</v>
      </c>
      <c r="P29" s="25"/>
      <c r="Q29" s="34">
        <f t="shared" si="0"/>
        <v>529.6</v>
      </c>
      <c r="R29" s="35">
        <f t="shared" si="0"/>
        <v>225.99999999999997</v>
      </c>
      <c r="T29" s="25"/>
      <c r="U29" s="41">
        <f>Q29/$M$36</f>
        <v>2.9098901098901099E-2</v>
      </c>
      <c r="V29" s="42">
        <f>R29/$N$36</f>
        <v>0.15586206896551721</v>
      </c>
    </row>
    <row r="30" spans="2:22">
      <c r="B30" s="11">
        <v>120</v>
      </c>
      <c r="C30" s="12"/>
      <c r="D30" s="12"/>
      <c r="E30" s="12"/>
      <c r="F30" s="12"/>
      <c r="G30" s="12">
        <v>13</v>
      </c>
      <c r="H30" s="12"/>
      <c r="I30" s="12">
        <v>4500</v>
      </c>
      <c r="J30" s="18">
        <v>10</v>
      </c>
      <c r="L30" s="19"/>
      <c r="M30" s="26">
        <v>1.4279999999999999</v>
      </c>
      <c r="N30" s="27">
        <v>1.252</v>
      </c>
      <c r="P30" s="13"/>
      <c r="Q30" s="14">
        <f t="shared" si="0"/>
        <v>285.59999999999997</v>
      </c>
      <c r="R30" s="20">
        <f t="shared" si="0"/>
        <v>250.4</v>
      </c>
      <c r="T30" s="13"/>
      <c r="U30" s="43">
        <f>Q30/$M$36</f>
        <v>1.5692307692307689E-2</v>
      </c>
      <c r="V30" s="44">
        <f>R30/$N$36</f>
        <v>0.1726896551724138</v>
      </c>
    </row>
    <row r="31" spans="2:22">
      <c r="B31" s="13"/>
      <c r="C31" s="14"/>
      <c r="D31" s="14"/>
      <c r="E31" s="14"/>
      <c r="F31" s="14"/>
      <c r="G31" s="14"/>
      <c r="H31" s="14"/>
      <c r="I31" s="14"/>
      <c r="J31" s="20"/>
    </row>
    <row r="34" spans="12:18">
      <c r="L34" s="449" t="s">
        <v>348</v>
      </c>
      <c r="M34" s="450"/>
      <c r="N34" s="451"/>
      <c r="P34" s="452" t="s">
        <v>349</v>
      </c>
      <c r="Q34" s="453"/>
      <c r="R34" s="454"/>
    </row>
    <row r="35" spans="12:18">
      <c r="L35" s="21" t="s">
        <v>126</v>
      </c>
      <c r="M35" s="28" t="s">
        <v>127</v>
      </c>
      <c r="N35" s="29" t="s">
        <v>128</v>
      </c>
      <c r="P35" s="30" t="s">
        <v>126</v>
      </c>
      <c r="Q35" s="36" t="s">
        <v>127</v>
      </c>
      <c r="R35" s="37" t="s">
        <v>128</v>
      </c>
    </row>
    <row r="36" spans="12:18">
      <c r="L36" s="457">
        <f>$E$26*P36</f>
        <v>33450</v>
      </c>
      <c r="M36" s="459">
        <f>$E$26*Q36</f>
        <v>18200</v>
      </c>
      <c r="N36" s="461">
        <f>$E$26*R36</f>
        <v>1450</v>
      </c>
      <c r="P36" s="463">
        <v>669</v>
      </c>
      <c r="Q36" s="465">
        <v>364</v>
      </c>
      <c r="R36" s="467">
        <v>29</v>
      </c>
    </row>
    <row r="37" spans="12:18">
      <c r="L37" s="458"/>
      <c r="M37" s="460"/>
      <c r="N37" s="462"/>
      <c r="P37" s="464"/>
      <c r="Q37" s="466"/>
      <c r="R37" s="468"/>
    </row>
  </sheetData>
  <mergeCells count="22">
    <mergeCell ref="B3:G3"/>
    <mergeCell ref="D5:G5"/>
    <mergeCell ref="D6:G6"/>
    <mergeCell ref="D7:G7"/>
    <mergeCell ref="D8:G8"/>
    <mergeCell ref="B12:D12"/>
    <mergeCell ref="B23:J23"/>
    <mergeCell ref="C24:E24"/>
    <mergeCell ref="F24:G24"/>
    <mergeCell ref="H24:I24"/>
    <mergeCell ref="T23:V24"/>
    <mergeCell ref="L34:N34"/>
    <mergeCell ref="P34:R34"/>
    <mergeCell ref="B24:B25"/>
    <mergeCell ref="L36:L37"/>
    <mergeCell ref="M36:M37"/>
    <mergeCell ref="N36:N37"/>
    <mergeCell ref="P36:P37"/>
    <mergeCell ref="Q36:Q37"/>
    <mergeCell ref="R36:R37"/>
    <mergeCell ref="L23:N24"/>
    <mergeCell ref="P23:R24"/>
  </mergeCells>
  <pageMargins left="0.75" right="0.75" top="1" bottom="1" header="0.5" footer="0.5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>
    <tabColor theme="9" tint="0.59999389629810485"/>
  </sheetPr>
  <dimension ref="B3:V37"/>
  <sheetViews>
    <sheetView zoomScale="70" zoomScaleNormal="70" workbookViewId="0">
      <selection activeCell="M72" sqref="M72"/>
    </sheetView>
  </sheetViews>
  <sheetFormatPr defaultColWidth="9" defaultRowHeight="13.8"/>
  <cols>
    <col min="2" max="2" width="18.69921875" customWidth="1"/>
    <col min="5" max="5" width="21.8984375" customWidth="1"/>
    <col min="7" max="7" width="22.8984375" customWidth="1"/>
    <col min="10" max="10" width="24" customWidth="1"/>
    <col min="13" max="13" width="22.19921875" customWidth="1"/>
    <col min="21" max="22" width="12.59765625"/>
  </cols>
  <sheetData>
    <row r="3" spans="2:7">
      <c r="B3" s="485" t="s">
        <v>327</v>
      </c>
      <c r="C3" s="486"/>
      <c r="D3" s="486"/>
      <c r="E3" s="486"/>
      <c r="F3" s="486"/>
      <c r="G3" s="487"/>
    </row>
    <row r="4" spans="2:7">
      <c r="B4" s="1"/>
      <c r="C4" s="2"/>
      <c r="D4" s="2"/>
      <c r="E4" s="2"/>
      <c r="F4" s="2"/>
      <c r="G4" s="15"/>
    </row>
    <row r="5" spans="2:7">
      <c r="B5" s="3" t="s">
        <v>101</v>
      </c>
      <c r="C5" s="2" t="s">
        <v>122</v>
      </c>
      <c r="D5" s="488" t="s">
        <v>328</v>
      </c>
      <c r="E5" s="488"/>
      <c r="F5" s="488"/>
      <c r="G5" s="489"/>
    </row>
    <row r="6" spans="2:7">
      <c r="B6" s="3" t="s">
        <v>329</v>
      </c>
      <c r="C6" s="2" t="s">
        <v>122</v>
      </c>
      <c r="D6" s="488" t="s">
        <v>350</v>
      </c>
      <c r="E6" s="488"/>
      <c r="F6" s="488"/>
      <c r="G6" s="489"/>
    </row>
    <row r="7" spans="2:7">
      <c r="B7" s="3" t="s">
        <v>132</v>
      </c>
      <c r="C7" s="2" t="s">
        <v>122</v>
      </c>
      <c r="D7" s="490">
        <v>46224</v>
      </c>
      <c r="E7" s="490"/>
      <c r="F7" s="490"/>
      <c r="G7" s="491"/>
    </row>
    <row r="8" spans="2:7">
      <c r="B8" s="3" t="s">
        <v>330</v>
      </c>
      <c r="C8" s="2" t="s">
        <v>122</v>
      </c>
      <c r="D8" s="488" t="s">
        <v>331</v>
      </c>
      <c r="E8" s="488"/>
      <c r="F8" s="488"/>
      <c r="G8" s="489"/>
    </row>
    <row r="9" spans="2:7">
      <c r="B9" s="4"/>
      <c r="C9" s="5"/>
      <c r="D9" s="5"/>
      <c r="E9" s="5"/>
      <c r="F9" s="5"/>
      <c r="G9" s="9"/>
    </row>
    <row r="12" spans="2:7">
      <c r="B12" s="478" t="s">
        <v>332</v>
      </c>
      <c r="C12" s="479"/>
      <c r="D12" s="480"/>
    </row>
    <row r="13" spans="2:7">
      <c r="B13" s="6" t="s">
        <v>108</v>
      </c>
      <c r="C13" s="7" t="s">
        <v>122</v>
      </c>
      <c r="D13" s="8" t="s">
        <v>333</v>
      </c>
    </row>
    <row r="14" spans="2:7">
      <c r="B14" s="6" t="s">
        <v>334</v>
      </c>
      <c r="C14" s="7" t="s">
        <v>122</v>
      </c>
      <c r="D14" s="8">
        <v>5000</v>
      </c>
    </row>
    <row r="15" spans="2:7">
      <c r="B15" s="6" t="s">
        <v>335</v>
      </c>
      <c r="C15" s="7" t="s">
        <v>122</v>
      </c>
      <c r="D15" s="8">
        <v>50</v>
      </c>
    </row>
    <row r="16" spans="2:7">
      <c r="B16" s="6" t="s">
        <v>336</v>
      </c>
      <c r="C16" s="7" t="s">
        <v>122</v>
      </c>
      <c r="D16" s="8">
        <v>100</v>
      </c>
    </row>
    <row r="17" spans="2:22">
      <c r="B17" s="6" t="s">
        <v>337</v>
      </c>
      <c r="C17" s="7" t="s">
        <v>122</v>
      </c>
      <c r="D17" s="8">
        <v>2</v>
      </c>
    </row>
    <row r="18" spans="2:22">
      <c r="B18" s="6" t="s">
        <v>175</v>
      </c>
      <c r="C18" s="7" t="s">
        <v>122</v>
      </c>
      <c r="D18" s="8">
        <v>200</v>
      </c>
    </row>
    <row r="19" spans="2:22">
      <c r="B19" s="4"/>
      <c r="C19" s="5"/>
      <c r="D19" s="9"/>
    </row>
    <row r="23" spans="2:22">
      <c r="B23" s="481" t="s">
        <v>338</v>
      </c>
      <c r="C23" s="482"/>
      <c r="D23" s="482"/>
      <c r="E23" s="482"/>
      <c r="F23" s="482"/>
      <c r="G23" s="482"/>
      <c r="H23" s="482"/>
      <c r="I23" s="482"/>
      <c r="J23" s="483"/>
      <c r="L23" s="469" t="s">
        <v>339</v>
      </c>
      <c r="M23" s="470"/>
      <c r="N23" s="471"/>
      <c r="P23" s="390" t="s">
        <v>340</v>
      </c>
      <c r="Q23" s="391"/>
      <c r="R23" s="392"/>
      <c r="T23" s="370" t="s">
        <v>341</v>
      </c>
      <c r="U23" s="371"/>
      <c r="V23" s="445"/>
    </row>
    <row r="24" spans="2:22">
      <c r="B24" s="455" t="s">
        <v>342</v>
      </c>
      <c r="C24" s="484" t="s">
        <v>343</v>
      </c>
      <c r="D24" s="484"/>
      <c r="E24" s="484"/>
      <c r="F24" s="484" t="s">
        <v>108</v>
      </c>
      <c r="G24" s="484"/>
      <c r="H24" s="484" t="s">
        <v>344</v>
      </c>
      <c r="I24" s="484"/>
      <c r="J24" s="16" t="s">
        <v>345</v>
      </c>
      <c r="L24" s="472"/>
      <c r="M24" s="473"/>
      <c r="N24" s="474"/>
      <c r="P24" s="475"/>
      <c r="Q24" s="476"/>
      <c r="R24" s="477"/>
      <c r="T24" s="446"/>
      <c r="U24" s="447"/>
      <c r="V24" s="448"/>
    </row>
    <row r="25" spans="2:22">
      <c r="B25" s="456"/>
      <c r="C25" s="10" t="s">
        <v>346</v>
      </c>
      <c r="D25" s="10" t="s">
        <v>347</v>
      </c>
      <c r="E25" s="10" t="s">
        <v>197</v>
      </c>
      <c r="F25" s="10" t="s">
        <v>206</v>
      </c>
      <c r="G25" s="10" t="s">
        <v>207</v>
      </c>
      <c r="H25" s="10" t="s">
        <v>206</v>
      </c>
      <c r="I25" s="10" t="s">
        <v>207</v>
      </c>
      <c r="J25" s="16" t="s">
        <v>208</v>
      </c>
      <c r="L25" s="17" t="s">
        <v>126</v>
      </c>
      <c r="M25" s="22" t="s">
        <v>127</v>
      </c>
      <c r="N25" s="23" t="s">
        <v>128</v>
      </c>
      <c r="P25" s="24" t="s">
        <v>126</v>
      </c>
      <c r="Q25" s="31" t="s">
        <v>127</v>
      </c>
      <c r="R25" s="32" t="s">
        <v>128</v>
      </c>
      <c r="T25" s="33" t="s">
        <v>126</v>
      </c>
      <c r="U25" s="39" t="s">
        <v>127</v>
      </c>
      <c r="V25" s="40" t="s">
        <v>128</v>
      </c>
    </row>
    <row r="26" spans="2:22">
      <c r="B26" s="11">
        <v>0</v>
      </c>
      <c r="C26" s="12"/>
      <c r="D26" s="12">
        <v>0.98</v>
      </c>
      <c r="E26" s="12">
        <v>50</v>
      </c>
      <c r="F26" s="12"/>
      <c r="G26" s="12">
        <v>14</v>
      </c>
      <c r="H26" s="12">
        <v>0</v>
      </c>
      <c r="I26" s="12">
        <v>10000</v>
      </c>
      <c r="J26" s="18"/>
      <c r="L26" s="11"/>
      <c r="M26" s="12"/>
      <c r="N26" s="18"/>
      <c r="P26" s="25"/>
      <c r="Q26" s="34">
        <f t="shared" ref="Q26:Q30" si="0">$D$18*M26</f>
        <v>0</v>
      </c>
      <c r="R26" s="35">
        <f t="shared" ref="R26:R30" si="1">$D$18*N26</f>
        <v>0</v>
      </c>
      <c r="T26" s="25"/>
      <c r="U26" s="41">
        <f t="shared" ref="U26:U30" si="2">Q26/$M$36</f>
        <v>0</v>
      </c>
      <c r="V26" s="42">
        <f t="shared" ref="V26:V30" si="3">R26/$N$36</f>
        <v>0</v>
      </c>
    </row>
    <row r="27" spans="2:22">
      <c r="B27" s="11">
        <v>30</v>
      </c>
      <c r="C27" s="12"/>
      <c r="D27" s="12"/>
      <c r="E27" s="12"/>
      <c r="F27" s="12"/>
      <c r="G27" s="12">
        <v>13</v>
      </c>
      <c r="H27" s="12"/>
      <c r="I27" s="12">
        <v>8500</v>
      </c>
      <c r="J27" s="18">
        <v>10</v>
      </c>
      <c r="L27" s="11"/>
      <c r="M27" s="12">
        <v>9.6000000000000002E-2</v>
      </c>
      <c r="N27" s="18">
        <v>0.34200000000000003</v>
      </c>
      <c r="P27" s="25"/>
      <c r="Q27" s="34">
        <f t="shared" si="0"/>
        <v>19.2</v>
      </c>
      <c r="R27" s="35">
        <f t="shared" si="1"/>
        <v>68.400000000000006</v>
      </c>
      <c r="T27" s="25"/>
      <c r="U27" s="41">
        <f t="shared" si="2"/>
        <v>1.0549450549450549E-3</v>
      </c>
      <c r="V27" s="42">
        <f t="shared" si="3"/>
        <v>4.7172413793103454E-2</v>
      </c>
    </row>
    <row r="28" spans="2:22">
      <c r="B28" s="11">
        <v>60</v>
      </c>
      <c r="C28" s="12"/>
      <c r="D28" s="12"/>
      <c r="E28" s="12"/>
      <c r="F28" s="12"/>
      <c r="G28" s="12">
        <v>13</v>
      </c>
      <c r="H28" s="12"/>
      <c r="I28" s="12">
        <v>6500</v>
      </c>
      <c r="J28" s="18">
        <v>10</v>
      </c>
      <c r="L28" s="11"/>
      <c r="M28" s="12">
        <v>7.8449999999999998</v>
      </c>
      <c r="N28" s="18">
        <v>0.872</v>
      </c>
      <c r="P28" s="25"/>
      <c r="Q28" s="34">
        <f t="shared" si="0"/>
        <v>1569</v>
      </c>
      <c r="R28" s="35">
        <f t="shared" si="1"/>
        <v>174.4</v>
      </c>
      <c r="T28" s="25"/>
      <c r="U28" s="41">
        <f t="shared" si="2"/>
        <v>8.6208791208791213E-2</v>
      </c>
      <c r="V28" s="42">
        <f t="shared" si="3"/>
        <v>0.12027586206896553</v>
      </c>
    </row>
    <row r="29" spans="2:22">
      <c r="B29" s="11">
        <v>90</v>
      </c>
      <c r="C29" s="12"/>
      <c r="D29" s="12"/>
      <c r="E29" s="12"/>
      <c r="F29" s="12"/>
      <c r="G29" s="12">
        <v>13</v>
      </c>
      <c r="H29" s="12"/>
      <c r="I29" s="12">
        <v>5000</v>
      </c>
      <c r="J29" s="18">
        <v>10</v>
      </c>
      <c r="L29" s="11"/>
      <c r="M29" s="12">
        <v>6.25</v>
      </c>
      <c r="N29" s="18">
        <v>1.0489999999999999</v>
      </c>
      <c r="P29" s="25"/>
      <c r="Q29" s="34">
        <f t="shared" si="0"/>
        <v>1250</v>
      </c>
      <c r="R29" s="35">
        <f t="shared" si="1"/>
        <v>209.79999999999998</v>
      </c>
      <c r="T29" s="25"/>
      <c r="U29" s="41">
        <f t="shared" si="2"/>
        <v>6.8681318681318687E-2</v>
      </c>
      <c r="V29" s="42">
        <f t="shared" si="3"/>
        <v>0.14468965517241378</v>
      </c>
    </row>
    <row r="30" spans="2:22">
      <c r="B30" s="11">
        <v>120</v>
      </c>
      <c r="C30" s="12"/>
      <c r="D30" s="12"/>
      <c r="E30" s="12"/>
      <c r="F30" s="12"/>
      <c r="G30" s="12">
        <v>13</v>
      </c>
      <c r="H30" s="12"/>
      <c r="I30" s="12">
        <v>4500</v>
      </c>
      <c r="J30" s="18">
        <v>10</v>
      </c>
      <c r="L30" s="19"/>
      <c r="M30" s="26">
        <v>2.4740000000000002</v>
      </c>
      <c r="N30" s="27">
        <v>1.236</v>
      </c>
      <c r="P30" s="13"/>
      <c r="Q30" s="14">
        <f t="shared" si="0"/>
        <v>494.80000000000007</v>
      </c>
      <c r="R30" s="20">
        <f t="shared" si="1"/>
        <v>247.2</v>
      </c>
      <c r="T30" s="13"/>
      <c r="U30" s="43">
        <f t="shared" si="2"/>
        <v>2.7186813186813191E-2</v>
      </c>
      <c r="V30" s="44">
        <f t="shared" si="3"/>
        <v>0.17048275862068965</v>
      </c>
    </row>
    <row r="31" spans="2:22">
      <c r="B31" s="13"/>
      <c r="C31" s="14"/>
      <c r="D31" s="14"/>
      <c r="E31" s="14"/>
      <c r="F31" s="14"/>
      <c r="G31" s="14"/>
      <c r="H31" s="14"/>
      <c r="I31" s="14"/>
      <c r="J31" s="20"/>
    </row>
    <row r="34" spans="12:18">
      <c r="L34" s="449" t="s">
        <v>348</v>
      </c>
      <c r="M34" s="450"/>
      <c r="N34" s="451"/>
      <c r="P34" s="452" t="s">
        <v>349</v>
      </c>
      <c r="Q34" s="453"/>
      <c r="R34" s="454"/>
    </row>
    <row r="35" spans="12:18">
      <c r="L35" s="21" t="s">
        <v>126</v>
      </c>
      <c r="M35" s="28" t="s">
        <v>127</v>
      </c>
      <c r="N35" s="29" t="s">
        <v>128</v>
      </c>
      <c r="P35" s="30" t="s">
        <v>126</v>
      </c>
      <c r="Q35" s="36" t="s">
        <v>127</v>
      </c>
      <c r="R35" s="37" t="s">
        <v>128</v>
      </c>
    </row>
    <row r="36" spans="12:18">
      <c r="L36" s="457">
        <f>$E$26*P36</f>
        <v>33450</v>
      </c>
      <c r="M36" s="459">
        <f>$E$26*Q36</f>
        <v>18200</v>
      </c>
      <c r="N36" s="461">
        <f>$E$26*R36</f>
        <v>1450</v>
      </c>
      <c r="P36" s="463">
        <v>669</v>
      </c>
      <c r="Q36" s="465">
        <v>364</v>
      </c>
      <c r="R36" s="467">
        <v>29</v>
      </c>
    </row>
    <row r="37" spans="12:18">
      <c r="L37" s="458"/>
      <c r="M37" s="460"/>
      <c r="N37" s="462"/>
      <c r="P37" s="464"/>
      <c r="Q37" s="466"/>
      <c r="R37" s="468"/>
    </row>
  </sheetData>
  <mergeCells count="22">
    <mergeCell ref="B3:G3"/>
    <mergeCell ref="D5:G5"/>
    <mergeCell ref="D6:G6"/>
    <mergeCell ref="D7:G7"/>
    <mergeCell ref="D8:G8"/>
    <mergeCell ref="B12:D12"/>
    <mergeCell ref="B23:J23"/>
    <mergeCell ref="C24:E24"/>
    <mergeCell ref="F24:G24"/>
    <mergeCell ref="H24:I24"/>
    <mergeCell ref="T23:V24"/>
    <mergeCell ref="L34:N34"/>
    <mergeCell ref="P34:R34"/>
    <mergeCell ref="B24:B25"/>
    <mergeCell ref="L36:L37"/>
    <mergeCell ref="M36:M37"/>
    <mergeCell ref="N36:N37"/>
    <mergeCell ref="P36:P37"/>
    <mergeCell ref="Q36:Q37"/>
    <mergeCell ref="R36:R37"/>
    <mergeCell ref="L23:N24"/>
    <mergeCell ref="P23:R24"/>
  </mergeCells>
  <pageMargins left="0.75" right="0.75" top="1" bottom="1" header="0.5" footer="0.5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76A5AF-7F23-43FA-83E3-A9173B4D5CE2}">
  <sheetPr>
    <tabColor theme="9" tint="0.59999389629810485"/>
  </sheetPr>
  <dimension ref="B1:BE50"/>
  <sheetViews>
    <sheetView zoomScale="70" zoomScaleNormal="70" workbookViewId="0">
      <selection activeCell="D18" sqref="D18"/>
    </sheetView>
  </sheetViews>
  <sheetFormatPr defaultColWidth="10" defaultRowHeight="16.2" customHeight="1"/>
  <cols>
    <col min="1" max="1" width="10" style="45"/>
    <col min="2" max="2" width="23.8984375" style="45" customWidth="1"/>
    <col min="3" max="3" width="2.3984375" style="45" customWidth="1"/>
    <col min="4" max="4" width="19.5" style="45" customWidth="1"/>
    <col min="5" max="5" width="10" style="45"/>
    <col min="6" max="6" width="16.69921875" style="45" customWidth="1"/>
    <col min="7" max="8" width="11.09765625" style="45" customWidth="1"/>
    <col min="9" max="19" width="10" style="45"/>
    <col min="20" max="20" width="26.296875" style="45" customWidth="1"/>
    <col min="21" max="16384" width="10" style="45"/>
  </cols>
  <sheetData>
    <row r="1" spans="2:28" ht="16.2" customHeight="1" thickBot="1"/>
    <row r="2" spans="2:28" ht="15" thickTop="1" thickBot="1">
      <c r="B2" s="356" t="s">
        <v>116</v>
      </c>
      <c r="C2" s="356"/>
      <c r="D2" s="356"/>
      <c r="E2" s="356"/>
      <c r="F2" s="356"/>
    </row>
    <row r="3" spans="2:28" ht="15" thickTop="1" thickBot="1">
      <c r="S3" s="357" t="s">
        <v>117</v>
      </c>
      <c r="T3" s="103" t="s">
        <v>118</v>
      </c>
      <c r="U3" s="358" t="s">
        <v>119</v>
      </c>
      <c r="V3" s="358"/>
      <c r="W3" s="358"/>
      <c r="X3" s="358"/>
      <c r="Y3" s="359" t="s">
        <v>120</v>
      </c>
      <c r="Z3" s="359"/>
      <c r="AA3" s="359"/>
      <c r="AB3" s="359"/>
    </row>
    <row r="4" spans="2:28" ht="15" thickTop="1" thickBot="1">
      <c r="B4" s="46" t="s">
        <v>121</v>
      </c>
      <c r="C4" s="47" t="s">
        <v>122</v>
      </c>
      <c r="D4" s="48" t="s">
        <v>351</v>
      </c>
      <c r="E4" s="48"/>
      <c r="F4" s="48"/>
      <c r="G4" s="48"/>
      <c r="H4" s="48"/>
      <c r="I4" s="87"/>
      <c r="S4" s="357"/>
      <c r="T4" s="360" t="s">
        <v>124</v>
      </c>
      <c r="U4" s="104" t="s">
        <v>125</v>
      </c>
      <c r="V4" s="104" t="s">
        <v>126</v>
      </c>
      <c r="W4" s="104" t="s">
        <v>127</v>
      </c>
      <c r="X4" s="104" t="s">
        <v>128</v>
      </c>
      <c r="Y4" s="104" t="s">
        <v>125</v>
      </c>
      <c r="Z4" s="104" t="s">
        <v>126</v>
      </c>
      <c r="AA4" s="104" t="s">
        <v>127</v>
      </c>
      <c r="AB4" s="122" t="s">
        <v>128</v>
      </c>
    </row>
    <row r="5" spans="2:28" ht="14.4" thickTop="1">
      <c r="B5" s="49" t="s">
        <v>129</v>
      </c>
      <c r="C5" s="50" t="s">
        <v>122</v>
      </c>
      <c r="D5" s="45" t="s">
        <v>352</v>
      </c>
      <c r="I5" s="88"/>
      <c r="S5" s="357"/>
      <c r="T5" s="360"/>
      <c r="U5" s="104" t="s">
        <v>131</v>
      </c>
      <c r="V5" s="104" t="s">
        <v>106</v>
      </c>
      <c r="W5" s="104" t="s">
        <v>106</v>
      </c>
      <c r="X5" s="104" t="s">
        <v>106</v>
      </c>
      <c r="Y5" s="104" t="s">
        <v>131</v>
      </c>
      <c r="Z5" s="104" t="s">
        <v>106</v>
      </c>
      <c r="AA5" s="104" t="s">
        <v>106</v>
      </c>
      <c r="AB5" s="122" t="s">
        <v>106</v>
      </c>
    </row>
    <row r="6" spans="2:28" ht="13.8">
      <c r="B6" s="49" t="s">
        <v>132</v>
      </c>
      <c r="C6" s="50" t="s">
        <v>122</v>
      </c>
      <c r="D6" s="51">
        <v>46254</v>
      </c>
      <c r="I6" s="88"/>
      <c r="S6" s="105">
        <v>1</v>
      </c>
      <c r="T6" s="34" t="s">
        <v>134</v>
      </c>
      <c r="U6" s="112"/>
      <c r="V6" s="34"/>
      <c r="W6" s="34"/>
      <c r="X6" s="34"/>
      <c r="Y6" s="34"/>
      <c r="Z6" s="34"/>
      <c r="AA6" s="34"/>
      <c r="AB6" s="120"/>
    </row>
    <row r="7" spans="2:28" ht="14.4" thickBot="1">
      <c r="B7" s="52" t="s">
        <v>135</v>
      </c>
      <c r="C7" s="53" t="s">
        <v>122</v>
      </c>
      <c r="D7" s="54" t="s">
        <v>353</v>
      </c>
      <c r="E7" s="54"/>
      <c r="F7" s="54"/>
      <c r="G7" s="54"/>
      <c r="H7" s="54"/>
      <c r="I7" s="89"/>
      <c r="S7" s="105">
        <v>2</v>
      </c>
      <c r="T7" s="34" t="s">
        <v>137</v>
      </c>
      <c r="U7" s="34"/>
      <c r="V7" s="112"/>
      <c r="W7" s="112"/>
      <c r="X7" s="34"/>
      <c r="Y7" s="34"/>
      <c r="Z7" s="34"/>
      <c r="AA7" s="34"/>
      <c r="AB7" s="120"/>
    </row>
    <row r="8" spans="2:28" ht="14.4" thickBot="1">
      <c r="S8" s="105">
        <v>3</v>
      </c>
      <c r="T8" s="34" t="s">
        <v>138</v>
      </c>
      <c r="U8" s="34"/>
      <c r="V8" s="112"/>
      <c r="W8" s="34"/>
      <c r="X8" s="34"/>
      <c r="Y8" s="34"/>
      <c r="Z8" s="34"/>
      <c r="AA8" s="34"/>
      <c r="AB8" s="120"/>
    </row>
    <row r="9" spans="2:28" ht="15" thickTop="1" thickBot="1">
      <c r="B9" s="361" t="s">
        <v>139</v>
      </c>
      <c r="C9" s="361"/>
      <c r="D9" s="361"/>
      <c r="F9" s="362" t="s">
        <v>140</v>
      </c>
      <c r="G9" s="362"/>
      <c r="H9" s="362"/>
      <c r="I9" s="362"/>
      <c r="K9" s="363" t="s">
        <v>141</v>
      </c>
      <c r="L9" s="363"/>
      <c r="M9" s="363"/>
      <c r="S9" s="105">
        <v>4</v>
      </c>
      <c r="T9" s="106" t="s">
        <v>142</v>
      </c>
      <c r="U9" s="112"/>
      <c r="V9" s="34"/>
      <c r="W9" s="34"/>
      <c r="X9" s="34"/>
      <c r="Y9" s="34"/>
      <c r="Z9" s="34"/>
      <c r="AA9" s="34"/>
      <c r="AB9" s="120"/>
    </row>
    <row r="10" spans="2:28" ht="14.4" thickTop="1">
      <c r="B10" s="55" t="s">
        <v>108</v>
      </c>
      <c r="C10" s="50" t="s">
        <v>122</v>
      </c>
      <c r="D10" s="56" t="s">
        <v>143</v>
      </c>
      <c r="F10" s="69"/>
      <c r="G10" s="70" t="s">
        <v>126</v>
      </c>
      <c r="H10" s="70" t="s">
        <v>127</v>
      </c>
      <c r="I10" s="90" t="s">
        <v>128</v>
      </c>
      <c r="K10" s="62" t="s">
        <v>144</v>
      </c>
      <c r="L10" s="91">
        <f>(F38/1012)*1000</f>
        <v>5342.885375494071</v>
      </c>
      <c r="M10" s="100" t="s">
        <v>145</v>
      </c>
      <c r="S10" s="105">
        <v>5</v>
      </c>
      <c r="T10" s="34" t="s">
        <v>146</v>
      </c>
      <c r="U10" s="112"/>
      <c r="V10" s="34"/>
      <c r="W10" s="113"/>
      <c r="X10" s="34"/>
      <c r="Y10" s="34"/>
      <c r="Z10" s="34"/>
      <c r="AA10" s="34"/>
      <c r="AB10" s="120"/>
    </row>
    <row r="11" spans="2:28" ht="13.8">
      <c r="B11" s="55" t="s">
        <v>147</v>
      </c>
      <c r="C11" s="50" t="s">
        <v>122</v>
      </c>
      <c r="D11" s="56">
        <v>1000</v>
      </c>
      <c r="F11" s="71" t="s">
        <v>148</v>
      </c>
      <c r="G11" s="72" t="e">
        <f t="shared" ref="G11:I11" si="0">AVERAGE(V6:V8)</f>
        <v>#DIV/0!</v>
      </c>
      <c r="H11" s="72" t="e">
        <f t="shared" si="0"/>
        <v>#DIV/0!</v>
      </c>
      <c r="I11" s="92" t="e">
        <f t="shared" si="0"/>
        <v>#DIV/0!</v>
      </c>
      <c r="K11" s="62" t="s">
        <v>149</v>
      </c>
      <c r="L11" s="91">
        <f>((E38-(($J37*1518)/10000000))/1012)*1000</f>
        <v>1.5019762845849802</v>
      </c>
      <c r="M11" s="100" t="s">
        <v>145</v>
      </c>
      <c r="S11" s="105">
        <v>6</v>
      </c>
      <c r="T11" s="34" t="s">
        <v>150</v>
      </c>
      <c r="U11" s="34"/>
      <c r="V11" s="34"/>
      <c r="W11" s="34"/>
      <c r="X11" s="112"/>
      <c r="Y11" s="34"/>
      <c r="Z11" s="34"/>
      <c r="AA11" s="34"/>
      <c r="AB11" s="120"/>
    </row>
    <row r="12" spans="2:28" ht="14.4" thickBot="1">
      <c r="B12" s="55" t="s">
        <v>151</v>
      </c>
      <c r="C12" s="50" t="s">
        <v>122</v>
      </c>
      <c r="D12" s="57">
        <v>0.4</v>
      </c>
      <c r="F12" s="73" t="s">
        <v>152</v>
      </c>
      <c r="G12" s="74" t="e">
        <f>AVERAGE(V10:V12)</f>
        <v>#DIV/0!</v>
      </c>
      <c r="H12" s="74" t="e">
        <f>AVERAGE(W10:W13)</f>
        <v>#DIV/0!</v>
      </c>
      <c r="I12" s="93" t="e">
        <f>AVERAGE(X10:X13)</f>
        <v>#DIV/0!</v>
      </c>
      <c r="K12" s="94" t="s">
        <v>153</v>
      </c>
      <c r="L12" s="81"/>
      <c r="M12" s="101"/>
      <c r="S12" s="107">
        <v>7</v>
      </c>
      <c r="T12" s="34" t="s">
        <v>154</v>
      </c>
      <c r="U12" s="114"/>
      <c r="V12" s="114"/>
      <c r="W12" s="114"/>
      <c r="X12" s="114"/>
      <c r="Y12" s="114"/>
      <c r="Z12" s="114"/>
      <c r="AA12" s="114"/>
      <c r="AB12" s="123"/>
    </row>
    <row r="13" spans="2:28" ht="15" thickTop="1" thickBot="1">
      <c r="B13" s="55" t="s">
        <v>155</v>
      </c>
      <c r="C13" s="50" t="s">
        <v>122</v>
      </c>
      <c r="D13" s="57">
        <v>0.6</v>
      </c>
      <c r="S13" s="105">
        <v>8</v>
      </c>
      <c r="T13" s="34" t="s">
        <v>156</v>
      </c>
      <c r="U13" s="34"/>
      <c r="V13" s="112"/>
      <c r="W13" s="113"/>
      <c r="X13" s="34"/>
      <c r="Y13" s="34"/>
      <c r="Z13" s="34"/>
      <c r="AA13" s="34"/>
      <c r="AB13" s="120"/>
    </row>
    <row r="14" spans="2:28" ht="14.4" thickTop="1">
      <c r="B14" s="55" t="s">
        <v>157</v>
      </c>
      <c r="C14" s="50" t="s">
        <v>122</v>
      </c>
      <c r="D14" s="56" t="s">
        <v>158</v>
      </c>
      <c r="F14" s="75" t="s">
        <v>159</v>
      </c>
      <c r="G14" s="76" t="e">
        <f>G12*D20</f>
        <v>#DIV/0!</v>
      </c>
      <c r="H14" s="76"/>
      <c r="I14" s="95"/>
      <c r="S14" s="105">
        <v>9</v>
      </c>
      <c r="T14" s="34" t="s">
        <v>160</v>
      </c>
      <c r="U14" s="34"/>
      <c r="V14" s="34"/>
      <c r="W14" s="34"/>
      <c r="X14" s="34"/>
      <c r="Y14" s="34"/>
      <c r="Z14" s="34"/>
      <c r="AA14" s="34"/>
      <c r="AB14" s="120"/>
    </row>
    <row r="15" spans="2:28" ht="16.2" customHeight="1" thickBot="1">
      <c r="B15" s="55" t="s">
        <v>161</v>
      </c>
      <c r="C15" s="50" t="s">
        <v>122</v>
      </c>
      <c r="D15" s="56">
        <v>2.1</v>
      </c>
      <c r="F15" s="351" t="s">
        <v>162</v>
      </c>
      <c r="G15" s="77" t="e">
        <f>G14+D50</f>
        <v>#DIV/0!</v>
      </c>
      <c r="H15" s="77"/>
      <c r="I15" s="96"/>
      <c r="S15" s="105">
        <v>10</v>
      </c>
      <c r="T15" s="34" t="s">
        <v>163</v>
      </c>
      <c r="U15" s="34"/>
      <c r="V15" s="34"/>
      <c r="W15" s="34"/>
      <c r="X15" s="34"/>
      <c r="Y15" s="34"/>
      <c r="Z15" s="34"/>
      <c r="AA15" s="34"/>
      <c r="AB15" s="120"/>
    </row>
    <row r="16" spans="2:28" ht="15" thickTop="1" thickBot="1">
      <c r="B16" s="55" t="s">
        <v>164</v>
      </c>
      <c r="C16" s="50" t="s">
        <v>122</v>
      </c>
      <c r="D16" s="56">
        <v>1.27</v>
      </c>
      <c r="F16" s="351"/>
      <c r="G16" s="78"/>
      <c r="H16" s="78"/>
      <c r="I16" s="97"/>
      <c r="J16" s="45" t="e">
        <f>G15/D23</f>
        <v>#DIV/0!</v>
      </c>
      <c r="S16" s="105">
        <v>11</v>
      </c>
      <c r="T16" s="34" t="s">
        <v>165</v>
      </c>
      <c r="U16" s="34"/>
      <c r="V16" s="34"/>
      <c r="W16" s="34"/>
      <c r="X16" s="34"/>
      <c r="Y16" s="34"/>
      <c r="Z16" s="34"/>
      <c r="AA16" s="34"/>
      <c r="AB16" s="120"/>
    </row>
    <row r="17" spans="2:57" ht="15" thickTop="1" thickBot="1">
      <c r="B17" s="55" t="s">
        <v>166</v>
      </c>
      <c r="C17" s="50" t="s">
        <v>122</v>
      </c>
      <c r="D17" s="56">
        <v>2</v>
      </c>
      <c r="S17" s="105">
        <v>12</v>
      </c>
      <c r="T17" s="34" t="s">
        <v>167</v>
      </c>
      <c r="Z17" s="124"/>
      <c r="AA17" s="114"/>
      <c r="AB17" s="123"/>
    </row>
    <row r="18" spans="2:57" ht="14.4" thickTop="1">
      <c r="B18" s="55" t="s">
        <v>168</v>
      </c>
      <c r="C18" s="50" t="s">
        <v>122</v>
      </c>
      <c r="D18" s="56">
        <v>12</v>
      </c>
      <c r="F18" s="75" t="s">
        <v>169</v>
      </c>
      <c r="G18" s="76"/>
      <c r="H18" s="76"/>
      <c r="I18" s="95"/>
      <c r="O18" s="45">
        <v>4</v>
      </c>
      <c r="S18" s="105">
        <v>13</v>
      </c>
      <c r="T18" s="34" t="s">
        <v>170</v>
      </c>
      <c r="U18" s="34"/>
      <c r="V18" s="34"/>
      <c r="W18" s="34"/>
      <c r="X18" s="34"/>
      <c r="Y18" s="34"/>
      <c r="Z18" s="145"/>
      <c r="AA18" s="124"/>
      <c r="AB18" s="125"/>
    </row>
    <row r="19" spans="2:57" ht="16.2" customHeight="1" thickBot="1">
      <c r="B19" s="55" t="s">
        <v>171</v>
      </c>
      <c r="C19" s="50" t="s">
        <v>122</v>
      </c>
      <c r="D19" s="58">
        <v>1290</v>
      </c>
      <c r="F19" s="351" t="s">
        <v>172</v>
      </c>
      <c r="G19" s="77"/>
      <c r="H19" s="77"/>
      <c r="I19" s="96"/>
      <c r="S19" s="108">
        <v>14</v>
      </c>
      <c r="T19" s="109" t="s">
        <v>173</v>
      </c>
      <c r="U19" s="109"/>
      <c r="V19" s="109"/>
      <c r="W19" s="109"/>
      <c r="X19" s="109"/>
      <c r="Y19" s="109"/>
      <c r="Z19" s="146"/>
      <c r="AA19" s="126"/>
      <c r="AB19" s="127"/>
    </row>
    <row r="20" spans="2:57" ht="15" thickTop="1" thickBot="1">
      <c r="B20" s="55" t="s">
        <v>174</v>
      </c>
      <c r="C20" s="50" t="s">
        <v>122</v>
      </c>
      <c r="D20" s="56">
        <v>1012</v>
      </c>
      <c r="F20" s="351"/>
      <c r="G20" s="78"/>
      <c r="H20" s="78"/>
      <c r="I20" s="97"/>
    </row>
    <row r="21" spans="2:57" ht="14.4" thickTop="1">
      <c r="B21" s="55" t="s">
        <v>175</v>
      </c>
      <c r="C21" s="50" t="s">
        <v>122</v>
      </c>
      <c r="D21" s="56">
        <v>1518</v>
      </c>
    </row>
    <row r="22" spans="2:57" ht="13.8">
      <c r="B22" s="55" t="s">
        <v>176</v>
      </c>
      <c r="C22" s="50" t="s">
        <v>122</v>
      </c>
      <c r="D22" s="56">
        <v>2000</v>
      </c>
    </row>
    <row r="23" spans="2:57" ht="14.4" thickBot="1">
      <c r="B23" s="59" t="s">
        <v>177</v>
      </c>
      <c r="C23" s="60" t="s">
        <v>122</v>
      </c>
      <c r="D23" s="61">
        <v>1012</v>
      </c>
    </row>
    <row r="24" spans="2:57" ht="14.4" thickTop="1">
      <c r="B24" s="50"/>
      <c r="C24" s="50"/>
      <c r="D24" s="50"/>
    </row>
    <row r="27" spans="2:57" ht="14.4" thickTop="1">
      <c r="D27" s="352" t="s">
        <v>178</v>
      </c>
      <c r="E27" s="352"/>
      <c r="F27" s="352"/>
      <c r="G27" s="352"/>
      <c r="H27" s="352"/>
      <c r="I27" s="352"/>
      <c r="J27" s="352"/>
      <c r="K27" s="352"/>
      <c r="L27" s="352"/>
      <c r="M27" s="352"/>
      <c r="N27" s="352"/>
      <c r="O27" s="352"/>
      <c r="P27" s="352"/>
      <c r="Q27" s="352"/>
      <c r="R27" s="352"/>
      <c r="T27" s="353" t="s">
        <v>179</v>
      </c>
      <c r="U27" s="353"/>
      <c r="V27" s="353"/>
      <c r="X27" s="354" t="s">
        <v>180</v>
      </c>
      <c r="Y27" s="354"/>
      <c r="Z27" s="354"/>
      <c r="AA27"/>
      <c r="AB27" s="355" t="s">
        <v>181</v>
      </c>
      <c r="AC27" s="355"/>
      <c r="AD27" s="355"/>
      <c r="AE27" s="355"/>
      <c r="AF27" s="355"/>
      <c r="AG27" s="355"/>
      <c r="AH27" s="355"/>
      <c r="AI27" s="355"/>
      <c r="AJ27" s="355"/>
      <c r="AK27"/>
      <c r="AL27" s="346" t="s">
        <v>182</v>
      </c>
      <c r="AM27" s="346"/>
      <c r="AN27" s="346"/>
      <c r="AO27" s="346"/>
      <c r="AP27" s="346"/>
      <c r="AQ27" s="346"/>
      <c r="AS27" s="347" t="s">
        <v>183</v>
      </c>
      <c r="AT27" s="347"/>
      <c r="AU27" s="347"/>
      <c r="AV27" s="347"/>
      <c r="AW27" s="347"/>
      <c r="AX27" s="347"/>
      <c r="AZ27" s="348" t="s">
        <v>184</v>
      </c>
      <c r="BA27" s="348"/>
      <c r="BB27" s="348"/>
      <c r="BC27" s="348"/>
      <c r="BD27" s="348"/>
      <c r="BE27" s="348"/>
    </row>
    <row r="28" spans="2:57" ht="13.8">
      <c r="D28" s="349" t="s">
        <v>185</v>
      </c>
      <c r="E28" s="350" t="s">
        <v>186</v>
      </c>
      <c r="F28" s="350"/>
      <c r="G28" s="350"/>
      <c r="H28" s="350" t="s">
        <v>187</v>
      </c>
      <c r="I28" s="350" t="s">
        <v>188</v>
      </c>
      <c r="J28" s="350"/>
      <c r="K28" s="350" t="s">
        <v>108</v>
      </c>
      <c r="L28" s="350"/>
      <c r="M28" s="350" t="s">
        <v>189</v>
      </c>
      <c r="N28" s="350"/>
      <c r="O28" s="350" t="s">
        <v>190</v>
      </c>
      <c r="P28" s="350"/>
      <c r="Q28" s="340" t="s">
        <v>191</v>
      </c>
      <c r="R28" s="340"/>
      <c r="T28" s="110" t="s">
        <v>192</v>
      </c>
      <c r="U28" s="115" t="s">
        <v>193</v>
      </c>
      <c r="V28" s="116" t="s">
        <v>194</v>
      </c>
      <c r="X28" s="117" t="s">
        <v>192</v>
      </c>
      <c r="Y28" s="128" t="s">
        <v>193</v>
      </c>
      <c r="Z28" s="129" t="s">
        <v>194</v>
      </c>
      <c r="AA28"/>
      <c r="AB28" s="341" t="s">
        <v>126</v>
      </c>
      <c r="AC28" s="341"/>
      <c r="AD28" s="341"/>
      <c r="AE28" s="342" t="s">
        <v>127</v>
      </c>
      <c r="AF28" s="342"/>
      <c r="AG28" s="342"/>
      <c r="AH28" s="343" t="s">
        <v>128</v>
      </c>
      <c r="AI28" s="343"/>
      <c r="AJ28" s="343"/>
      <c r="AK28"/>
      <c r="AL28" s="344" t="s">
        <v>195</v>
      </c>
      <c r="AM28" s="344"/>
      <c r="AN28" s="345" t="s">
        <v>196</v>
      </c>
      <c r="AO28" s="345"/>
      <c r="AP28" s="334" t="s">
        <v>197</v>
      </c>
      <c r="AQ28" s="334"/>
      <c r="AS28" s="335" t="s">
        <v>195</v>
      </c>
      <c r="AT28" s="335"/>
      <c r="AU28" s="336" t="s">
        <v>196</v>
      </c>
      <c r="AV28" s="336"/>
      <c r="AW28" s="337" t="s">
        <v>197</v>
      </c>
      <c r="AX28" s="337"/>
      <c r="AZ28" s="338" t="s">
        <v>195</v>
      </c>
      <c r="BA28" s="338"/>
      <c r="BB28" s="339" t="s">
        <v>196</v>
      </c>
      <c r="BC28" s="339"/>
      <c r="BD28" s="331" t="s">
        <v>197</v>
      </c>
      <c r="BE28" s="331"/>
    </row>
    <row r="29" spans="2:57" ht="13.8">
      <c r="D29" s="349"/>
      <c r="E29" s="350"/>
      <c r="F29" s="350"/>
      <c r="G29" s="350"/>
      <c r="H29" s="350"/>
      <c r="I29" s="350"/>
      <c r="J29" s="350"/>
      <c r="K29" s="350"/>
      <c r="L29" s="350"/>
      <c r="M29" s="350"/>
      <c r="N29" s="350"/>
      <c r="O29" s="350"/>
      <c r="P29" s="350"/>
      <c r="Q29" s="340"/>
      <c r="R29" s="340"/>
      <c r="T29" s="110"/>
      <c r="U29" s="115"/>
      <c r="V29" s="116"/>
      <c r="X29" s="117"/>
      <c r="Y29" s="128"/>
      <c r="Z29" s="129"/>
      <c r="AA29"/>
      <c r="AB29" s="130" t="s">
        <v>192</v>
      </c>
      <c r="AC29" s="132" t="s">
        <v>193</v>
      </c>
      <c r="AD29" s="132" t="s">
        <v>194</v>
      </c>
      <c r="AE29" s="132" t="s">
        <v>192</v>
      </c>
      <c r="AF29" s="132" t="s">
        <v>198</v>
      </c>
      <c r="AG29" s="132" t="s">
        <v>194</v>
      </c>
      <c r="AH29" s="132" t="s">
        <v>192</v>
      </c>
      <c r="AI29" s="132" t="s">
        <v>193</v>
      </c>
      <c r="AJ29" s="133" t="s">
        <v>194</v>
      </c>
      <c r="AK29"/>
      <c r="AL29" s="134" t="s">
        <v>199</v>
      </c>
      <c r="AM29" s="135" t="s">
        <v>200</v>
      </c>
      <c r="AN29" s="135" t="s">
        <v>199</v>
      </c>
      <c r="AO29" s="135" t="s">
        <v>201</v>
      </c>
      <c r="AP29" s="135" t="s">
        <v>199</v>
      </c>
      <c r="AQ29" s="137" t="s">
        <v>201</v>
      </c>
      <c r="AS29" s="138" t="s">
        <v>199</v>
      </c>
      <c r="AT29" s="139" t="s">
        <v>200</v>
      </c>
      <c r="AU29" s="139" t="s">
        <v>199</v>
      </c>
      <c r="AV29" s="139" t="s">
        <v>201</v>
      </c>
      <c r="AW29" s="139" t="s">
        <v>199</v>
      </c>
      <c r="AX29" s="140" t="s">
        <v>201</v>
      </c>
      <c r="AZ29" s="141" t="s">
        <v>199</v>
      </c>
      <c r="BA29" s="142" t="s">
        <v>200</v>
      </c>
      <c r="BB29" s="142" t="s">
        <v>199</v>
      </c>
      <c r="BC29" s="142" t="s">
        <v>201</v>
      </c>
      <c r="BD29" s="142" t="s">
        <v>199</v>
      </c>
      <c r="BE29" s="143" t="s">
        <v>201</v>
      </c>
    </row>
    <row r="30" spans="2:57" ht="13.8">
      <c r="C30" s="50"/>
      <c r="D30" s="62" t="s">
        <v>202</v>
      </c>
      <c r="E30" s="79" t="s">
        <v>203</v>
      </c>
      <c r="F30" s="79" t="s">
        <v>204</v>
      </c>
      <c r="G30" s="79" t="s">
        <v>205</v>
      </c>
      <c r="H30" s="79" t="s">
        <v>106</v>
      </c>
      <c r="I30" s="79" t="s">
        <v>206</v>
      </c>
      <c r="J30" s="79" t="s">
        <v>207</v>
      </c>
      <c r="K30" s="79" t="s">
        <v>206</v>
      </c>
      <c r="L30" s="79" t="s">
        <v>207</v>
      </c>
      <c r="M30" s="79" t="s">
        <v>206</v>
      </c>
      <c r="N30" s="79" t="s">
        <v>207</v>
      </c>
      <c r="O30" s="332" t="s">
        <v>208</v>
      </c>
      <c r="P30" s="332"/>
      <c r="Q30" s="333" t="s">
        <v>208</v>
      </c>
      <c r="R30" s="333"/>
      <c r="T30" s="111" t="s">
        <v>208</v>
      </c>
      <c r="U30" s="118" t="s">
        <v>209</v>
      </c>
      <c r="V30" s="119" t="s">
        <v>209</v>
      </c>
      <c r="X30" s="111" t="s">
        <v>209</v>
      </c>
      <c r="Y30" s="118" t="s">
        <v>208</v>
      </c>
      <c r="Z30" s="119" t="s">
        <v>209</v>
      </c>
      <c r="AA30"/>
      <c r="AB30" s="105"/>
      <c r="AC30" s="34"/>
      <c r="AD30" s="34"/>
      <c r="AE30" s="34"/>
      <c r="AF30" s="34"/>
      <c r="AG30" s="34"/>
      <c r="AH30" s="34"/>
      <c r="AI30" s="34"/>
      <c r="AJ30" s="120"/>
      <c r="AK30"/>
      <c r="AL30" s="105"/>
      <c r="AM30" s="34"/>
      <c r="AN30" s="34"/>
      <c r="AO30" s="34"/>
      <c r="AP30" s="34"/>
      <c r="AQ30" s="120"/>
      <c r="AS30" s="105"/>
      <c r="AT30" s="34"/>
      <c r="AU30" s="34"/>
      <c r="AV30" s="34"/>
      <c r="AW30" s="34"/>
      <c r="AX30" s="120"/>
      <c r="AZ30" s="105"/>
      <c r="BA30" s="34"/>
      <c r="BB30" s="34"/>
      <c r="BC30" s="34"/>
      <c r="BD30" s="34"/>
      <c r="BE30" s="120"/>
    </row>
    <row r="31" spans="2:57" ht="13.8">
      <c r="D31" s="63">
        <v>0</v>
      </c>
      <c r="E31" s="80">
        <v>1.52</v>
      </c>
      <c r="F31" s="80">
        <f>953+843+810+800+800+900+301</f>
        <v>5407</v>
      </c>
      <c r="G31" s="80"/>
      <c r="H31" s="80"/>
      <c r="I31" s="80">
        <v>0</v>
      </c>
      <c r="J31" s="80"/>
      <c r="K31" s="80">
        <v>7</v>
      </c>
      <c r="L31" s="80">
        <v>11</v>
      </c>
      <c r="M31" s="102">
        <f>D19+D20+D21</f>
        <v>3820</v>
      </c>
      <c r="N31" s="80"/>
      <c r="O31" s="329">
        <v>2000</v>
      </c>
      <c r="P31" s="329"/>
      <c r="Q31" s="330">
        <v>0</v>
      </c>
      <c r="R31" s="330"/>
      <c r="T31" s="105">
        <v>1012</v>
      </c>
      <c r="U31" s="34">
        <f>M31-$D$20-$D$19</f>
        <v>1518</v>
      </c>
      <c r="V31" s="120"/>
      <c r="X31" s="105"/>
      <c r="Y31" s="34">
        <v>40</v>
      </c>
      <c r="Z31" s="120"/>
      <c r="AA31"/>
      <c r="AB31" s="105"/>
      <c r="AC31" s="34">
        <f t="shared" ref="AC31:AC36" si="1">Z14</f>
        <v>0</v>
      </c>
      <c r="AD31" s="34"/>
      <c r="AE31" s="34"/>
      <c r="AF31" s="34"/>
      <c r="AG31" s="34"/>
      <c r="AH31" s="34"/>
      <c r="AI31" s="34"/>
      <c r="AJ31" s="120"/>
      <c r="AK31"/>
      <c r="AL31" s="105"/>
      <c r="AM31" s="136">
        <f t="shared" ref="AM31:AM37" si="2">AC31*U32</f>
        <v>0</v>
      </c>
      <c r="AN31" s="34"/>
      <c r="AO31" s="34">
        <f t="shared" ref="AO31:AO37" si="3">Y31*AC31</f>
        <v>0</v>
      </c>
      <c r="AP31" s="34"/>
      <c r="AQ31" s="120"/>
      <c r="AS31" s="105"/>
      <c r="AT31" s="34"/>
      <c r="AU31" s="34"/>
      <c r="AV31" s="34"/>
      <c r="AW31" s="34"/>
      <c r="AX31" s="120"/>
      <c r="AZ31" s="105"/>
      <c r="BA31" s="34"/>
      <c r="BB31" s="34"/>
      <c r="BC31" s="34"/>
      <c r="BD31" s="34"/>
      <c r="BE31" s="120"/>
    </row>
    <row r="32" spans="2:57" ht="13.8">
      <c r="C32" s="45">
        <v>4</v>
      </c>
      <c r="D32" s="63">
        <v>2</v>
      </c>
      <c r="E32" s="80"/>
      <c r="F32" s="80"/>
      <c r="G32" s="80"/>
      <c r="H32" s="80"/>
      <c r="I32" s="80"/>
      <c r="J32" s="80"/>
      <c r="K32" s="80"/>
      <c r="L32" s="80"/>
      <c r="M32" s="80"/>
      <c r="N32" s="80"/>
      <c r="O32" s="329">
        <v>2000</v>
      </c>
      <c r="P32" s="329"/>
      <c r="Q32" s="330">
        <v>40</v>
      </c>
      <c r="R32" s="330"/>
      <c r="T32" s="105"/>
      <c r="U32" s="34">
        <f t="shared" ref="U32:U34" si="4">M32-$D$20-$D$19-Q32</f>
        <v>-2342</v>
      </c>
      <c r="V32" s="120"/>
      <c r="X32" s="105"/>
      <c r="Y32" s="34">
        <v>40</v>
      </c>
      <c r="Z32" s="120"/>
      <c r="AA32"/>
      <c r="AB32" s="105"/>
      <c r="AC32" s="34">
        <f t="shared" si="1"/>
        <v>0</v>
      </c>
      <c r="AD32" s="34"/>
      <c r="AE32" s="34"/>
      <c r="AF32" s="34"/>
      <c r="AG32" s="34"/>
      <c r="AH32" s="34"/>
      <c r="AI32" s="34"/>
      <c r="AJ32" s="120"/>
      <c r="AK32"/>
      <c r="AL32" s="105"/>
      <c r="AM32" s="136">
        <f t="shared" si="2"/>
        <v>0</v>
      </c>
      <c r="AN32" s="34"/>
      <c r="AO32" s="34">
        <f t="shared" si="3"/>
        <v>0</v>
      </c>
      <c r="AP32" s="34"/>
      <c r="AQ32" s="120"/>
      <c r="AS32" s="105"/>
      <c r="AT32" s="34"/>
      <c r="AU32" s="34"/>
      <c r="AV32" s="34"/>
      <c r="AW32" s="34"/>
      <c r="AX32" s="120"/>
      <c r="AZ32" s="105"/>
      <c r="BA32" s="34"/>
      <c r="BB32" s="34"/>
      <c r="BC32" s="34"/>
      <c r="BD32" s="34"/>
      <c r="BE32" s="120"/>
    </row>
    <row r="33" spans="3:57" ht="13.8">
      <c r="C33" s="45">
        <v>4</v>
      </c>
      <c r="D33" s="63">
        <v>4</v>
      </c>
      <c r="E33" s="80"/>
      <c r="F33" s="80"/>
      <c r="G33" s="80"/>
      <c r="H33" s="80"/>
      <c r="I33" s="80"/>
      <c r="J33" s="80"/>
      <c r="K33" s="80"/>
      <c r="L33" s="80"/>
      <c r="M33" s="102"/>
      <c r="N33" s="80"/>
      <c r="O33" s="329">
        <v>2000</v>
      </c>
      <c r="P33" s="329"/>
      <c r="Q33" s="330">
        <v>40</v>
      </c>
      <c r="R33" s="330"/>
      <c r="T33" s="105"/>
      <c r="U33" s="34">
        <f t="shared" si="4"/>
        <v>-2342</v>
      </c>
      <c r="V33" s="120"/>
      <c r="X33" s="105"/>
      <c r="Y33" s="34">
        <v>40</v>
      </c>
      <c r="Z33" s="120"/>
      <c r="AA33"/>
      <c r="AB33" s="105"/>
      <c r="AC33" s="34">
        <f t="shared" si="1"/>
        <v>0</v>
      </c>
      <c r="AD33" s="34"/>
      <c r="AE33" s="34"/>
      <c r="AF33" s="34"/>
      <c r="AG33" s="34"/>
      <c r="AH33" s="34"/>
      <c r="AI33" s="34"/>
      <c r="AJ33" s="120"/>
      <c r="AK33"/>
      <c r="AL33" s="105"/>
      <c r="AM33" s="136">
        <f t="shared" si="2"/>
        <v>0</v>
      </c>
      <c r="AN33" s="34"/>
      <c r="AO33" s="34">
        <f t="shared" si="3"/>
        <v>0</v>
      </c>
      <c r="AP33" s="34"/>
      <c r="AQ33" s="120"/>
      <c r="AS33" s="105"/>
      <c r="AT33" s="34"/>
      <c r="AU33" s="34"/>
      <c r="AV33" s="34"/>
      <c r="AW33" s="34"/>
      <c r="AX33" s="120"/>
      <c r="AZ33" s="105"/>
      <c r="BA33" s="34"/>
      <c r="BB33" s="34"/>
      <c r="BC33" s="34"/>
      <c r="BD33" s="34"/>
      <c r="BE33" s="120"/>
    </row>
    <row r="34" spans="3:57" ht="13.8">
      <c r="C34" s="45">
        <v>4</v>
      </c>
      <c r="D34" s="63">
        <v>8</v>
      </c>
      <c r="E34" s="80"/>
      <c r="F34" s="80"/>
      <c r="G34" s="80"/>
      <c r="H34" s="80"/>
      <c r="I34" s="80"/>
      <c r="J34" s="80"/>
      <c r="K34" s="80"/>
      <c r="L34" s="80"/>
      <c r="M34" s="80"/>
      <c r="N34" s="80"/>
      <c r="O34" s="329">
        <v>2000</v>
      </c>
      <c r="P34" s="329"/>
      <c r="Q34" s="330">
        <v>40</v>
      </c>
      <c r="R34" s="330"/>
      <c r="T34" s="105"/>
      <c r="U34" s="34">
        <f t="shared" si="4"/>
        <v>-2342</v>
      </c>
      <c r="V34" s="120"/>
      <c r="X34" s="105"/>
      <c r="Y34" s="34">
        <v>40</v>
      </c>
      <c r="Z34" s="120"/>
      <c r="AA34"/>
      <c r="AB34" s="105"/>
      <c r="AC34" s="34">
        <f t="shared" si="1"/>
        <v>0</v>
      </c>
      <c r="AD34" s="34"/>
      <c r="AE34" s="34"/>
      <c r="AF34" s="34"/>
      <c r="AG34" s="34"/>
      <c r="AH34" s="34"/>
      <c r="AI34" s="34"/>
      <c r="AJ34" s="120"/>
      <c r="AK34"/>
      <c r="AL34" s="105"/>
      <c r="AM34" s="136">
        <f t="shared" si="2"/>
        <v>0</v>
      </c>
      <c r="AN34" s="34"/>
      <c r="AO34" s="34">
        <f t="shared" si="3"/>
        <v>0</v>
      </c>
      <c r="AP34" s="34"/>
      <c r="AQ34" s="120"/>
      <c r="AS34" s="105"/>
      <c r="AT34" s="34"/>
      <c r="AU34" s="34"/>
      <c r="AV34" s="34"/>
      <c r="AW34" s="34"/>
      <c r="AX34" s="120"/>
      <c r="AZ34" s="105"/>
      <c r="BA34" s="34"/>
      <c r="BB34" s="34"/>
      <c r="BC34" s="34"/>
      <c r="BD34" s="34"/>
      <c r="BE34" s="120"/>
    </row>
    <row r="35" spans="3:57" ht="13.8">
      <c r="C35" s="45">
        <v>4</v>
      </c>
      <c r="D35" s="63">
        <v>12</v>
      </c>
      <c r="E35" s="80"/>
      <c r="F35" s="80"/>
      <c r="G35" s="80">
        <v>4</v>
      </c>
      <c r="H35" s="80"/>
      <c r="I35" s="80"/>
      <c r="J35" s="80"/>
      <c r="K35" s="80"/>
      <c r="L35" s="80"/>
      <c r="M35" s="80"/>
      <c r="N35" s="80"/>
      <c r="O35" s="329">
        <v>2000</v>
      </c>
      <c r="P35" s="329"/>
      <c r="Q35" s="330">
        <v>40</v>
      </c>
      <c r="R35" s="330"/>
      <c r="T35" s="105"/>
      <c r="U35" s="34">
        <f t="shared" ref="U35:U37" si="5">M35-$D$20-$D$19-4-Q35</f>
        <v>-2346</v>
      </c>
      <c r="V35" s="120"/>
      <c r="X35" s="105"/>
      <c r="Y35" s="34">
        <v>40</v>
      </c>
      <c r="Z35" s="120"/>
      <c r="AA35"/>
      <c r="AB35" s="105"/>
      <c r="AC35" s="34">
        <f t="shared" si="1"/>
        <v>0</v>
      </c>
      <c r="AD35" s="34"/>
      <c r="AE35" s="34"/>
      <c r="AF35" s="34"/>
      <c r="AG35" s="34"/>
      <c r="AH35" s="34"/>
      <c r="AI35" s="34"/>
      <c r="AJ35" s="120"/>
      <c r="AK35"/>
      <c r="AL35" s="105"/>
      <c r="AM35" s="136">
        <f t="shared" si="2"/>
        <v>0</v>
      </c>
      <c r="AN35" s="34"/>
      <c r="AO35" s="34">
        <f t="shared" si="3"/>
        <v>0</v>
      </c>
      <c r="AP35" s="34"/>
      <c r="AQ35" s="120"/>
      <c r="AS35" s="105"/>
      <c r="AT35" s="34"/>
      <c r="AU35" s="34"/>
      <c r="AV35" s="34"/>
      <c r="AW35" s="34"/>
      <c r="AX35" s="120"/>
      <c r="AZ35" s="105"/>
      <c r="BA35" s="34"/>
      <c r="BB35" s="34"/>
      <c r="BC35" s="34"/>
      <c r="BD35" s="34"/>
      <c r="BE35" s="120"/>
    </row>
    <row r="36" spans="3:57" ht="13.8">
      <c r="D36" s="63">
        <v>24</v>
      </c>
      <c r="E36" s="80"/>
      <c r="F36" s="80"/>
      <c r="G36" s="80"/>
      <c r="H36" s="80"/>
      <c r="I36" s="80"/>
      <c r="J36" s="80"/>
      <c r="K36" s="80"/>
      <c r="L36" s="80"/>
      <c r="M36" s="80"/>
      <c r="N36" s="144"/>
      <c r="O36" s="329">
        <v>2000</v>
      </c>
      <c r="P36" s="329"/>
      <c r="Q36" s="330">
        <v>40</v>
      </c>
      <c r="R36" s="330"/>
      <c r="T36" s="105"/>
      <c r="U36" s="34">
        <f t="shared" si="5"/>
        <v>-2346</v>
      </c>
      <c r="V36" s="120"/>
      <c r="X36" s="105"/>
      <c r="Y36" s="34">
        <v>40</v>
      </c>
      <c r="Z36" s="120"/>
      <c r="AA36"/>
      <c r="AB36" s="131" t="e">
        <f>G12</f>
        <v>#DIV/0!</v>
      </c>
      <c r="AC36" s="34">
        <f t="shared" si="1"/>
        <v>0</v>
      </c>
      <c r="AD36" s="34"/>
      <c r="AE36" s="34" t="e">
        <f>H12</f>
        <v>#DIV/0!</v>
      </c>
      <c r="AF36" s="34"/>
      <c r="AG36" s="34"/>
      <c r="AH36" s="112" t="e">
        <f>I12</f>
        <v>#DIV/0!</v>
      </c>
      <c r="AI36" s="34"/>
      <c r="AJ36" s="120"/>
      <c r="AK36"/>
      <c r="AL36" s="105" t="e">
        <f>AB36*T31</f>
        <v>#DIV/0!</v>
      </c>
      <c r="AM36" s="136">
        <f t="shared" si="2"/>
        <v>0</v>
      </c>
      <c r="AN36" s="34"/>
      <c r="AO36" s="34">
        <f t="shared" si="3"/>
        <v>0</v>
      </c>
      <c r="AP36" s="34"/>
      <c r="AQ36" s="120"/>
      <c r="AS36" s="105"/>
      <c r="AT36" s="34"/>
      <c r="AU36" s="34"/>
      <c r="AV36" s="34"/>
      <c r="AW36" s="34"/>
      <c r="AX36" s="120"/>
      <c r="AZ36" s="105"/>
      <c r="BA36" s="34"/>
      <c r="BB36" s="34"/>
      <c r="BC36" s="34"/>
      <c r="BD36" s="34"/>
      <c r="BE36" s="120"/>
    </row>
    <row r="37" spans="3:57" ht="13.8">
      <c r="D37" s="63">
        <v>48</v>
      </c>
      <c r="E37" s="80"/>
      <c r="F37" s="80"/>
      <c r="G37" s="80"/>
      <c r="H37" s="80"/>
      <c r="I37" s="80"/>
      <c r="J37" s="80"/>
      <c r="K37" s="80"/>
      <c r="L37" s="80"/>
      <c r="M37" s="102"/>
      <c r="N37" s="144"/>
      <c r="O37" s="329">
        <v>2000</v>
      </c>
      <c r="P37" s="329"/>
      <c r="Q37" s="330">
        <v>40</v>
      </c>
      <c r="R37" s="330"/>
      <c r="T37" s="105"/>
      <c r="U37" s="34">
        <f t="shared" si="5"/>
        <v>-2346</v>
      </c>
      <c r="V37" s="120"/>
      <c r="X37" s="105">
        <v>1012</v>
      </c>
      <c r="Y37" s="34">
        <v>40</v>
      </c>
      <c r="Z37" s="120">
        <v>4</v>
      </c>
      <c r="AA37"/>
      <c r="AB37" s="105"/>
      <c r="AC37" s="34"/>
      <c r="AD37" s="34"/>
      <c r="AE37" s="34"/>
      <c r="AF37" s="34"/>
      <c r="AG37" s="34"/>
      <c r="AH37" s="34"/>
      <c r="AI37" s="34"/>
      <c r="AJ37" s="120"/>
      <c r="AK37"/>
      <c r="AL37" s="105"/>
      <c r="AM37" s="136">
        <f t="shared" si="2"/>
        <v>0</v>
      </c>
      <c r="AN37" s="34"/>
      <c r="AO37" s="34">
        <f t="shared" si="3"/>
        <v>0</v>
      </c>
      <c r="AP37" s="34"/>
      <c r="AQ37" s="120"/>
      <c r="AS37" s="105"/>
      <c r="AT37" s="34"/>
      <c r="AU37" s="34"/>
      <c r="AV37" s="34"/>
      <c r="AW37" s="34"/>
      <c r="AX37" s="120"/>
      <c r="AZ37" s="105"/>
      <c r="BA37" s="34"/>
      <c r="BB37" s="34"/>
      <c r="BC37" s="34"/>
      <c r="BD37" s="34"/>
      <c r="BE37" s="120"/>
    </row>
    <row r="38" spans="3:57" ht="13.8">
      <c r="D38" s="64" t="s">
        <v>210</v>
      </c>
      <c r="E38" s="80">
        <v>1.52</v>
      </c>
      <c r="F38" s="80">
        <f>SUM(F31:F37)</f>
        <v>5407</v>
      </c>
      <c r="G38" s="80">
        <f>SUM(G31:G37)</f>
        <v>4</v>
      </c>
      <c r="H38" s="80"/>
      <c r="I38" s="80"/>
      <c r="J38" s="80"/>
      <c r="K38" s="80"/>
      <c r="L38" s="80"/>
      <c r="M38" s="80"/>
      <c r="N38" s="80"/>
      <c r="O38" s="329"/>
      <c r="P38" s="329"/>
      <c r="Q38" s="330"/>
      <c r="R38" s="330"/>
      <c r="T38" s="105"/>
      <c r="U38" s="34"/>
      <c r="V38" s="120"/>
      <c r="X38" s="105"/>
      <c r="Y38" s="34"/>
      <c r="Z38" s="120"/>
      <c r="AA38"/>
      <c r="AB38" s="105"/>
      <c r="AC38" s="34"/>
      <c r="AD38" s="34"/>
      <c r="AE38" s="34"/>
      <c r="AF38" s="34"/>
      <c r="AG38" s="34"/>
      <c r="AH38" s="34"/>
      <c r="AI38" s="34"/>
      <c r="AJ38" s="120"/>
      <c r="AK38"/>
      <c r="AL38" s="105"/>
      <c r="AM38" s="34"/>
      <c r="AN38" s="34"/>
      <c r="AO38" s="34"/>
      <c r="AP38" s="34"/>
      <c r="AQ38" s="120"/>
      <c r="AS38" s="105"/>
      <c r="AT38" s="34"/>
      <c r="AU38" s="34"/>
      <c r="AV38" s="34"/>
      <c r="AW38" s="34"/>
      <c r="AX38" s="120"/>
      <c r="AZ38" s="105"/>
      <c r="BA38" s="34"/>
      <c r="BB38" s="34"/>
      <c r="BC38" s="34"/>
      <c r="BD38" s="34"/>
      <c r="BE38" s="120"/>
    </row>
    <row r="39" spans="3:57" ht="14.4" thickBot="1">
      <c r="D39" s="65" t="s">
        <v>211</v>
      </c>
      <c r="E39" s="323">
        <v>0</v>
      </c>
      <c r="F39" s="323"/>
      <c r="G39" s="323"/>
      <c r="H39" s="81"/>
      <c r="I39" s="81"/>
      <c r="J39" s="81"/>
      <c r="K39" s="81"/>
      <c r="L39" s="81"/>
      <c r="M39" s="81"/>
      <c r="N39" s="81"/>
      <c r="O39" s="323"/>
      <c r="P39" s="323"/>
      <c r="Q39" s="324"/>
      <c r="R39" s="324"/>
      <c r="T39" s="108"/>
      <c r="U39" s="109"/>
      <c r="V39" s="121"/>
      <c r="X39" s="108"/>
      <c r="Y39" s="109"/>
      <c r="Z39" s="121"/>
      <c r="AA39"/>
      <c r="AB39" s="108"/>
      <c r="AC39" s="109"/>
      <c r="AD39" s="109"/>
      <c r="AE39" s="109"/>
      <c r="AF39" s="109"/>
      <c r="AG39" s="109"/>
      <c r="AH39" s="109"/>
      <c r="AI39" s="109"/>
      <c r="AJ39" s="121"/>
      <c r="AK39"/>
      <c r="AL39" s="108"/>
      <c r="AM39" s="109"/>
      <c r="AN39" s="109"/>
      <c r="AO39" s="109"/>
      <c r="AP39" s="109"/>
      <c r="AQ39" s="121"/>
      <c r="AS39" s="108"/>
      <c r="AT39" s="109"/>
      <c r="AU39" s="109"/>
      <c r="AV39" s="109"/>
      <c r="AW39" s="109"/>
      <c r="AX39" s="121"/>
      <c r="AZ39" s="108"/>
      <c r="BA39" s="109"/>
      <c r="BB39" s="109"/>
      <c r="BC39" s="109"/>
      <c r="BD39" s="109"/>
      <c r="BE39" s="121"/>
    </row>
    <row r="42" spans="3:57" ht="14.4" thickTop="1">
      <c r="D42" s="325" t="s">
        <v>212</v>
      </c>
      <c r="E42" s="325"/>
      <c r="F42" s="325"/>
      <c r="H42" s="326" t="s">
        <v>213</v>
      </c>
      <c r="I42" s="326"/>
      <c r="J42" s="326"/>
    </row>
    <row r="43" spans="3:57" ht="13.8">
      <c r="D43" s="327" t="s">
        <v>214</v>
      </c>
      <c r="E43" s="327"/>
      <c r="F43" s="327"/>
      <c r="H43" s="328" t="s">
        <v>215</v>
      </c>
      <c r="I43" s="328"/>
      <c r="J43" s="328"/>
    </row>
    <row r="44" spans="3:57" ht="13.8">
      <c r="D44" s="66" t="s">
        <v>126</v>
      </c>
      <c r="E44" s="82" t="s">
        <v>127</v>
      </c>
      <c r="F44" s="83" t="s">
        <v>128</v>
      </c>
      <c r="H44" s="84" t="s">
        <v>126</v>
      </c>
      <c r="I44" s="98" t="s">
        <v>127</v>
      </c>
      <c r="J44" s="99" t="s">
        <v>128</v>
      </c>
    </row>
    <row r="45" spans="3:57" ht="13.8">
      <c r="D45" s="67">
        <f>AM31+AO31</f>
        <v>0</v>
      </c>
      <c r="E45" s="50"/>
      <c r="F45" s="56"/>
      <c r="H45" s="85" t="e">
        <f t="shared" ref="H45:H50" si="6">D45/$G$15</f>
        <v>#DIV/0!</v>
      </c>
      <c r="I45" s="50"/>
      <c r="J45" s="56"/>
    </row>
    <row r="46" spans="3:57" ht="13.8">
      <c r="D46" s="67">
        <f>AM32+AO31+AO32</f>
        <v>0</v>
      </c>
      <c r="E46" s="50"/>
      <c r="F46" s="56"/>
      <c r="H46" s="85" t="e">
        <f t="shared" si="6"/>
        <v>#DIV/0!</v>
      </c>
      <c r="I46" s="50"/>
      <c r="J46" s="56"/>
    </row>
    <row r="47" spans="3:57" ht="13.8">
      <c r="D47" s="67">
        <f>AM33+SUM(AO31:AO33)</f>
        <v>0</v>
      </c>
      <c r="E47" s="50"/>
      <c r="F47" s="56"/>
      <c r="H47" s="85" t="e">
        <f t="shared" si="6"/>
        <v>#DIV/0!</v>
      </c>
      <c r="I47" s="50"/>
      <c r="J47" s="56"/>
    </row>
    <row r="48" spans="3:57" ht="13.8">
      <c r="D48" s="67">
        <f>AM34+SUM(AO31:AO34)</f>
        <v>0</v>
      </c>
      <c r="E48" s="50"/>
      <c r="F48" s="56"/>
      <c r="H48" s="85" t="e">
        <f t="shared" si="6"/>
        <v>#DIV/0!</v>
      </c>
      <c r="I48" s="50"/>
      <c r="J48" s="56"/>
    </row>
    <row r="49" spans="4:10" ht="13.8">
      <c r="D49" s="67">
        <f>AM35+AM34+SUM(AO31:AO35)</f>
        <v>0</v>
      </c>
      <c r="E49" s="50"/>
      <c r="F49" s="56"/>
      <c r="H49" s="85" t="e">
        <f t="shared" si="6"/>
        <v>#DIV/0!</v>
      </c>
      <c r="I49" s="50"/>
      <c r="J49" s="56"/>
    </row>
    <row r="50" spans="4:10" ht="14.4" thickBot="1">
      <c r="D50" s="68">
        <f>AM36+AM35+AM34+SUM(AO31:AO36)</f>
        <v>0</v>
      </c>
      <c r="E50" s="60"/>
      <c r="F50" s="61"/>
      <c r="H50" s="86" t="e">
        <f t="shared" si="6"/>
        <v>#DIV/0!</v>
      </c>
      <c r="I50" s="60"/>
      <c r="J50" s="61"/>
    </row>
  </sheetData>
  <mergeCells count="62">
    <mergeCell ref="B9:D9"/>
    <mergeCell ref="F9:I9"/>
    <mergeCell ref="K9:M9"/>
    <mergeCell ref="B2:F2"/>
    <mergeCell ref="S3:S5"/>
    <mergeCell ref="U3:X3"/>
    <mergeCell ref="Y3:AB3"/>
    <mergeCell ref="T4:T5"/>
    <mergeCell ref="F15:F16"/>
    <mergeCell ref="F19:F20"/>
    <mergeCell ref="D27:R27"/>
    <mergeCell ref="T27:V27"/>
    <mergeCell ref="X27:Z27"/>
    <mergeCell ref="AL27:AQ27"/>
    <mergeCell ref="AS27:AX27"/>
    <mergeCell ref="AZ27:BE27"/>
    <mergeCell ref="D28:D29"/>
    <mergeCell ref="E28:G29"/>
    <mergeCell ref="H28:H29"/>
    <mergeCell ref="I28:J29"/>
    <mergeCell ref="K28:L29"/>
    <mergeCell ref="M28:N29"/>
    <mergeCell ref="O28:P29"/>
    <mergeCell ref="AB27:AJ27"/>
    <mergeCell ref="O32:P32"/>
    <mergeCell ref="Q32:R32"/>
    <mergeCell ref="AP28:AQ28"/>
    <mergeCell ref="AS28:AT28"/>
    <mergeCell ref="AU28:AV28"/>
    <mergeCell ref="Q28:R29"/>
    <mergeCell ref="AB28:AD28"/>
    <mergeCell ref="AE28:AG28"/>
    <mergeCell ref="AH28:AJ28"/>
    <mergeCell ref="AL28:AM28"/>
    <mergeCell ref="AN28:AO28"/>
    <mergeCell ref="BD28:BE28"/>
    <mergeCell ref="O30:P30"/>
    <mergeCell ref="Q30:R30"/>
    <mergeCell ref="O31:P31"/>
    <mergeCell ref="Q31:R31"/>
    <mergeCell ref="AW28:AX28"/>
    <mergeCell ref="AZ28:BA28"/>
    <mergeCell ref="BB28:BC28"/>
    <mergeCell ref="O33:P33"/>
    <mergeCell ref="Q33:R33"/>
    <mergeCell ref="O34:P34"/>
    <mergeCell ref="Q34:R34"/>
    <mergeCell ref="O35:P35"/>
    <mergeCell ref="Q35:R35"/>
    <mergeCell ref="D43:F43"/>
    <mergeCell ref="H43:J43"/>
    <mergeCell ref="O36:P36"/>
    <mergeCell ref="Q36:R36"/>
    <mergeCell ref="O37:P37"/>
    <mergeCell ref="Q37:R37"/>
    <mergeCell ref="O38:P38"/>
    <mergeCell ref="Q38:R38"/>
    <mergeCell ref="E39:G39"/>
    <mergeCell ref="O39:P39"/>
    <mergeCell ref="Q39:R39"/>
    <mergeCell ref="D42:F42"/>
    <mergeCell ref="H42:J42"/>
  </mergeCells>
  <pageMargins left="0.7" right="0.7" top="0.75" bottom="0.75" header="0.511811023622047" footer="0.511811023622047"/>
  <pageSetup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</vt:i4>
      </vt:variant>
    </vt:vector>
  </HeadingPairs>
  <TitlesOfParts>
    <vt:vector size="26" baseType="lpstr">
      <vt:lpstr>INFORMATION TESTWORK</vt:lpstr>
      <vt:lpstr>MASS BALANCE PROCESSING</vt:lpstr>
      <vt:lpstr>MOISTURE DISC CRUSHING</vt:lpstr>
      <vt:lpstr>UJI COBA SANDIOS</vt:lpstr>
      <vt:lpstr>TESTWORK LEACHING &amp; CIP</vt:lpstr>
      <vt:lpstr>TESTWORK LEACHING &amp; CIP (2)</vt:lpstr>
      <vt:lpstr>CIP VARIASI PH 8-9</vt:lpstr>
      <vt:lpstr>TW CIP SMBS-1</vt:lpstr>
      <vt:lpstr>TW CIP SMBS-2</vt:lpstr>
      <vt:lpstr>CIP VARIASI PH 8-9 (RETEST)</vt:lpstr>
      <vt:lpstr>PERSEN PASSING</vt:lpstr>
      <vt:lpstr>REPORT ALL TESTWORK</vt:lpstr>
      <vt:lpstr>TW 21 JULY 1</vt:lpstr>
      <vt:lpstr>TEMPLATE KOSONGAN</vt:lpstr>
      <vt:lpstr>CARBON 1200 C - 2 GPL</vt:lpstr>
      <vt:lpstr>CARBON 1200 C - 3 GPL</vt:lpstr>
      <vt:lpstr>TW P60</vt:lpstr>
      <vt:lpstr>TW P70</vt:lpstr>
      <vt:lpstr>CARBON 1200 C - 2 GPL (RETEST)</vt:lpstr>
      <vt:lpstr>CARBON 1200 C - 3 GPL (RETEST)</vt:lpstr>
      <vt:lpstr>TEMPLATE KOSONGAN (2)</vt:lpstr>
      <vt:lpstr>BOTTLE ROLL TEST</vt:lpstr>
      <vt:lpstr>COLD ELUTION 10000 PPM</vt:lpstr>
      <vt:lpstr>COLD ELUTION 5000 PPM</vt:lpstr>
      <vt:lpstr>TEST CARBON LOADING</vt:lpstr>
      <vt:lpstr>'CIP VARIASI PH 8-9 (RETEST)'!Print_Area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GanyuChan</cp:lastModifiedBy>
  <cp:revision>7</cp:revision>
  <dcterms:created xsi:type="dcterms:W3CDTF">2026-07-22T12:46:00Z</dcterms:created>
  <dcterms:modified xsi:type="dcterms:W3CDTF">2026-09-03T05:13:53Z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/>
  </property>
  <property fmtid="{D5CDD505-2E9C-101B-9397-08002B2CF9AE}" pid="3" name="KSOProductBuildVer">
    <vt:lpwstr>1033-11.1.0.11720</vt:lpwstr>
  </property>
</Properties>
</file>