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F702B6D1-C80E-4797-8F93-F5884B58315C}" xr6:coauthVersionLast="47" xr6:coauthVersionMax="47" xr10:uidLastSave="{00000000-0000-0000-0000-000000000000}"/>
  <bookViews>
    <workbookView xWindow="-108" yWindow="-108" windowWidth="23256" windowHeight="12456" firstSheet="12" activeTab="15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13" l="1"/>
  <c r="D30" i="13" s="1"/>
  <c r="A30" i="13"/>
  <c r="O30" i="13"/>
  <c r="D29" i="13"/>
  <c r="W30" i="13"/>
  <c r="L30" i="13"/>
  <c r="L29" i="13"/>
  <c r="P70" i="20"/>
  <c r="N72" i="20"/>
  <c r="S125" i="21"/>
  <c r="M125" i="21"/>
  <c r="O125" i="21"/>
  <c r="P125" i="21"/>
  <c r="Q125" i="21"/>
  <c r="R125" i="21"/>
  <c r="H125" i="21"/>
  <c r="H124" i="21"/>
  <c r="H121" i="21"/>
  <c r="J125" i="21"/>
  <c r="J118" i="21"/>
  <c r="J124" i="21"/>
  <c r="J121" i="21"/>
  <c r="R124" i="21"/>
  <c r="Q124" i="21" s="1"/>
  <c r="P124" i="21" s="1"/>
  <c r="L105" i="5"/>
  <c r="L91" i="5"/>
  <c r="L101" i="5"/>
  <c r="L103" i="5"/>
  <c r="K105" i="5"/>
  <c r="J105" i="5"/>
  <c r="G105" i="5"/>
  <c r="AG28" i="13"/>
  <c r="AH28" i="13"/>
  <c r="AF28" i="13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24" i="21" l="1"/>
  <c r="F168" i="12"/>
  <c r="F173" i="12" s="1"/>
  <c r="E174" i="12" s="1"/>
  <c r="E175" i="12" s="1"/>
  <c r="U120" i="21"/>
  <c r="V120" i="21"/>
  <c r="T120" i="21"/>
  <c r="U121" i="21"/>
  <c r="V121" i="21"/>
  <c r="T121" i="21"/>
  <c r="N71" i="20"/>
  <c r="Z123" i="21"/>
  <c r="J123" i="21" s="1"/>
  <c r="M131" i="21"/>
  <c r="X131" i="21" s="1"/>
  <c r="Y131" i="21"/>
  <c r="M129" i="21"/>
  <c r="W129" i="21" s="1"/>
  <c r="U29" i="13"/>
  <c r="U119" i="21"/>
  <c r="V119" i="21"/>
  <c r="T119" i="21"/>
  <c r="U118" i="21"/>
  <c r="Y29" i="13" s="1"/>
  <c r="R91" i="13" s="1"/>
  <c r="V118" i="21"/>
  <c r="Z29" i="13" s="1"/>
  <c r="S91" i="13" s="1"/>
  <c r="T118" i="21"/>
  <c r="X29" i="13" s="1"/>
  <c r="Q91" i="13" s="1"/>
  <c r="M9" i="21"/>
  <c r="M5" i="21"/>
  <c r="J75" i="21"/>
  <c r="H75" i="21" s="1"/>
  <c r="M75" i="21" s="1"/>
  <c r="M79" i="21"/>
  <c r="N178" i="1"/>
  <c r="I42" i="12"/>
  <c r="J41" i="12"/>
  <c r="J40" i="12"/>
  <c r="P64" i="20"/>
  <c r="P65" i="20"/>
  <c r="P66" i="20"/>
  <c r="P67" i="20"/>
  <c r="P68" i="20"/>
  <c r="P69" i="20"/>
  <c r="H24" i="15"/>
  <c r="I24" i="15"/>
  <c r="G24" i="15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N70" i="20"/>
  <c r="I139" i="1"/>
  <c r="K139" i="1"/>
  <c r="M139" i="1" s="1"/>
  <c r="L139" i="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36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M121" i="21" s="1"/>
  <c r="N67" i="20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P63" i="20"/>
  <c r="N66" i="20"/>
  <c r="A27" i="13"/>
  <c r="A26" i="13"/>
  <c r="N65" i="20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AH25" i="13"/>
  <c r="H21" i="15"/>
  <c r="AG25" i="13" s="1"/>
  <c r="I21" i="15"/>
  <c r="U110" i="21"/>
  <c r="V110" i="21"/>
  <c r="V109" i="21"/>
  <c r="U109" i="21"/>
  <c r="M122" i="21" l="1"/>
  <c r="W121" i="21"/>
  <c r="AB121" i="21" s="1"/>
  <c r="Y121" i="21"/>
  <c r="X121" i="21"/>
  <c r="Y129" i="21"/>
  <c r="X129" i="21"/>
  <c r="Y156" i="17"/>
  <c r="W131" i="21"/>
  <c r="Y28" i="13"/>
  <c r="R90" i="13" s="1"/>
  <c r="M118" i="21"/>
  <c r="W118" i="21" s="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5" i="21"/>
  <c r="AA113" i="21"/>
  <c r="J112" i="21"/>
  <c r="M112" i="21" s="1"/>
  <c r="N61" i="20"/>
  <c r="P61" i="20" s="1"/>
  <c r="N62" i="20"/>
  <c r="P62" i="20"/>
  <c r="J111" i="21"/>
  <c r="M115" i="21" l="1"/>
  <c r="O27" i="13"/>
  <c r="V27" i="13"/>
  <c r="AR27" i="13" s="1"/>
  <c r="M119" i="21"/>
  <c r="M113" i="21"/>
  <c r="AB118" i="21"/>
  <c r="C46" i="12"/>
  <c r="W119" i="21"/>
  <c r="AB119" i="21" s="1"/>
  <c r="M120" i="21"/>
  <c r="S118" i="21" s="1"/>
  <c r="M114" i="21"/>
  <c r="H116" i="21"/>
  <c r="H117" i="21" s="1"/>
  <c r="H112" i="21"/>
  <c r="Y115" i="21" l="1"/>
  <c r="M116" i="21"/>
  <c r="M117" i="21" s="1"/>
  <c r="W115" i="21"/>
  <c r="AB115" i="21" s="1"/>
  <c r="X115" i="21"/>
  <c r="M123" i="21"/>
  <c r="N119" i="21"/>
  <c r="X119" i="21" s="1"/>
  <c r="N115" i="21"/>
  <c r="AL28" i="13"/>
  <c r="AM28" i="13"/>
  <c r="H113" i="21"/>
  <c r="M124" i="21" l="1"/>
  <c r="N123" i="21" s="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M127" i="21"/>
  <c r="Y127" i="21" s="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2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N29" i="13"/>
  <c r="O29" i="13" s="1"/>
  <c r="AO29" i="13" s="1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S121" i="21"/>
  <c r="AM29" i="13"/>
  <c r="AL29" i="13"/>
  <c r="O24" i="13"/>
  <c r="AQ24" i="13" s="1"/>
  <c r="V30" i="13"/>
  <c r="W124" i="21"/>
  <c r="H106" i="21"/>
  <c r="M106" i="21"/>
  <c r="M107" i="21" s="1"/>
  <c r="M103" i="21"/>
  <c r="M104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Y120" i="21"/>
  <c r="Y124" i="21"/>
  <c r="X124" i="21"/>
  <c r="X120" i="21"/>
  <c r="X118" i="21"/>
  <c r="AB29" i="13" s="1"/>
  <c r="N117" i="21"/>
  <c r="AL27" i="13"/>
  <c r="AM27" i="13"/>
  <c r="AL26" i="13"/>
  <c r="AM26" i="13"/>
  <c r="W116" i="21"/>
  <c r="X116" i="21"/>
  <c r="AB28" i="13" s="1"/>
  <c r="AO26" i="13"/>
  <c r="AP26" i="13"/>
  <c r="AQ26" i="13"/>
  <c r="AO24" i="13"/>
  <c r="AP22" i="13"/>
  <c r="O25" i="13"/>
  <c r="X127" i="21"/>
  <c r="W127" i="21"/>
  <c r="O72" i="2"/>
  <c r="X8" i="2" s="1"/>
  <c r="L123" i="1"/>
  <c r="Y122" i="21"/>
  <c r="X122" i="2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H107" i="21"/>
  <c r="H108" i="21" s="1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6" i="5" s="1"/>
  <c r="K106" i="5" s="1"/>
  <c r="G107" i="5"/>
  <c r="J107" i="5"/>
  <c r="K107" i="5" s="1"/>
  <c r="G108" i="5"/>
  <c r="J108" i="5"/>
  <c r="K108" i="5" s="1"/>
  <c r="G109" i="5"/>
  <c r="J109" i="5"/>
  <c r="K109" i="5" s="1"/>
  <c r="G110" i="5"/>
  <c r="J110" i="5" s="1"/>
  <c r="K110" i="5" s="1"/>
  <c r="G111" i="5"/>
  <c r="J111" i="5" s="1"/>
  <c r="K111" i="5" s="1"/>
  <c r="G112" i="5"/>
  <c r="J112" i="5" s="1"/>
  <c r="K112" i="5" s="1"/>
  <c r="G113" i="5"/>
  <c r="J113" i="5" s="1"/>
  <c r="K113" i="5" s="1"/>
  <c r="G114" i="5"/>
  <c r="J114" i="5"/>
  <c r="K114" i="5" s="1"/>
  <c r="G115" i="5"/>
  <c r="J115" i="5" s="1"/>
  <c r="K115" i="5" s="1"/>
  <c r="G116" i="5"/>
  <c r="J116" i="5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/>
  <c r="K123" i="5" s="1"/>
  <c r="G124" i="5"/>
  <c r="J124" i="5"/>
  <c r="K124" i="5" s="1"/>
  <c r="G125" i="5"/>
  <c r="J125" i="5" s="1"/>
  <c r="K125" i="5" s="1"/>
  <c r="G126" i="5"/>
  <c r="J126" i="5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/>
  <c r="K133" i="5" s="1"/>
  <c r="G134" i="5"/>
  <c r="J134" i="5" s="1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/>
  <c r="K138" i="5"/>
  <c r="G139" i="5"/>
  <c r="J139" i="5"/>
  <c r="K139" i="5" s="1"/>
  <c r="G140" i="5"/>
  <c r="J140" i="5"/>
  <c r="K140" i="5" s="1"/>
  <c r="G141" i="5"/>
  <c r="J141" i="5"/>
  <c r="K141" i="5"/>
  <c r="G142" i="5"/>
  <c r="J142" i="5" s="1"/>
  <c r="K142" i="5" s="1"/>
  <c r="G143" i="5"/>
  <c r="J143" i="5" s="1"/>
  <c r="K143" i="5" s="1"/>
  <c r="G144" i="5"/>
  <c r="J144" i="5"/>
  <c r="K144" i="5"/>
  <c r="G145" i="5"/>
  <c r="J145" i="5"/>
  <c r="K145" i="5" s="1"/>
  <c r="G146" i="5"/>
  <c r="J146" i="5"/>
  <c r="K146" i="5"/>
  <c r="G147" i="5"/>
  <c r="J147" i="5" s="1"/>
  <c r="K147" i="5" s="1"/>
  <c r="G148" i="5"/>
  <c r="J148" i="5" s="1"/>
  <c r="K148" i="5" s="1"/>
  <c r="G149" i="5"/>
  <c r="J149" i="5"/>
  <c r="K149" i="5"/>
  <c r="G150" i="5"/>
  <c r="J150" i="5" s="1"/>
  <c r="K150" i="5" s="1"/>
  <c r="G151" i="5"/>
  <c r="J151" i="5"/>
  <c r="K151" i="5"/>
  <c r="G152" i="5"/>
  <c r="J152" i="5" s="1"/>
  <c r="K152" i="5" s="1"/>
  <c r="G153" i="5"/>
  <c r="J153" i="5" s="1"/>
  <c r="K153" i="5" s="1"/>
  <c r="G154" i="5"/>
  <c r="J154" i="5"/>
  <c r="K154" i="5"/>
  <c r="G155" i="5"/>
  <c r="J155" i="5" s="1"/>
  <c r="K155" i="5" s="1"/>
  <c r="G156" i="5"/>
  <c r="J156" i="5"/>
  <c r="K156" i="5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/>
  <c r="K164" i="5" s="1"/>
  <c r="G165" i="5"/>
  <c r="J165" i="5" s="1"/>
  <c r="K165" i="5" s="1"/>
  <c r="G166" i="5"/>
  <c r="J166" i="5"/>
  <c r="K166" i="5"/>
  <c r="G167" i="5"/>
  <c r="J167" i="5"/>
  <c r="K167" i="5" s="1"/>
  <c r="G168" i="5"/>
  <c r="J168" i="5" s="1"/>
  <c r="K168" i="5" s="1"/>
  <c r="G169" i="5"/>
  <c r="J169" i="5" s="1"/>
  <c r="K169" i="5" s="1"/>
  <c r="G170" i="5"/>
  <c r="J170" i="5"/>
  <c r="K170" i="5" s="1"/>
  <c r="G171" i="5"/>
  <c r="J171" i="5"/>
  <c r="K171" i="5"/>
  <c r="G172" i="5"/>
  <c r="J172" i="5" s="1"/>
  <c r="K172" i="5" s="1"/>
  <c r="G173" i="5"/>
  <c r="J173" i="5"/>
  <c r="K173" i="5"/>
  <c r="G174" i="5"/>
  <c r="J174" i="5" s="1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/>
  <c r="K180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M23" i="13" l="1"/>
  <c r="R85" i="13"/>
  <c r="AL23" i="13"/>
  <c r="Q85" i="13"/>
  <c r="AM22" i="13"/>
  <c r="R84" i="13"/>
  <c r="M108" i="21"/>
  <c r="M109" i="21"/>
  <c r="AB120" i="21"/>
  <c r="AA29" i="13"/>
  <c r="P38" i="5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Q38" i="5"/>
  <c r="S38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K101" i="5" s="1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A28" i="13"/>
  <c r="AB116" i="21"/>
  <c r="J103" i="5"/>
  <c r="K103" i="5" s="1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123" i="21" l="1"/>
  <c r="O123" i="21"/>
  <c r="AD29" i="13"/>
  <c r="AE29" i="13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13" i="12" l="1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BD28" i="13" s="1"/>
  <c r="V29" i="13"/>
  <c r="AR29" i="13" s="1"/>
  <c r="BD29" i="13" s="1"/>
  <c r="AR30" i="13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W8" i="17" s="1"/>
  <c r="AV25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/>
  <c r="G7" i="15"/>
  <c r="AF11" i="13" s="1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J29" i="5"/>
  <c r="K29" i="5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7" i="4"/>
  <c r="P27" i="4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Q102" i="13" l="1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Q27" i="4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2" i="21"/>
  <c r="P78" i="21"/>
  <c r="I78" i="21" s="1"/>
  <c r="I132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Q21" i="21"/>
  <c r="P32" i="21"/>
  <c r="O32" i="21" s="1"/>
  <c r="AA134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2" i="21"/>
  <c r="U92" i="21"/>
  <c r="V92" i="21" s="1"/>
  <c r="Y92" i="21" s="1"/>
  <c r="V132" i="21"/>
  <c r="P37" i="21"/>
  <c r="Q25" i="21"/>
  <c r="X66" i="21"/>
  <c r="W77" i="21"/>
  <c r="AB77" i="21" s="1"/>
  <c r="X93" i="21"/>
  <c r="W102" i="21"/>
  <c r="Z135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I25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98" i="13" l="1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P103" i="13" s="1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92" i="13" s="1"/>
  <c r="Q101" i="13"/>
  <c r="S77" i="13"/>
  <c r="AO12" i="13"/>
  <c r="BM12" i="13" s="1"/>
  <c r="S92" i="13"/>
  <c r="P98" i="13"/>
  <c r="R74" i="13"/>
  <c r="P99" i="13"/>
  <c r="R75" i="13"/>
  <c r="N16" i="4"/>
  <c r="O98" i="13"/>
  <c r="Q74" i="13"/>
  <c r="BM11" i="13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Y43" i="21"/>
  <c r="X43" i="21"/>
  <c r="X25" i="4"/>
  <c r="X42" i="21"/>
  <c r="W42" i="21"/>
  <c r="AB42" i="21" s="1"/>
  <c r="Y20" i="4"/>
  <c r="W20" i="4"/>
  <c r="AU10" i="13"/>
  <c r="BE10" i="13"/>
  <c r="N17" i="4"/>
  <c r="AD11" i="13"/>
  <c r="AE11" i="13"/>
  <c r="AN10" i="13"/>
  <c r="Y18" i="4"/>
  <c r="H22" i="4"/>
  <c r="I22" i="4" s="1"/>
  <c r="H35" i="4" l="1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2" i="21"/>
  <c r="O21" i="4"/>
  <c r="M34" i="4"/>
  <c r="W34" i="4" s="1"/>
  <c r="AB99" i="21"/>
  <c r="AU12" i="13"/>
  <c r="AV14" i="13"/>
  <c r="BE15" i="13"/>
  <c r="AU15" i="13"/>
  <c r="O42" i="21"/>
  <c r="C18" i="13"/>
  <c r="D18" i="13" s="1"/>
  <c r="O101" i="21"/>
  <c r="W101" i="21"/>
  <c r="X101" i="21"/>
  <c r="AB23" i="13" s="1"/>
  <c r="Y101" i="21"/>
  <c r="AC23" i="13" s="1"/>
  <c r="AN23" i="13" s="1"/>
  <c r="AV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2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M45" i="21"/>
  <c r="O45" i="21" s="1"/>
  <c r="O44" i="21"/>
  <c r="Y44" i="21"/>
  <c r="X44" i="21"/>
  <c r="BD18" i="13"/>
  <c r="AT17" i="13"/>
  <c r="S25" i="4"/>
  <c r="AB12" i="13"/>
  <c r="Y19" i="4"/>
  <c r="AC13" i="13" s="1"/>
  <c r="X19" i="4"/>
  <c r="AB13" i="13" s="1"/>
  <c r="O19" i="4"/>
  <c r="AV10" i="13"/>
  <c r="BF10" i="13"/>
  <c r="BA10" i="13"/>
  <c r="AA101" i="4" l="1"/>
  <c r="AA102" i="4"/>
  <c r="O30" i="4"/>
  <c r="W19" i="4"/>
  <c r="AA13" i="13" s="1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X34" i="4"/>
  <c r="Y34" i="4"/>
  <c r="AD24" i="13"/>
  <c r="BF23" i="13"/>
  <c r="BB23" i="13" s="1"/>
  <c r="P132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32" i="21"/>
  <c r="Y132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BB10" i="13"/>
  <c r="BB12" i="13" s="1"/>
  <c r="BB14" i="13"/>
  <c r="AE13" i="13"/>
  <c r="AD13" i="13"/>
  <c r="W31" i="4" l="1"/>
  <c r="AA15" i="13" s="1"/>
  <c r="Y31" i="4"/>
  <c r="AC15" i="13" s="1"/>
  <c r="O31" i="4"/>
  <c r="X31" i="4"/>
  <c r="AB15" i="13" s="1"/>
  <c r="M99" i="4"/>
  <c r="N30" i="4"/>
  <c r="AD12" i="13"/>
  <c r="AE12" i="13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S28" i="21" l="1"/>
  <c r="M132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S132" i="21" l="1"/>
  <c r="W132" i="21"/>
  <c r="AD20" i="13"/>
  <c r="AB19" i="13"/>
  <c r="O132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<sst xmlns="http://schemas.openxmlformats.org/spreadsheetml/2006/main" count="3378" uniqueCount="940">
  <si>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</si>
  <si>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</si>
  <si>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</si>
  <si>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</si>
  <si>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</si>
  <si>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</si>
  <si>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</si>
  <si>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</si>
  <si>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</si>
  <si>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</si>
  <si>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</si>
  <si>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</si>
  <si>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</si>
  <si>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</si>
  <si>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</si>
  <si>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</si>
  <si>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</si>
  <si>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</si>
  <si>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</si>
  <si>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</si>
  <si>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</si>
  <si>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</si>
  <si>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</si>
  <si>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</si>
  <si>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</si>
  <si>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</si>
  <si>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</si>
  <si>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</si>
  <si>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</si>
  <si>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</si>
  <si>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</si>
  <si>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</si>
  <si>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</si>
  <si>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</si>
  <si>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</si>
  <si>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</si>
  <si>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</si>
  <si>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</si>
  <si>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</si>
  <si>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</si>
  <si>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</si>
  <si>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</si>
  <si>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</si>
  <si>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</si>
  <si>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</si>
  <si>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</si>
  <si>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</si>
  <si>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</si>
  <si>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</si>
  <si>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</si>
  <si>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</si>
  <si>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</si>
  <si>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</si>
  <si>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</si>
  <si>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</si>
  <si>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</si>
  <si>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</si>
  <si>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</si>
  <si>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</si>
  <si>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</si>
  <si>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</si>
  <si>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</si>
  <si>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</si>
  <si>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</si>
  <si>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</si>
  <si>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</si>
  <si>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</si>
  <si>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</si>
  <si>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</si>
  <si>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</si>
  <si>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</si>
  <si>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</si>
  <si>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</si>
  <si>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</si>
  <si>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</si>
  <si>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</si>
  <si>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</si>
  <si>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</si>
  <si>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</si>
  <si>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</si>
  <si>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</si>
  <si>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</si>
  <si>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</si>
  <si>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</si>
  <si>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</si>
  <si>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</si>
  <si>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</si>
  <si>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</si>
  <si>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</si>
  <si>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</si>
  <si>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</si>
  <si>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</si>
  <si>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</si>
  <si>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</si>
  <si>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</si>
  <si>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</si>
  <si>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</si>
  <si>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</si>
  <si>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</si>
  <si>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</si>
  <si>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</si>
  <si>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</si>
  <si>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</si>
  <si>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</si>
  <si>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</si>
  <si>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</si>
  <si>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</si>
  <si>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</si>
  <si>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</si>
  <si>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</si>
  <si>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</si>
  <si>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</si>
  <si>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</si>
  <si>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</si>
  <si>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</si>
  <si>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</si>
  <si>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</si>
  <si>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</si>
  <si>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</si>
  <si>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</si>
  <si>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</si>
  <si>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</si>
  <si>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</si>
  <si>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</si>
  <si>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</si>
  <si>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</si>
  <si>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</si>
  <si>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</si>
  <si>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</si>
  <si>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</si>
  <si>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</si>
  <si>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</si>
  <si>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</si>
  <si>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</si>
  <si>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</si>
  <si>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</si>
  <si>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</si>
  <si>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</si>
  <si>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</si>
  <si>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</si>
  <si>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</si>
  <si>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</si>
  <si>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</si>
  <si>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</si>
  <si>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</si>
  <si>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</si>
  <si>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</si>
  <si>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</si>
  <si>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</si>
  <si>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</si>
  <si>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</si>
  <si>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</si>
  <si>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</si>
  <si>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</si>
  <si>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</si>
  <si>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</si>
  <si>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</si>
  <si>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</si>
  <si>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</si>
  <si>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</si>
  <si>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</si>
  <si>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</si>
  <si>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</si>
  <si>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</si>
  <si>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</si>
  <si>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</si>
  <si>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</si>
  <si>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</si>
  <si>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</si>
  <si>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</si>
  <si>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</si>
  <si>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</si>
  <si>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</si>
  <si>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</si>
  <si>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</si>
  <si>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</si>
  <si>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</si>
  <si>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</si>
  <si>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</si>
  <si>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</si>
  <si>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</si>
  <si>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</si>
  <si>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</si>
  <si>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</si>
  <si>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</si>
  <si>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</si>
  <si>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</si>
  <si>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</si>
  <si>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</si>
  <si>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</si>
  <si>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</si>
  <si>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</si>
  <si>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</si>
  <si>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</si>
  <si>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</si>
  <si>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</si>
  <si>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</si>
  <si>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</si>
  <si>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</si>
  <si>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</si>
  <si>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</si>
  <si>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</si>
  <si>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</si>
  <si>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</si>
  <si>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</si>
  <si>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</si>
  <si>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</si>
  <si>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</si>
  <si>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</si>
  <si>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</si>
  <si>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</si>
  <si>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</si>
  <si>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</si>
  <si>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</si>
  <si>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</si>
  <si>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</si>
  <si>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</si>
  <si>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</si>
  <si>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</si>
  <si>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</si>
  <si>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</si>
  <si>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</si>
  <si>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</si>
  <si>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</si>
  <si>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</si>
  <si>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</si>
  <si>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</si>
  <si>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</si>
  <si>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</si>
  <si>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</si>
  <si>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</si>
  <si>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</si>
  <si>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</si>
  <si>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</si>
  <si>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</si>
  <si>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</si>
  <si>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</si>
  <si>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</si>
  <si>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</si>
  <si>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</si>
  <si>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</si>
  <si>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</si>
  <si>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</si>
  <si>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</si>
  <si>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</si>
  <si>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</si>
  <si>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</si>
  <si>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</si>
  <si>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</si>
  <si>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</si>
  <si>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</si>
  <si>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</si>
  <si>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</si>
  <si>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</si>
  <si>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</si>
  <si>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</si>
  <si>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</si>
  <si>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</si>
  <si>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</si>
  <si>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</si>
  <si>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</si>
  <si>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</si>
  <si>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</si>
  <si>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</si>
  <si>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</si>
  <si>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</si>
  <si>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</si>
  <si>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</si>
  <si>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</si>
  <si>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</si>
  <si>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</si>
  <si>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</si>
  <si>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</si>
  <si>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</si>
  <si>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</si>
  <si>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</si>
  <si>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</si>
  <si>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</si>
  <si>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</si>
  <si>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</si>
  <si>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</si>
  <si>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</si>
  <si>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</si>
  <si>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</si>
  <si>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</si>
  <si>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</si>
  <si>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</si>
  <si>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</si>
  <si>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</si>
  <si>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</si>
  <si>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</si>
  <si>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</si>
  <si>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</si>
  <si>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</si>
  <si>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</si>
  <si>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</si>
  <si>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</si>
  <si>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</si>
  <si>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</si>
  <si>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</si>
  <si>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</si>
  <si>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</si>
  <si>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</si>
  <si>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</si>
  <si>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</si>
  <si>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</si>
  <si>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</si>
  <si>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</si>
  <si>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</si>
  <si>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</si>
  <si>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</si>
  <si>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</si>
  <si>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</si>
  <si>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</si>
  <si>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</si>
  <si>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</si>
  <si>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</si>
  <si>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</si>
  <si>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</si>
  <si>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</si>
  <si>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</si>
  <si>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</si>
  <si>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</si>
  <si>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</si>
  <si>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</si>
  <si>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</si>
  <si>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</si>
  <si>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</si>
  <si>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</si>
  <si>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</si>
  <si>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</si>
  <si>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</si>
  <si>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</si>
  <si>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</si>
  <si>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</si>
  <si>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</si>
  <si>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</si>
  <si>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</si>
  <si>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</si>
  <si>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</si>
  <si>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</si>
  <si>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</si>
  <si>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</si>
  <si>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</si>
  <si>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</si>
  <si>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</si>
  <si>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</si>
  <si>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</si>
  <si>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</si>
  <si>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</si>
  <si>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</si>
  <si>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</si>
  <si>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</si>
  <si>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</si>
  <si>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</si>
  <si>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</si>
  <si>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</si>
  <si>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</si>
  <si>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</si>
  <si>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</si>
  <si>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</si>
  <si>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</si>
  <si>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</si>
  <si>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</si>
  <si>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</si>
  <si>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</si>
  <si>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</si>
  <si>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</si>
  <si>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</si>
  <si>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</si>
  <si>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</si>
  <si>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</si>
  <si>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</si>
  <si>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</si>
  <si>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</si>
  <si>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</si>
  <si>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</si>
  <si>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</si>
  <si>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</si>
  <si>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</si>
  <si>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</si>
  <si>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</si>
  <si>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</si>
  <si>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</si>
  <si>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</si>
  <si>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</si>
  <si>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</si>
  <si>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</si>
  <si>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</si>
  <si>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</si>
  <si>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</si>
  <si>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</si>
  <si>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</si>
  <si>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</si>
  <si>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</si>
  <si>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</si>
  <si>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</si>
  <si>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</si>
  <si>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</si>
  <si>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</si>
  <si>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</si>
  <si>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</si>
  <si>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</si>
  <si>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</si>
  <si>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</si>
  <si>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</si>
  <si>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</si>
  <si>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</si>
  <si>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</si>
  <si>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</si>
  <si>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</si>
  <si>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</si>
  <si>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</si>
  <si>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</si>
  <si>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</si>
  <si>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</si>
  <si>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</si>
  <si>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</si>
  <si>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</si>
  <si>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</si>
  <si>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</si>
  <si>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</si>
  <si>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</si>
  <si>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</si>
  <si>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</si>
  <si>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</si>
  <si>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</si>
  <si>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</si>
  <si>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</si>
  <si>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</si>
  <si>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</si>
  <si>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</si>
  <si>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</si>
  <si>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</si>
  <si>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</si>
  <si>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</si>
  <si>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</si>
  <si>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</si>
  <si>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</si>
  <si>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</si>
  <si>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</si>
  <si>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</si>
  <si>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</si>
  <si>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</si>
  <si>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</si>
  <si>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</si>
  <si>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</si>
  <si>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</si>
  <si>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</si>
  <si>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</si>
  <si>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</si>
  <si>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</si>
  <si>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</si>
  <si>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</si>
  <si>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</si>
  <si>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</si>
  <si>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</si>
  <si>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</si>
  <si>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</si>
  <si>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</si>
  <si>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</si>
  <si>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</si>
  <si>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</si>
  <si>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</si>
  <si>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</si>
  <si>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</si>
  <si>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</si>
  <si>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</si>
  <si>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</si>
  <si>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</si>
  <si>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</si>
  <si>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</si>
  <si>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</si>
  <si>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</si>
  <si>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</si>
  <si>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</si>
  <si>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</si>
  <si>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</si>
  <si>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</si>
  <si>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</si>
  <si>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</si>
  <si>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</si>
  <si>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</si>
  <si>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</si>
  <si>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</si>
  <si>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</si>
  <si>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</si>
  <si>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</si>
  <si>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</si>
  <si>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</si>
  <si>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</si>
  <si>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</si>
  <si>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</si>
  <si>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</si>
  <si>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</si>
  <si>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</si>
  <si>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</si>
  <si>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</si>
  <si>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</si>
  <si>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</si>
  <si>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</si>
  <si>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</si>
  <si>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</si>
  <si>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</si>
  <si>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</si>
  <si>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</si>
  <si>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</si>
  <si>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</si>
  <si>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</si>
  <si>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</si>
  <si>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</si>
  <si>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</si>
  <si>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</si>
  <si>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</si>
  <si>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</si>
  <si>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</si>
  <si>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</si>
  <si>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</si>
  <si>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</si>
  <si>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</si>
  <si>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</si>
  <si>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</si>
  <si>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</si>
  <si>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</si>
  <si>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</si>
  <si>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</si>
  <si>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</si>
  <si>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</si>
  <si>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</si>
  <si>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</si>
  <si>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</si>
  <si>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</si>
  <si>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</si>
  <si>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</si>
  <si>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</si>
  <si>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</si>
  <si>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</si>
  <si>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</si>
  <si>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</si>
  <si>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</si>
  <si>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</si>
  <si>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</si>
  <si>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</si>
  <si>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</si>
  <si>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</si>
  <si>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</si>
  <si>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</si>
  <si>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</si>
  <si>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</si>
  <si>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</si>
  <si>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</si>
  <si>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</si>
  <si>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</si>
  <si>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</si>
  <si>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</si>
  <si>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</si>
  <si>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</si>
  <si>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</si>
  <si>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</si>
  <si>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</si>
  <si>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</si>
  <si>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</si>
  <si>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</si>
  <si>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</si>
  <si>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</si>
  <si>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</si>
  <si>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</si>
  <si>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</si>
  <si>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</si>
  <si>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</si>
  <si>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</si>
  <si>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</si>
  <si>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</si>
  <si>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</si>
  <si>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</si>
  <si>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</si>
  <si>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</si>
  <si>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</si>
  <si>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</si>
  <si>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</si>
  <si>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</si>
  <si>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</si>
  <si>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</si>
  <si>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</si>
  <si>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</si>
  <si>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</si>
  <si>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</si>
  <si>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</si>
  <si>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</si>
  <si>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</si>
  <si>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</si>
  <si>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</si>
  <si>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</si>
  <si>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</si>
  <si>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</si>
  <si>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</si>
  <si>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</si>
  <si>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</si>
  <si>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</si>
  <si>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</si>
  <si>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</si>
  <si>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</si>
  <si>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</si>
  <si>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</si>
  <si>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</si>
  <si>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</si>
  <si>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</si>
  <si>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</si>
  <si>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</si>
  <si>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</si>
  <si>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</si>
  <si>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</si>
  <si>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</si>
  <si>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</si>
  <si>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</si>
  <si>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</si>
  <si>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</si>
  <si>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</si>
  <si>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</si>
  <si>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</si>
  <si>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</si>
  <si>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</si>
  <si>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</si>
  <si>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</si>
  <si>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</si>
  <si>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</si>
  <si>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</si>
  <si>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</si>
  <si>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</si>
  <si>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</si>
  <si>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</si>
  <si>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</si>
  <si>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</si>
  <si>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</si>
  <si>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</si>
  <si>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</si>
  <si>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</si>
  <si>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</si>
  <si>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</si>
  <si>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</si>
  <si>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</si>
  <si>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</si>
  <si>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</si>
  <si>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</si>
  <si>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</si>
  <si>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</si>
  <si>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</si>
  <si>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</si>
  <si>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</si>
  <si>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</si>
  <si>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</si>
  <si>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</si>
  <si>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</si>
  <si>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</si>
  <si>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</si>
  <si>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</si>
  <si>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</si>
  <si>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</si>
  <si>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</si>
  <si>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</si>
  <si>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</si>
  <si>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</si>
  <si>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</si>
  <si>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</si>
  <si>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</si>
  <si>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</si>
  <si>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</si>
  <si>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</si>
  <si>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</si>
  <si>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</si>
  <si>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</si>
  <si>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</si>
  <si>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</si>
  <si>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</si>
  <si>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</si>
  <si>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</si>
  <si>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</si>
  <si>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</si>
  <si>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</si>
  <si>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</si>
  <si>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</si>
  <si>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</si>
  <si>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</si>
  <si>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</si>
  <si>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</si>
  <si>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</si>
  <si>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</si>
  <si>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</si>
  <si>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</si>
  <si>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</si>
  <si>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</si>
  <si>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</si>
  <si>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</si>
  <si>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</si>
  <si>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</si>
  <si>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</si>
  <si>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</si>
  <si>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</si>
  <si>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</si>
  <si>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</si>
  <si>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</si>
  <si>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</si>
  <si>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</si>
  <si>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</si>
  <si>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</si>
  <si>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</si>
  <si>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</si>
  <si>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</si>
  <si>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</si>
  <si>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</si>
  <si>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</si>
  <si>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</si>
  <si>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</si>
  <si>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</si>
  <si>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</si>
  <si>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</si>
  <si>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</si>
  <si>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</si>
  <si>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</si>
  <si>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</si>
  <si>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</si>
  <si>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</si>
  <si>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</si>
  <si>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</si>
  <si>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</si>
  <si>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</si>
  <si>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</si>
  <si>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</si>
  <si>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</si>
  <si>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</si>
  <si>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</si>
  <si>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</si>
  <si>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</si>
  <si>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</si>
  <si>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</si>
  <si>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</si>
  <si>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</si>
  <si>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</si>
  <si>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</si>
  <si>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</si>
  <si>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</si>
  <si>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</si>
  <si>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</si>
  <si>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</si>
  <si>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</si>
  <si>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</si>
  <si>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</si>
  <si>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</si>
  <si>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</si>
  <si>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</si>
  <si>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</si>
  <si>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</si>
  <si>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</si>
  <si>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</si>
  <si>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</si>
  <si>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</si>
  <si>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</si>
  <si>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</si>
  <si>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</si>
  <si>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</si>
  <si>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</si>
  <si>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</si>
  <si>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</si>
  <si>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</si>
  <si>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</si>
  <si>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</si>
  <si>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</si>
  <si>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</si>
  <si>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</si>
  <si>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</si>
  <si>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</si>
  <si>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</si>
  <si>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</si>
  <si>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</si>
  <si>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</si>
  <si>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</si>
  <si>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</si>
  <si>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</si>
  <si>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</si>
  <si>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</si>
  <si>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</si>
  <si>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</si>
  <si>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</si>
  <si>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</si>
  <si>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</si>
  <si>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</si>
  <si>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</si>
  <si>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</si>
  <si>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</si>
  <si>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</si>
  <si>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</si>
  <si>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</si>
  <si>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</si>
  <si>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</si>
  <si>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</si>
  <si>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</si>
  <si>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</si>
  <si>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</si>
  <si>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</si>
  <si>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</si>
  <si>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</si>
  <si>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</si>
  <si>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</si>
  <si>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</si>
  <si>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</si>
  <si>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</si>
  <si>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</si>
  <si>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</si>
  <si>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</si>
  <si>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</si>
  <si>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</si>
  <si>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</si>
  <si>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</si>
  <si>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</si>
  <si>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</si>
  <si>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</si>
  <si>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</si>
  <si>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</si>
  <si>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</si>
  <si>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</si>
  <si>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</si>
  <si>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</si>
  <si>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</si>
  <si>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</si>
  <si>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</si>
  <si>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</si>
  <si>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</si>
  <si>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</si>
  <si>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</si>
  <si>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</si>
  <si>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</si>
  <si>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</si>
  <si>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</si>
  <si>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</si>
  <si>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</si>
  <si>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</si>
  <si>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</si>
  <si>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</si>
  <si>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</si>
  <si>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</si>
  <si>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</si>
  <si>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</si>
  <si>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</si>
  <si>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</si>
  <si>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</si>
  <si>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</si>
  <si>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</si>
  <si>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</si>
  <si>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</si>
  <si>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</si>
  <si>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</si>
  <si>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</si>
  <si>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</si>
  <si>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</si>
  <si>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</si>
  <si>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</si>
  <si>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</si>
  <si>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</si>
  <si>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</si>
  <si>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</si>
  <si>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</si>
  <si>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</si>
  <si>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</si>
  <si>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</si>
  <si>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</si>
  <si>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</si>
  <si>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</si>
  <si>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</si>
  <si>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</si>
  <si>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</si>
  <si>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</si>
  <si>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</si>
  <si>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</si>
  <si>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</si>
  <si>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</si>
  <si>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</si>
  <si>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</si>
  <si>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</si>
  <si>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</si>
  <si>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</si>
  <si>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</si>
  <si>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</si>
  <si>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</si>
  <si>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</si>
  <si>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</si>
  <si>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</si>
  <si>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</si>
  <si>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</si>
  <si>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</si>
  <si>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</si>
  <si>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</si>
  <si>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</si>
  <si>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</si>
  <si>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</si>
  <si>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</si>
  <si>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</si>
  <si>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</si>
  <si>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</si>
  <si>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</si>
  <si>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</si>
  <si>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</si>
  <si>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</si>
  <si>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</si>
  <si>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</si>
  <si>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</si>
  <si>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</si>
  <si>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</si>
  <si>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</si>
  <si>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</si>
  <si>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</si>
  <si>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</si>
  <si>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</si>
  <si>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</si>
  <si>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</si>
  <si>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</si>
  <si>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</si>
  <si>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</si>
  <si>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</si>
  <si>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</si>
  <si>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</si>
  <si>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</si>
  <si>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</si>
  <si>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</si>
  <si>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</si>
  <si>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</si>
  <si>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</si>
  <si>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</si>
  <si>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</si>
  <si>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</si>
  <si>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</si>
  <si>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</si>
  <si>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</si>
  <si>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>batch 21 tank 2 finish pump jam 0020</t>
  </si>
  <si>
    <t xml:space="preserve">ball mill 1,2 dan 3 jalan batch 21 finish tank 2 jam 00:20 </t>
  </si>
  <si>
    <t xml:space="preserve">ball mill 1,2,3 jalan start batch 22 tank 3 01:00 </t>
  </si>
  <si>
    <t>batch 22 tank 3 start pump jam 01:00</t>
  </si>
  <si>
    <t>Carbon on tank Leaching Estimate (ton)</t>
  </si>
  <si>
    <t>Batch Pengolahan</t>
  </si>
  <si>
    <t>Head Grade Leaching and Adsorption Process</t>
  </si>
  <si>
    <t>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</si>
</sst>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98" fillId="0" borderId="0" applyFont="0" applyFill="0" applyBorder="0" applyAlignment="0" applyProtection="0"/>
    <xf numFmtId="9" fontId="98" fillId="0" borderId="0" applyFont="0" applyFill="0" applyBorder="0" applyAlignment="0" applyProtection="0"/>
    <xf numFmtId="164" fontId="99" fillId="0" borderId="0" applyFont="0" applyFill="0" applyBorder="0" applyAlignment="0" applyProtection="0"/>
  </cellStyleXfs>
  <cellXfs count="185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9" fillId="2" borderId="12" xfId="0" applyFont="1" applyFill="1" applyBorder="1"/>
    <xf numFmtId="0" fontId="0" fillId="2" borderId="12" xfId="0" applyFill="1" applyBorder="1"/>
    <xf numFmtId="0" fontId="99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0" fillId="4" borderId="12" xfId="0" applyFont="1" applyFill="1" applyBorder="1" applyAlignment="1">
      <alignment horizontal="center"/>
    </xf>
    <xf numFmtId="0" fontId="100" fillId="3" borderId="12" xfId="0" applyFont="1" applyFill="1" applyBorder="1" applyAlignment="1">
      <alignment horizontal="center"/>
    </xf>
    <xf numFmtId="0" fontId="9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0" fillId="3" borderId="12" xfId="0" applyFont="1" applyFill="1" applyBorder="1"/>
    <xf numFmtId="0" fontId="0" fillId="3" borderId="12" xfId="0" applyFill="1" applyBorder="1"/>
    <xf numFmtId="0" fontId="100" fillId="3" borderId="31" xfId="0" applyFont="1" applyFill="1" applyBorder="1" applyAlignment="1">
      <alignment horizontal="center"/>
    </xf>
    <xf numFmtId="0" fontId="10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1" fillId="5" borderId="0" xfId="0" applyFont="1" applyFill="1"/>
    <xf numFmtId="0" fontId="10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3" fillId="2" borderId="0" xfId="3" applyNumberFormat="1" applyFont="1" applyFill="1"/>
    <xf numFmtId="170" fontId="103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9" fillId="2" borderId="12" xfId="0" applyNumberFormat="1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4" fillId="5" borderId="0" xfId="2" applyNumberFormat="1" applyFont="1" applyFill="1"/>
    <xf numFmtId="172" fontId="10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5" fillId="6" borderId="12" xfId="0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0" fontId="105" fillId="8" borderId="12" xfId="0" applyFont="1" applyFill="1" applyBorder="1" applyAlignment="1">
      <alignment horizontal="center" vertical="center"/>
    </xf>
    <xf numFmtId="0" fontId="105" fillId="9" borderId="12" xfId="0" applyFont="1" applyFill="1" applyBorder="1" applyAlignment="1">
      <alignment horizontal="center" vertical="center"/>
    </xf>
    <xf numFmtId="14" fontId="10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5" fillId="7" borderId="20" xfId="0" applyNumberFormat="1" applyFont="1" applyFill="1" applyBorder="1" applyAlignment="1">
      <alignment horizontal="center" vertical="center"/>
    </xf>
    <xf numFmtId="14" fontId="105" fillId="7" borderId="21" xfId="0" applyNumberFormat="1" applyFont="1" applyFill="1" applyBorder="1" applyAlignment="1">
      <alignment horizontal="center" vertical="center"/>
    </xf>
    <xf numFmtId="14" fontId="105" fillId="7" borderId="28" xfId="0" applyNumberFormat="1" applyFont="1" applyFill="1" applyBorder="1" applyAlignment="1">
      <alignment horizontal="center" vertical="center"/>
    </xf>
    <xf numFmtId="0" fontId="100" fillId="10" borderId="12" xfId="0" applyFont="1" applyFill="1" applyBorder="1" applyAlignment="1">
      <alignment horizontal="center"/>
    </xf>
    <xf numFmtId="0" fontId="107" fillId="11" borderId="12" xfId="0" applyFont="1" applyFill="1" applyBorder="1" applyAlignment="1">
      <alignment horizontal="center" vertical="center"/>
    </xf>
    <xf numFmtId="0" fontId="100" fillId="10" borderId="12" xfId="0" applyFont="1" applyFill="1" applyBorder="1" applyAlignment="1">
      <alignment horizontal="center" vertical="center"/>
    </xf>
    <xf numFmtId="14" fontId="107" fillId="12" borderId="12" xfId="0" applyNumberFormat="1" applyFont="1" applyFill="1" applyBorder="1" applyAlignment="1">
      <alignment horizontal="center" vertical="center"/>
    </xf>
    <xf numFmtId="0" fontId="107" fillId="13" borderId="12" xfId="0" applyFont="1" applyFill="1" applyBorder="1" applyAlignment="1">
      <alignment horizontal="center" vertical="center"/>
    </xf>
    <xf numFmtId="0" fontId="99" fillId="0" borderId="7" xfId="0" applyFont="1" applyBorder="1" applyAlignment="1">
      <alignment horizontal="center"/>
    </xf>
    <xf numFmtId="20" fontId="99" fillId="2" borderId="28" xfId="0" applyNumberFormat="1" applyFont="1" applyFill="1" applyBorder="1" applyAlignment="1">
      <alignment horizontal="center" vertical="center"/>
    </xf>
    <xf numFmtId="1" fontId="9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9" fillId="2" borderId="12" xfId="0" applyFont="1" applyFill="1" applyBorder="1" applyAlignment="1">
      <alignment vertical="center"/>
    </xf>
    <xf numFmtId="0" fontId="9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9" fillId="2" borderId="12" xfId="0" applyNumberFormat="1" applyFont="1" applyFill="1" applyBorder="1" applyAlignment="1">
      <alignment horizontal="center" vertical="center"/>
    </xf>
    <xf numFmtId="0" fontId="100" fillId="3" borderId="12" xfId="0" applyFont="1" applyFill="1" applyBorder="1" applyAlignment="1">
      <alignment horizontal="right"/>
    </xf>
    <xf numFmtId="1" fontId="100" fillId="3" borderId="20" xfId="0" applyNumberFormat="1" applyFont="1" applyFill="1" applyBorder="1" applyAlignment="1">
      <alignment horizontal="right"/>
    </xf>
    <xf numFmtId="9" fontId="10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5" fillId="0" borderId="0" xfId="0" applyFont="1"/>
    <xf numFmtId="1" fontId="105" fillId="0" borderId="0" xfId="0" applyNumberFormat="1" applyFont="1" applyAlignment="1">
      <alignment horizontal="center"/>
    </xf>
    <xf numFmtId="0" fontId="105" fillId="0" borderId="0" xfId="0" applyFont="1" applyAlignment="1">
      <alignment horizontal="center"/>
    </xf>
    <xf numFmtId="0" fontId="11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5" fillId="0" borderId="38" xfId="0" applyFont="1" applyBorder="1"/>
    <xf numFmtId="1" fontId="105" fillId="0" borderId="38" xfId="0" applyNumberFormat="1" applyFont="1" applyBorder="1" applyAlignment="1">
      <alignment horizontal="center"/>
    </xf>
    <xf numFmtId="0" fontId="105" fillId="0" borderId="38" xfId="0" applyFont="1" applyBorder="1" applyAlignment="1">
      <alignment horizontal="center"/>
    </xf>
    <xf numFmtId="43" fontId="105" fillId="0" borderId="38" xfId="1" applyFont="1" applyBorder="1" applyAlignment="1">
      <alignment horizontal="center"/>
    </xf>
    <xf numFmtId="0" fontId="105" fillId="0" borderId="39" xfId="0" applyFont="1" applyBorder="1"/>
    <xf numFmtId="0" fontId="107" fillId="0" borderId="0" xfId="0" applyFont="1" applyAlignment="1">
      <alignment wrapText="1"/>
    </xf>
    <xf numFmtId="0" fontId="107" fillId="3" borderId="45" xfId="0" applyFont="1" applyFill="1" applyBorder="1" applyAlignment="1">
      <alignment horizontal="center" vertical="center" wrapText="1"/>
    </xf>
    <xf numFmtId="0" fontId="105" fillId="0" borderId="47" xfId="0" applyFont="1" applyBorder="1"/>
    <xf numFmtId="173" fontId="105" fillId="0" borderId="48" xfId="0" applyNumberFormat="1" applyFont="1" applyBorder="1" applyAlignment="1">
      <alignment horizontal="center"/>
    </xf>
    <xf numFmtId="1" fontId="105" fillId="0" borderId="48" xfId="0" applyNumberFormat="1" applyFont="1" applyBorder="1" applyAlignment="1">
      <alignment horizontal="center"/>
    </xf>
    <xf numFmtId="174" fontId="105" fillId="0" borderId="48" xfId="0" applyNumberFormat="1" applyFont="1" applyBorder="1" applyAlignment="1">
      <alignment horizontal="center"/>
    </xf>
    <xf numFmtId="0" fontId="105" fillId="0" borderId="48" xfId="0" applyFont="1" applyBorder="1"/>
    <xf numFmtId="9" fontId="105" fillId="0" borderId="48" xfId="0" applyNumberFormat="1" applyFont="1" applyBorder="1" applyAlignment="1">
      <alignment horizontal="center"/>
    </xf>
    <xf numFmtId="0" fontId="105" fillId="0" borderId="48" xfId="0" applyFont="1" applyBorder="1" applyAlignment="1">
      <alignment horizontal="center"/>
    </xf>
    <xf numFmtId="9" fontId="105" fillId="0" borderId="49" xfId="0" applyNumberFormat="1" applyFont="1" applyBorder="1" applyAlignment="1">
      <alignment horizontal="center"/>
    </xf>
    <xf numFmtId="0" fontId="105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6" fillId="2" borderId="12" xfId="0" applyFont="1" applyFill="1" applyBorder="1"/>
    <xf numFmtId="14" fontId="105" fillId="2" borderId="12" xfId="0" applyNumberFormat="1" applyFont="1" applyFill="1" applyBorder="1" applyAlignment="1">
      <alignment horizontal="center" vertical="center"/>
    </xf>
    <xf numFmtId="0" fontId="100" fillId="10" borderId="20" xfId="0" applyFont="1" applyFill="1" applyBorder="1"/>
    <xf numFmtId="0" fontId="100" fillId="10" borderId="28" xfId="0" applyFont="1" applyFill="1" applyBorder="1"/>
    <xf numFmtId="14" fontId="10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0" fillId="16" borderId="12" xfId="0" applyFont="1" applyFill="1" applyBorder="1" applyAlignment="1">
      <alignment horizontal="center"/>
    </xf>
    <xf numFmtId="0" fontId="100" fillId="10" borderId="7" xfId="0" applyFont="1" applyFill="1" applyBorder="1" applyAlignment="1">
      <alignment horizontal="center"/>
    </xf>
    <xf numFmtId="9" fontId="105" fillId="0" borderId="12" xfId="0" applyNumberFormat="1" applyFont="1" applyBorder="1" applyAlignment="1">
      <alignment horizontal="center"/>
    </xf>
    <xf numFmtId="0" fontId="100" fillId="17" borderId="12" xfId="0" applyFont="1" applyFill="1" applyBorder="1" applyAlignment="1">
      <alignment horizontal="center"/>
    </xf>
    <xf numFmtId="0" fontId="10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0" fillId="3" borderId="0" xfId="0" applyFont="1" applyFill="1" applyAlignment="1">
      <alignment horizontal="center"/>
    </xf>
    <xf numFmtId="0" fontId="10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5" fillId="18" borderId="12" xfId="0" applyNumberFormat="1" applyFont="1" applyFill="1" applyBorder="1" applyAlignment="1">
      <alignment horizontal="center"/>
    </xf>
    <xf numFmtId="2" fontId="11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0" fillId="3" borderId="20" xfId="0" applyNumberFormat="1" applyFont="1" applyFill="1" applyBorder="1" applyAlignment="1">
      <alignment horizontal="right"/>
    </xf>
    <xf numFmtId="0" fontId="115" fillId="18" borderId="7" xfId="0" applyFont="1" applyFill="1" applyBorder="1"/>
    <xf numFmtId="0" fontId="115" fillId="18" borderId="29" xfId="0" applyFont="1" applyFill="1" applyBorder="1"/>
    <xf numFmtId="174" fontId="115" fillId="18" borderId="29" xfId="0" applyNumberFormat="1" applyFont="1" applyFill="1" applyBorder="1" applyAlignment="1">
      <alignment horizontal="center"/>
    </xf>
    <xf numFmtId="0" fontId="116" fillId="2" borderId="0" xfId="0" applyFont="1" applyFill="1"/>
    <xf numFmtId="176" fontId="105" fillId="0" borderId="48" xfId="0" applyNumberFormat="1" applyFont="1" applyBorder="1" applyAlignment="1">
      <alignment horizontal="center"/>
    </xf>
    <xf numFmtId="0" fontId="99" fillId="2" borderId="7" xfId="0" applyFont="1" applyFill="1" applyBorder="1" applyAlignment="1">
      <alignment horizontal="center" vertical="center"/>
    </xf>
    <xf numFmtId="0" fontId="100" fillId="18" borderId="12" xfId="0" applyFont="1" applyFill="1" applyBorder="1" applyAlignment="1">
      <alignment horizontal="center"/>
    </xf>
    <xf numFmtId="0" fontId="10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0" fillId="2" borderId="0" xfId="0" applyFont="1" applyFill="1" applyAlignment="1">
      <alignment horizontal="center"/>
    </xf>
    <xf numFmtId="0" fontId="9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7" fillId="2" borderId="28" xfId="0" applyFont="1" applyFill="1" applyBorder="1" applyAlignment="1">
      <alignment horizontal="center" vertical="center"/>
    </xf>
    <xf numFmtId="9" fontId="115" fillId="18" borderId="29" xfId="2" applyFont="1" applyFill="1" applyBorder="1" applyAlignment="1">
      <alignment horizontal="center"/>
    </xf>
    <xf numFmtId="0" fontId="100" fillId="20" borderId="12" xfId="0" applyFont="1" applyFill="1" applyBorder="1"/>
    <xf numFmtId="9" fontId="105" fillId="0" borderId="0" xfId="2" applyFont="1" applyAlignment="1">
      <alignment horizontal="center"/>
    </xf>
    <xf numFmtId="0" fontId="100" fillId="0" borderId="12" xfId="0" applyFont="1" applyBorder="1"/>
    <xf numFmtId="176" fontId="0" fillId="0" borderId="12" xfId="0" applyNumberFormat="1" applyBorder="1"/>
    <xf numFmtId="1" fontId="118" fillId="2" borderId="12" xfId="0" applyNumberFormat="1" applyFont="1" applyFill="1" applyBorder="1"/>
    <xf numFmtId="9" fontId="118" fillId="2" borderId="12" xfId="0" applyNumberFormat="1" applyFont="1" applyFill="1" applyBorder="1"/>
    <xf numFmtId="0" fontId="110" fillId="2" borderId="12" xfId="0" applyFont="1" applyFill="1" applyBorder="1"/>
    <xf numFmtId="1" fontId="107" fillId="3" borderId="45" xfId="0" applyNumberFormat="1" applyFont="1" applyFill="1" applyBorder="1" applyAlignment="1">
      <alignment horizontal="center" vertical="center" wrapText="1"/>
    </xf>
    <xf numFmtId="43" fontId="107" fillId="3" borderId="45" xfId="1" applyFont="1" applyFill="1" applyBorder="1" applyAlignment="1">
      <alignment horizontal="center" vertical="center" wrapText="1"/>
    </xf>
    <xf numFmtId="0" fontId="10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6" fillId="2" borderId="28" xfId="0" applyFont="1" applyFill="1" applyBorder="1" applyAlignment="1">
      <alignment vertical="center"/>
    </xf>
    <xf numFmtId="20" fontId="9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0" fontId="95" fillId="2" borderId="12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0" fontId="94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5" fillId="8" borderId="20" xfId="0" applyFont="1" applyFill="1" applyBorder="1" applyAlignment="1">
      <alignment horizontal="center" vertical="center"/>
    </xf>
    <xf numFmtId="14" fontId="105" fillId="7" borderId="12" xfId="0" applyNumberFormat="1" applyFont="1" applyFill="1" applyBorder="1" applyAlignment="1">
      <alignment horizontal="center" vertical="center"/>
    </xf>
    <xf numFmtId="20" fontId="93" fillId="2" borderId="28" xfId="0" applyNumberFormat="1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9" fontId="105" fillId="8" borderId="12" xfId="0" applyNumberFormat="1" applyFont="1" applyFill="1" applyBorder="1" applyAlignment="1">
      <alignment horizontal="center" vertical="center"/>
    </xf>
    <xf numFmtId="1" fontId="10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14" fontId="10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5" fillId="2" borderId="20" xfId="0" applyFont="1" applyFill="1" applyBorder="1" applyAlignment="1">
      <alignment horizontal="center" vertical="center"/>
    </xf>
    <xf numFmtId="14" fontId="105" fillId="7" borderId="28" xfId="0" applyNumberFormat="1" applyFont="1" applyFill="1" applyBorder="1" applyAlignment="1">
      <alignment vertical="center"/>
    </xf>
    <xf numFmtId="0" fontId="106" fillId="2" borderId="28" xfId="0" applyFont="1" applyFill="1" applyBorder="1"/>
    <xf numFmtId="0" fontId="105" fillId="2" borderId="28" xfId="0" applyFont="1" applyFill="1" applyBorder="1" applyAlignment="1">
      <alignment horizontal="center" vertical="center"/>
    </xf>
    <xf numFmtId="14" fontId="105" fillId="7" borderId="10" xfId="0" applyNumberFormat="1" applyFont="1" applyFill="1" applyBorder="1" applyAlignment="1">
      <alignment vertical="center"/>
    </xf>
    <xf numFmtId="14" fontId="105" fillId="7" borderId="10" xfId="0" applyNumberFormat="1" applyFont="1" applyFill="1" applyBorder="1" applyAlignment="1">
      <alignment horizontal="center" vertical="center"/>
    </xf>
    <xf numFmtId="14" fontId="105" fillId="2" borderId="10" xfId="0" applyNumberFormat="1" applyFont="1" applyFill="1" applyBorder="1" applyAlignment="1">
      <alignment vertical="center"/>
    </xf>
    <xf numFmtId="14" fontId="105" fillId="2" borderId="10" xfId="0" applyNumberFormat="1" applyFont="1" applyFill="1" applyBorder="1" applyAlignment="1">
      <alignment horizontal="center" vertical="center"/>
    </xf>
    <xf numFmtId="0" fontId="105" fillId="2" borderId="10" xfId="0" applyFont="1" applyFill="1" applyBorder="1" applyAlignment="1">
      <alignment horizontal="center" vertical="center"/>
    </xf>
    <xf numFmtId="1" fontId="105" fillId="8" borderId="10" xfId="0" applyNumberFormat="1" applyFont="1" applyFill="1" applyBorder="1" applyAlignment="1">
      <alignment horizontal="center" vertical="center"/>
    </xf>
    <xf numFmtId="0" fontId="105" fillId="8" borderId="10" xfId="0" applyFont="1" applyFill="1" applyBorder="1" applyAlignment="1">
      <alignment horizontal="center" vertical="center"/>
    </xf>
    <xf numFmtId="14" fontId="105" fillId="7" borderId="17" xfId="0" applyNumberFormat="1" applyFont="1" applyFill="1" applyBorder="1" applyAlignment="1">
      <alignment vertical="center"/>
    </xf>
    <xf numFmtId="14" fontId="105" fillId="2" borderId="17" xfId="0" applyNumberFormat="1" applyFont="1" applyFill="1" applyBorder="1" applyAlignment="1">
      <alignment vertical="center"/>
    </xf>
    <xf numFmtId="14" fontId="105" fillId="2" borderId="17" xfId="0" applyNumberFormat="1" applyFont="1" applyFill="1" applyBorder="1" applyAlignment="1">
      <alignment horizontal="center" vertical="center"/>
    </xf>
    <xf numFmtId="0" fontId="10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5" fillId="9" borderId="28" xfId="0" applyFont="1" applyFill="1" applyBorder="1" applyAlignment="1">
      <alignment horizontal="center" vertical="center"/>
    </xf>
    <xf numFmtId="0" fontId="106" fillId="2" borderId="10" xfId="0" applyFont="1" applyFill="1" applyBorder="1"/>
    <xf numFmtId="0" fontId="106" fillId="2" borderId="17" xfId="0" applyFont="1" applyFill="1" applyBorder="1"/>
    <xf numFmtId="0" fontId="0" fillId="2" borderId="17" xfId="0" applyFill="1" applyBorder="1"/>
    <xf numFmtId="0" fontId="105" fillId="9" borderId="17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vertical="center"/>
    </xf>
    <xf numFmtId="0" fontId="91" fillId="2" borderId="12" xfId="0" applyFont="1" applyFill="1" applyBorder="1" applyAlignment="1">
      <alignment horizontal="center" vertical="center"/>
    </xf>
    <xf numFmtId="9" fontId="105" fillId="2" borderId="12" xfId="0" applyNumberFormat="1" applyFont="1" applyFill="1" applyBorder="1" applyAlignment="1">
      <alignment horizontal="center" vertical="center"/>
    </xf>
    <xf numFmtId="1" fontId="105" fillId="8" borderId="28" xfId="0" applyNumberFormat="1" applyFont="1" applyFill="1" applyBorder="1" applyAlignment="1">
      <alignment horizontal="center" vertical="center"/>
    </xf>
    <xf numFmtId="0" fontId="100" fillId="18" borderId="28" xfId="0" applyFont="1" applyFill="1" applyBorder="1" applyAlignment="1">
      <alignment horizontal="center" vertical="center"/>
    </xf>
    <xf numFmtId="0" fontId="10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5" fillId="0" borderId="47" xfId="0" applyNumberFormat="1" applyFont="1" applyBorder="1" applyAlignment="1">
      <alignment horizontal="center"/>
    </xf>
    <xf numFmtId="1" fontId="105" fillId="0" borderId="12" xfId="0" applyNumberFormat="1" applyFont="1" applyBorder="1" applyAlignment="1">
      <alignment horizontal="center"/>
    </xf>
    <xf numFmtId="174" fontId="105" fillId="0" borderId="12" xfId="0" applyNumberFormat="1" applyFont="1" applyBorder="1" applyAlignment="1">
      <alignment horizontal="center"/>
    </xf>
    <xf numFmtId="0" fontId="105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5" fillId="2" borderId="12" xfId="0" applyFont="1" applyFill="1" applyBorder="1" applyAlignment="1">
      <alignment vertical="top" wrapText="1"/>
    </xf>
    <xf numFmtId="0" fontId="10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0" fillId="18" borderId="30" xfId="0" applyFont="1" applyFill="1" applyBorder="1" applyAlignment="1">
      <alignment horizontal="center" vertical="center"/>
    </xf>
    <xf numFmtId="0" fontId="100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0" fillId="20" borderId="12" xfId="0" applyFont="1" applyFill="1" applyBorder="1" applyAlignment="1">
      <alignment horizontal="center"/>
    </xf>
    <xf numFmtId="0" fontId="100" fillId="18" borderId="20" xfId="0" applyFont="1" applyFill="1" applyBorder="1" applyAlignment="1">
      <alignment horizontal="center" vertical="center"/>
    </xf>
    <xf numFmtId="0" fontId="100" fillId="18" borderId="21" xfId="0" applyFont="1" applyFill="1" applyBorder="1" applyAlignment="1">
      <alignment horizontal="center" vertical="center"/>
    </xf>
    <xf numFmtId="43" fontId="10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0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3" fillId="2" borderId="12" xfId="0" applyNumberFormat="1" applyFont="1" applyFill="1" applyBorder="1" applyAlignment="1">
      <alignment horizontal="center" vertical="center"/>
    </xf>
    <xf numFmtId="0" fontId="100" fillId="18" borderId="30" xfId="0" applyFont="1" applyFill="1" applyBorder="1" applyAlignment="1">
      <alignment horizontal="center"/>
    </xf>
    <xf numFmtId="0" fontId="100" fillId="18" borderId="32" xfId="0" applyFont="1" applyFill="1" applyBorder="1" applyAlignment="1">
      <alignment horizontal="center"/>
    </xf>
    <xf numFmtId="0" fontId="10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0" fillId="4" borderId="12" xfId="0" applyFont="1" applyFill="1" applyBorder="1"/>
    <xf numFmtId="0" fontId="100" fillId="18" borderId="12" xfId="0" applyFont="1" applyFill="1" applyBorder="1"/>
    <xf numFmtId="0" fontId="100" fillId="18" borderId="12" xfId="0" applyFont="1" applyFill="1" applyBorder="1" applyAlignment="1">
      <alignment horizontal="left"/>
    </xf>
    <xf numFmtId="0" fontId="81" fillId="2" borderId="12" xfId="0" applyFont="1" applyFill="1" applyBorder="1"/>
    <xf numFmtId="0" fontId="99" fillId="3" borderId="0" xfId="0" applyFont="1" applyFill="1" applyAlignment="1">
      <alignment horizontal="center"/>
    </xf>
    <xf numFmtId="0" fontId="99" fillId="3" borderId="19" xfId="0" applyFont="1" applyFill="1" applyBorder="1" applyAlignment="1">
      <alignment horizontal="center"/>
    </xf>
    <xf numFmtId="0" fontId="9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1" fillId="2" borderId="28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5" fillId="3" borderId="19" xfId="0" applyFont="1" applyFill="1" applyBorder="1" applyAlignment="1">
      <alignment horizontal="center" vertical="center"/>
    </xf>
    <xf numFmtId="165" fontId="115" fillId="3" borderId="21" xfId="1" applyNumberFormat="1" applyFont="1" applyFill="1" applyBorder="1" applyAlignment="1">
      <alignment horizontal="center" vertical="center"/>
    </xf>
    <xf numFmtId="166" fontId="115" fillId="3" borderId="21" xfId="0" applyNumberFormat="1" applyFont="1" applyFill="1" applyBorder="1" applyAlignment="1">
      <alignment horizontal="center" vertical="center"/>
    </xf>
    <xf numFmtId="9" fontId="115" fillId="3" borderId="21" xfId="2" applyFont="1" applyFill="1" applyBorder="1" applyAlignment="1">
      <alignment horizontal="center" vertical="center"/>
    </xf>
    <xf numFmtId="9" fontId="115" fillId="3" borderId="22" xfId="2" applyFont="1" applyFill="1" applyBorder="1" applyAlignment="1">
      <alignment horizontal="center" vertical="center" wrapText="1"/>
    </xf>
    <xf numFmtId="14" fontId="120" fillId="2" borderId="9" xfId="0" applyNumberFormat="1" applyFont="1" applyFill="1" applyBorder="1" applyAlignment="1">
      <alignment horizontal="center" vertical="center"/>
    </xf>
    <xf numFmtId="0" fontId="120" fillId="2" borderId="10" xfId="0" applyFont="1" applyFill="1" applyBorder="1" applyAlignment="1">
      <alignment vertical="center"/>
    </xf>
    <xf numFmtId="165" fontId="120" fillId="2" borderId="10" xfId="1" applyNumberFormat="1" applyFont="1" applyFill="1" applyBorder="1" applyAlignment="1">
      <alignment horizontal="center" vertical="center"/>
    </xf>
    <xf numFmtId="166" fontId="120" fillId="2" borderId="10" xfId="0" applyNumberFormat="1" applyFont="1" applyFill="1" applyBorder="1" applyAlignment="1">
      <alignment horizontal="center" vertical="center"/>
    </xf>
    <xf numFmtId="9" fontId="120" fillId="2" borderId="10" xfId="2" applyFont="1" applyFill="1" applyBorder="1" applyAlignment="1">
      <alignment horizontal="center" vertical="center"/>
    </xf>
    <xf numFmtId="167" fontId="120" fillId="2" borderId="11" xfId="1" applyNumberFormat="1" applyFont="1" applyFill="1" applyBorder="1" applyAlignment="1">
      <alignment horizontal="center" vertical="center"/>
    </xf>
    <xf numFmtId="0" fontId="120" fillId="2" borderId="11" xfId="0" applyFont="1" applyFill="1" applyBorder="1" applyAlignment="1">
      <alignment horizontal="center" vertical="center"/>
    </xf>
    <xf numFmtId="1" fontId="120" fillId="2" borderId="11" xfId="0" applyNumberFormat="1" applyFont="1" applyFill="1" applyBorder="1" applyAlignment="1">
      <alignment horizontal="center" vertical="center"/>
    </xf>
    <xf numFmtId="165" fontId="120" fillId="2" borderId="10" xfId="0" applyNumberFormat="1" applyFont="1" applyFill="1" applyBorder="1" applyAlignment="1">
      <alignment horizontal="center" vertical="center"/>
    </xf>
    <xf numFmtId="0" fontId="120" fillId="2" borderId="12" xfId="0" applyFont="1" applyFill="1" applyBorder="1"/>
    <xf numFmtId="14" fontId="120" fillId="2" borderId="14" xfId="0" applyNumberFormat="1" applyFont="1" applyFill="1" applyBorder="1" applyAlignment="1">
      <alignment horizontal="center" vertical="center"/>
    </xf>
    <xf numFmtId="0" fontId="120" fillId="2" borderId="15" xfId="0" applyFont="1" applyFill="1" applyBorder="1" applyAlignment="1">
      <alignment vertical="center"/>
    </xf>
    <xf numFmtId="165" fontId="120" fillId="2" borderId="15" xfId="1" applyNumberFormat="1" applyFont="1" applyFill="1" applyBorder="1" applyAlignment="1">
      <alignment horizontal="center" vertical="center"/>
    </xf>
    <xf numFmtId="166" fontId="120" fillId="2" borderId="15" xfId="0" applyNumberFormat="1" applyFont="1" applyFill="1" applyBorder="1" applyAlignment="1">
      <alignment horizontal="center" vertical="center"/>
    </xf>
    <xf numFmtId="9" fontId="120" fillId="2" borderId="15" xfId="2" applyFont="1" applyFill="1" applyBorder="1" applyAlignment="1">
      <alignment horizontal="center" vertical="center"/>
    </xf>
    <xf numFmtId="165" fontId="120" fillId="2" borderId="17" xfId="1" applyNumberFormat="1" applyFont="1" applyFill="1" applyBorder="1" applyAlignment="1">
      <alignment horizontal="center" vertical="center"/>
    </xf>
    <xf numFmtId="167" fontId="120" fillId="2" borderId="16" xfId="1" applyNumberFormat="1" applyFont="1" applyFill="1" applyBorder="1" applyAlignment="1">
      <alignment horizontal="center" vertical="center"/>
    </xf>
    <xf numFmtId="165" fontId="120" fillId="2" borderId="12" xfId="0" applyNumberFormat="1" applyFont="1" applyFill="1" applyBorder="1"/>
    <xf numFmtId="168" fontId="120" fillId="2" borderId="12" xfId="0" applyNumberFormat="1" applyFont="1" applyFill="1" applyBorder="1"/>
    <xf numFmtId="165" fontId="120" fillId="2" borderId="15" xfId="0" applyNumberFormat="1" applyFont="1" applyFill="1" applyBorder="1" applyAlignment="1">
      <alignment horizontal="center" vertical="center"/>
    </xf>
    <xf numFmtId="165" fontId="120" fillId="2" borderId="17" xfId="0" applyNumberFormat="1" applyFont="1" applyFill="1" applyBorder="1" applyAlignment="1">
      <alignment horizontal="center" vertical="center"/>
    </xf>
    <xf numFmtId="167" fontId="120" fillId="2" borderId="12" xfId="0" applyNumberFormat="1" applyFont="1" applyFill="1" applyBorder="1"/>
    <xf numFmtId="0" fontId="120" fillId="2" borderId="17" xfId="0" applyFont="1" applyFill="1" applyBorder="1" applyAlignment="1">
      <alignment vertical="center"/>
    </xf>
    <xf numFmtId="1" fontId="120" fillId="2" borderId="16" xfId="0" applyNumberFormat="1" applyFont="1" applyFill="1" applyBorder="1" applyAlignment="1">
      <alignment horizontal="center" vertical="center"/>
    </xf>
    <xf numFmtId="14" fontId="120" fillId="2" borderId="19" xfId="0" applyNumberFormat="1" applyFont="1" applyFill="1" applyBorder="1" applyAlignment="1">
      <alignment horizontal="center" vertical="center"/>
    </xf>
    <xf numFmtId="0" fontId="120" fillId="2" borderId="20" xfId="0" applyFont="1" applyFill="1" applyBorder="1" applyAlignment="1">
      <alignment vertical="center"/>
    </xf>
    <xf numFmtId="165" fontId="120" fillId="2" borderId="20" xfId="1" applyNumberFormat="1" applyFont="1" applyFill="1" applyBorder="1" applyAlignment="1">
      <alignment horizontal="center" vertical="center"/>
    </xf>
    <xf numFmtId="166" fontId="120" fillId="2" borderId="21" xfId="0" applyNumberFormat="1" applyFont="1" applyFill="1" applyBorder="1" applyAlignment="1">
      <alignment horizontal="center" vertical="center"/>
    </xf>
    <xf numFmtId="9" fontId="120" fillId="2" borderId="21" xfId="2" applyFont="1" applyFill="1" applyBorder="1" applyAlignment="1">
      <alignment horizontal="center" vertical="center"/>
    </xf>
    <xf numFmtId="167" fontId="120" fillId="2" borderId="22" xfId="1" applyNumberFormat="1" applyFont="1" applyFill="1" applyBorder="1" applyAlignment="1">
      <alignment horizontal="center" vertical="center"/>
    </xf>
    <xf numFmtId="1" fontId="120" fillId="2" borderId="22" xfId="0" applyNumberFormat="1" applyFont="1" applyFill="1" applyBorder="1" applyAlignment="1">
      <alignment horizontal="center" vertical="center"/>
    </xf>
    <xf numFmtId="165" fontId="120" fillId="2" borderId="21" xfId="0" applyNumberFormat="1" applyFont="1" applyFill="1" applyBorder="1" applyAlignment="1">
      <alignment horizontal="center" vertical="center"/>
    </xf>
    <xf numFmtId="165" fontId="120" fillId="2" borderId="20" xfId="0" applyNumberFormat="1" applyFont="1" applyFill="1" applyBorder="1" applyAlignment="1">
      <alignment horizontal="center" vertical="center"/>
    </xf>
    <xf numFmtId="165" fontId="120" fillId="2" borderId="23" xfId="0" applyNumberFormat="1" applyFont="1" applyFill="1" applyBorder="1" applyAlignment="1">
      <alignment horizontal="center" vertical="center"/>
    </xf>
    <xf numFmtId="165" fontId="120" fillId="2" borderId="25" xfId="0" applyNumberFormat="1" applyFont="1" applyFill="1" applyBorder="1" applyAlignment="1">
      <alignment horizontal="center" vertical="center"/>
    </xf>
    <xf numFmtId="0" fontId="120" fillId="2" borderId="16" xfId="0" applyFont="1" applyFill="1" applyBorder="1" applyAlignment="1">
      <alignment horizontal="center" vertical="center"/>
    </xf>
    <xf numFmtId="0" fontId="120" fillId="2" borderId="27" xfId="0" applyFont="1" applyFill="1" applyBorder="1" applyAlignment="1">
      <alignment vertical="center"/>
    </xf>
    <xf numFmtId="165" fontId="120" fillId="2" borderId="27" xfId="1" applyNumberFormat="1" applyFont="1" applyFill="1" applyBorder="1" applyAlignment="1">
      <alignment horizontal="center" vertical="center"/>
    </xf>
    <xf numFmtId="166" fontId="120" fillId="2" borderId="27" xfId="0" applyNumberFormat="1" applyFont="1" applyFill="1" applyBorder="1" applyAlignment="1">
      <alignment horizontal="center" vertical="center"/>
    </xf>
    <xf numFmtId="9" fontId="120" fillId="2" borderId="27" xfId="2" applyFont="1" applyFill="1" applyBorder="1" applyAlignment="1">
      <alignment horizontal="center" vertical="center"/>
    </xf>
    <xf numFmtId="165" fontId="120" fillId="2" borderId="15" xfId="0" applyNumberFormat="1" applyFont="1" applyFill="1" applyBorder="1" applyAlignment="1">
      <alignment vertical="center"/>
    </xf>
    <xf numFmtId="165" fontId="120" fillId="2" borderId="17" xfId="0" applyNumberFormat="1" applyFont="1" applyFill="1" applyBorder="1" applyAlignment="1">
      <alignment vertical="center"/>
    </xf>
    <xf numFmtId="175" fontId="120" fillId="2" borderId="27" xfId="2" applyNumberFormat="1" applyFont="1" applyFill="1" applyBorder="1" applyAlignment="1">
      <alignment horizontal="center" vertical="center"/>
    </xf>
    <xf numFmtId="14" fontId="115" fillId="4" borderId="19" xfId="0" applyNumberFormat="1" applyFont="1" applyFill="1" applyBorder="1" applyAlignment="1">
      <alignment horizontal="center" vertical="center"/>
    </xf>
    <xf numFmtId="0" fontId="115" fillId="4" borderId="21" xfId="0" applyFont="1" applyFill="1" applyBorder="1" applyAlignment="1">
      <alignment vertical="center"/>
    </xf>
    <xf numFmtId="165" fontId="115" fillId="4" borderId="21" xfId="1" applyNumberFormat="1" applyFont="1" applyFill="1" applyBorder="1" applyAlignment="1">
      <alignment horizontal="center" vertical="center"/>
    </xf>
    <xf numFmtId="166" fontId="115" fillId="4" borderId="21" xfId="0" applyNumberFormat="1" applyFont="1" applyFill="1" applyBorder="1" applyAlignment="1">
      <alignment horizontal="center" vertical="center"/>
    </xf>
    <xf numFmtId="9" fontId="115" fillId="4" borderId="21" xfId="2" applyFont="1" applyFill="1" applyBorder="1" applyAlignment="1">
      <alignment horizontal="center" vertical="center"/>
    </xf>
    <xf numFmtId="167" fontId="115" fillId="4" borderId="22" xfId="1" applyNumberFormat="1" applyFont="1" applyFill="1" applyBorder="1" applyAlignment="1">
      <alignment horizontal="center" vertical="center"/>
    </xf>
    <xf numFmtId="0" fontId="115" fillId="4" borderId="22" xfId="0" applyFont="1" applyFill="1" applyBorder="1" applyAlignment="1">
      <alignment horizontal="center" vertical="center"/>
    </xf>
    <xf numFmtId="1" fontId="115" fillId="4" borderId="22" xfId="0" applyNumberFormat="1" applyFont="1" applyFill="1" applyBorder="1" applyAlignment="1">
      <alignment horizontal="center" vertical="center"/>
    </xf>
    <xf numFmtId="165" fontId="115" fillId="4" borderId="21" xfId="0" applyNumberFormat="1" applyFont="1" applyFill="1" applyBorder="1" applyAlignment="1">
      <alignment horizontal="center" vertical="center"/>
    </xf>
    <xf numFmtId="0" fontId="115" fillId="4" borderId="17" xfId="0" applyFont="1" applyFill="1" applyBorder="1"/>
    <xf numFmtId="165" fontId="115" fillId="4" borderId="17" xfId="1" applyNumberFormat="1" applyFont="1" applyFill="1" applyBorder="1" applyAlignment="1">
      <alignment horizontal="center" vertical="center"/>
    </xf>
    <xf numFmtId="9" fontId="115" fillId="4" borderId="17" xfId="2" applyFont="1" applyFill="1" applyBorder="1" applyAlignment="1">
      <alignment horizontal="center" vertical="center"/>
    </xf>
    <xf numFmtId="1" fontId="115" fillId="4" borderId="17" xfId="0" applyNumberFormat="1" applyFont="1" applyFill="1" applyBorder="1" applyAlignment="1">
      <alignment horizontal="center"/>
    </xf>
    <xf numFmtId="165" fontId="11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5" fillId="4" borderId="54" xfId="0" applyNumberFormat="1" applyFont="1" applyFill="1" applyBorder="1" applyAlignment="1">
      <alignment vertical="center"/>
    </xf>
    <xf numFmtId="0" fontId="115" fillId="3" borderId="22" xfId="0" applyFont="1" applyFill="1" applyBorder="1" applyAlignment="1">
      <alignment horizontal="center" vertical="center" wrapText="1"/>
    </xf>
    <xf numFmtId="0" fontId="115" fillId="3" borderId="21" xfId="0" applyFont="1" applyFill="1" applyBorder="1" applyAlignment="1">
      <alignment horizontal="center" vertical="center"/>
    </xf>
    <xf numFmtId="0" fontId="115" fillId="3" borderId="21" xfId="0" applyFont="1" applyFill="1" applyBorder="1" applyAlignment="1">
      <alignment horizontal="center" vertical="center" wrapText="1"/>
    </xf>
    <xf numFmtId="0" fontId="115" fillId="20" borderId="28" xfId="0" applyFont="1" applyFill="1" applyBorder="1" applyAlignment="1">
      <alignment horizontal="center" vertical="center"/>
    </xf>
    <xf numFmtId="14" fontId="120" fillId="17" borderId="9" xfId="0" applyNumberFormat="1" applyFont="1" applyFill="1" applyBorder="1" applyAlignment="1">
      <alignment horizontal="center" vertical="center"/>
    </xf>
    <xf numFmtId="0" fontId="120" fillId="17" borderId="10" xfId="0" applyFont="1" applyFill="1" applyBorder="1" applyAlignment="1">
      <alignment vertical="center"/>
    </xf>
    <xf numFmtId="165" fontId="120" fillId="17" borderId="10" xfId="1" applyNumberFormat="1" applyFont="1" applyFill="1" applyBorder="1" applyAlignment="1">
      <alignment horizontal="center" vertical="center"/>
    </xf>
    <xf numFmtId="166" fontId="120" fillId="17" borderId="10" xfId="0" applyNumberFormat="1" applyFont="1" applyFill="1" applyBorder="1" applyAlignment="1">
      <alignment horizontal="center" vertical="center"/>
    </xf>
    <xf numFmtId="9" fontId="120" fillId="17" borderId="10" xfId="2" applyFont="1" applyFill="1" applyBorder="1" applyAlignment="1">
      <alignment horizontal="center" vertical="center"/>
    </xf>
    <xf numFmtId="167" fontId="120" fillId="17" borderId="11" xfId="1" applyNumberFormat="1" applyFont="1" applyFill="1" applyBorder="1" applyAlignment="1">
      <alignment horizontal="center" vertical="center"/>
    </xf>
    <xf numFmtId="1" fontId="120" fillId="17" borderId="11" xfId="0" applyNumberFormat="1" applyFont="1" applyFill="1" applyBorder="1" applyAlignment="1">
      <alignment horizontal="center" vertical="center"/>
    </xf>
    <xf numFmtId="165" fontId="120" fillId="17" borderId="10" xfId="0" applyNumberFormat="1" applyFont="1" applyFill="1" applyBorder="1" applyAlignment="1">
      <alignment horizontal="center" vertical="center"/>
    </xf>
    <xf numFmtId="0" fontId="120" fillId="17" borderId="12" xfId="0" applyFont="1" applyFill="1" applyBorder="1"/>
    <xf numFmtId="14" fontId="120" fillId="17" borderId="14" xfId="0" applyNumberFormat="1" applyFont="1" applyFill="1" applyBorder="1" applyAlignment="1">
      <alignment horizontal="center" vertical="center"/>
    </xf>
    <xf numFmtId="0" fontId="120" fillId="17" borderId="15" xfId="0" applyFont="1" applyFill="1" applyBorder="1" applyAlignment="1">
      <alignment vertical="center"/>
    </xf>
    <xf numFmtId="165" fontId="120" fillId="17" borderId="17" xfId="1" applyNumberFormat="1" applyFont="1" applyFill="1" applyBorder="1" applyAlignment="1">
      <alignment horizontal="center" vertical="center"/>
    </xf>
    <xf numFmtId="9" fontId="120" fillId="17" borderId="15" xfId="2" applyFont="1" applyFill="1" applyBorder="1" applyAlignment="1">
      <alignment horizontal="center" vertical="center"/>
    </xf>
    <xf numFmtId="167" fontId="120" fillId="17" borderId="16" xfId="1" applyNumberFormat="1" applyFont="1" applyFill="1" applyBorder="1" applyAlignment="1">
      <alignment horizontal="center" vertical="center"/>
    </xf>
    <xf numFmtId="165" fontId="120" fillId="17" borderId="15" xfId="0" applyNumberFormat="1" applyFont="1" applyFill="1" applyBorder="1" applyAlignment="1">
      <alignment horizontal="center" vertical="center"/>
    </xf>
    <xf numFmtId="165" fontId="120" fillId="17" borderId="12" xfId="0" applyNumberFormat="1" applyFont="1" applyFill="1" applyBorder="1"/>
    <xf numFmtId="165" fontId="120" fillId="17" borderId="17" xfId="0" applyNumberFormat="1" applyFont="1" applyFill="1" applyBorder="1" applyAlignment="1">
      <alignment horizontal="center" vertical="center"/>
    </xf>
    <xf numFmtId="0" fontId="120" fillId="17" borderId="17" xfId="0" applyFont="1" applyFill="1" applyBorder="1" applyAlignment="1">
      <alignment vertical="center"/>
    </xf>
    <xf numFmtId="1" fontId="120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0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7" fillId="2" borderId="7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left" vertical="center"/>
    </xf>
    <xf numFmtId="0" fontId="120" fillId="2" borderId="12" xfId="0" applyFont="1" applyFill="1" applyBorder="1" applyAlignment="1">
      <alignment wrapText="1"/>
    </xf>
    <xf numFmtId="0" fontId="7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0" fillId="4" borderId="12" xfId="0" applyFont="1" applyFill="1" applyBorder="1" applyAlignment="1">
      <alignment horizontal="center" wrapText="1"/>
    </xf>
    <xf numFmtId="166" fontId="121" fillId="17" borderId="10" xfId="0" applyNumberFormat="1" applyFont="1" applyFill="1" applyBorder="1" applyAlignment="1">
      <alignment horizontal="center" vertical="center"/>
    </xf>
    <xf numFmtId="166" fontId="121" fillId="2" borderId="21" xfId="0" applyNumberFormat="1" applyFont="1" applyFill="1" applyBorder="1" applyAlignment="1">
      <alignment horizontal="center" vertical="center"/>
    </xf>
    <xf numFmtId="166" fontId="121" fillId="17" borderId="15" xfId="0" applyNumberFormat="1" applyFont="1" applyFill="1" applyBorder="1" applyAlignment="1">
      <alignment horizontal="center" vertical="center"/>
    </xf>
    <xf numFmtId="166" fontId="121" fillId="2" borderId="15" xfId="0" applyNumberFormat="1" applyFont="1" applyFill="1" applyBorder="1" applyAlignment="1">
      <alignment horizontal="center" vertical="center"/>
    </xf>
    <xf numFmtId="166" fontId="121" fillId="2" borderId="10" xfId="0" applyNumberFormat="1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5" fillId="18" borderId="12" xfId="0" applyFont="1" applyFill="1" applyBorder="1" applyAlignment="1">
      <alignment horizontal="center"/>
    </xf>
    <xf numFmtId="0" fontId="10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0" fillId="18" borderId="12" xfId="0" applyNumberFormat="1" applyFont="1" applyFill="1" applyBorder="1" applyAlignment="1">
      <alignment horizontal="center" wrapText="1"/>
    </xf>
    <xf numFmtId="14" fontId="74" fillId="2" borderId="12" xfId="0" applyNumberFormat="1" applyFont="1" applyFill="1" applyBorder="1"/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/>
    </xf>
    <xf numFmtId="173" fontId="105" fillId="0" borderId="47" xfId="0" applyNumberFormat="1" applyFont="1" applyBorder="1" applyAlignment="1">
      <alignment horizontal="center"/>
    </xf>
    <xf numFmtId="1" fontId="105" fillId="0" borderId="20" xfId="0" applyNumberFormat="1" applyFont="1" applyBorder="1" applyAlignment="1">
      <alignment horizontal="center"/>
    </xf>
    <xf numFmtId="0" fontId="105" fillId="0" borderId="20" xfId="0" applyFont="1" applyBorder="1"/>
    <xf numFmtId="9" fontId="105" fillId="0" borderId="20" xfId="0" applyNumberFormat="1" applyFont="1" applyBorder="1" applyAlignment="1">
      <alignment horizontal="center"/>
    </xf>
    <xf numFmtId="0" fontId="105" fillId="0" borderId="20" xfId="0" applyFont="1" applyBorder="1" applyAlignment="1">
      <alignment horizontal="center"/>
    </xf>
    <xf numFmtId="173" fontId="105" fillId="14" borderId="12" xfId="0" applyNumberFormat="1" applyFont="1" applyFill="1" applyBorder="1" applyAlignment="1">
      <alignment horizontal="center"/>
    </xf>
    <xf numFmtId="43" fontId="105" fillId="14" borderId="12" xfId="1" applyFont="1" applyFill="1" applyBorder="1" applyAlignment="1">
      <alignment horizontal="center"/>
    </xf>
    <xf numFmtId="0" fontId="105" fillId="21" borderId="12" xfId="0" applyFont="1" applyFill="1" applyBorder="1" applyAlignment="1">
      <alignment horizontal="center"/>
    </xf>
    <xf numFmtId="0" fontId="105" fillId="14" borderId="12" xfId="0" applyFont="1" applyFill="1" applyBorder="1"/>
    <xf numFmtId="1" fontId="105" fillId="21" borderId="12" xfId="0" applyNumberFormat="1" applyFont="1" applyFill="1" applyBorder="1" applyAlignment="1">
      <alignment horizontal="center"/>
    </xf>
    <xf numFmtId="2" fontId="105" fillId="21" borderId="12" xfId="0" applyNumberFormat="1" applyFont="1" applyFill="1" applyBorder="1" applyAlignment="1">
      <alignment horizontal="center"/>
    </xf>
    <xf numFmtId="176" fontId="105" fillId="21" borderId="12" xfId="0" applyNumberFormat="1" applyFont="1" applyFill="1" applyBorder="1" applyAlignment="1">
      <alignment horizontal="center"/>
    </xf>
    <xf numFmtId="9" fontId="105" fillId="21" borderId="12" xfId="0" applyNumberFormat="1" applyFont="1" applyFill="1" applyBorder="1" applyAlignment="1">
      <alignment horizontal="center"/>
    </xf>
    <xf numFmtId="0" fontId="105" fillId="14" borderId="12" xfId="0" applyFont="1" applyFill="1" applyBorder="1" applyAlignment="1">
      <alignment horizontal="center"/>
    </xf>
    <xf numFmtId="0" fontId="107" fillId="21" borderId="12" xfId="0" applyFont="1" applyFill="1" applyBorder="1" applyAlignment="1">
      <alignment horizontal="center" wrapText="1"/>
    </xf>
    <xf numFmtId="43" fontId="105" fillId="21" borderId="12" xfId="1" applyFont="1" applyFill="1" applyBorder="1" applyAlignment="1">
      <alignment horizontal="center"/>
    </xf>
    <xf numFmtId="1" fontId="105" fillId="14" borderId="48" xfId="0" applyNumberFormat="1" applyFont="1" applyFill="1" applyBorder="1" applyAlignment="1">
      <alignment horizontal="center"/>
    </xf>
    <xf numFmtId="0" fontId="100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2" fillId="2" borderId="7" xfId="0" applyFont="1" applyFill="1" applyBorder="1" applyAlignment="1">
      <alignment vertical="center"/>
    </xf>
    <xf numFmtId="0" fontId="10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0" fillId="2" borderId="7" xfId="0" applyFont="1" applyFill="1" applyBorder="1" applyAlignment="1">
      <alignment vertical="center"/>
    </xf>
    <xf numFmtId="0" fontId="103" fillId="16" borderId="0" xfId="0" applyFont="1" applyFill="1"/>
    <xf numFmtId="0" fontId="0" fillId="16" borderId="0" xfId="0" applyFill="1"/>
    <xf numFmtId="180" fontId="103" fillId="16" borderId="0" xfId="3" applyNumberFormat="1" applyFont="1" applyFill="1"/>
    <xf numFmtId="0" fontId="100" fillId="0" borderId="0" xfId="0" applyFont="1" applyAlignment="1">
      <alignment horizontal="center"/>
    </xf>
    <xf numFmtId="0" fontId="100" fillId="18" borderId="7" xfId="0" applyFont="1" applyFill="1" applyBorder="1" applyAlignment="1">
      <alignment horizontal="center"/>
    </xf>
    <xf numFmtId="0" fontId="10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0" fillId="4" borderId="12" xfId="0" applyNumberFormat="1" applyFont="1" applyFill="1" applyBorder="1" applyAlignment="1">
      <alignment horizontal="center"/>
    </xf>
    <xf numFmtId="0" fontId="9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6" fillId="2" borderId="7" xfId="0" applyFont="1" applyFill="1" applyBorder="1" applyAlignment="1">
      <alignment vertical="center"/>
    </xf>
    <xf numFmtId="0" fontId="65" fillId="2" borderId="28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9" fillId="2" borderId="13" xfId="0" applyNumberFormat="1" applyFont="1" applyFill="1" applyBorder="1" applyAlignment="1">
      <alignment vertical="center"/>
    </xf>
    <xf numFmtId="14" fontId="99" fillId="2" borderId="14" xfId="0" applyNumberFormat="1" applyFont="1" applyFill="1" applyBorder="1" applyAlignment="1">
      <alignment vertical="center"/>
    </xf>
    <xf numFmtId="1" fontId="11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left" vertical="center"/>
    </xf>
    <xf numFmtId="14" fontId="60" fillId="2" borderId="20" xfId="0" applyNumberFormat="1" applyFont="1" applyFill="1" applyBorder="1" applyAlignment="1">
      <alignment horizontal="center" vertical="center"/>
    </xf>
    <xf numFmtId="0" fontId="60" fillId="2" borderId="7" xfId="0" applyFont="1" applyFill="1" applyBorder="1" applyAlignment="1">
      <alignment vertical="center"/>
    </xf>
    <xf numFmtId="0" fontId="5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9" fillId="2" borderId="12" xfId="0" applyNumberFormat="1" applyFont="1" applyFill="1" applyBorder="1" applyAlignment="1">
      <alignment horizontal="center" vertical="center"/>
    </xf>
    <xf numFmtId="1" fontId="99" fillId="2" borderId="12" xfId="0" applyNumberFormat="1" applyFont="1" applyFill="1" applyBorder="1" applyAlignment="1">
      <alignment horizontal="center" vertical="center"/>
    </xf>
    <xf numFmtId="14" fontId="99" fillId="23" borderId="12" xfId="0" applyNumberFormat="1" applyFont="1" applyFill="1" applyBorder="1" applyAlignment="1">
      <alignment horizontal="center" vertical="center"/>
    </xf>
    <xf numFmtId="20" fontId="99" fillId="23" borderId="12" xfId="0" applyNumberFormat="1" applyFont="1" applyFill="1" applyBorder="1" applyAlignment="1">
      <alignment horizontal="center" vertical="center"/>
    </xf>
    <xf numFmtId="1" fontId="99" fillId="23" borderId="12" xfId="0" applyNumberFormat="1" applyFont="1" applyFill="1" applyBorder="1" applyAlignment="1">
      <alignment horizontal="center" vertical="center"/>
    </xf>
    <xf numFmtId="14" fontId="99" fillId="22" borderId="12" xfId="0" applyNumberFormat="1" applyFont="1" applyFill="1" applyBorder="1" applyAlignment="1">
      <alignment horizontal="center" vertical="center"/>
    </xf>
    <xf numFmtId="20" fontId="99" fillId="22" borderId="12" xfId="0" applyNumberFormat="1" applyFont="1" applyFill="1" applyBorder="1" applyAlignment="1">
      <alignment horizontal="center" vertical="center"/>
    </xf>
    <xf numFmtId="1" fontId="99" fillId="22" borderId="12" xfId="0" applyNumberFormat="1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14" fontId="70" fillId="22" borderId="10" xfId="0" applyNumberFormat="1" applyFont="1" applyFill="1" applyBorder="1" applyAlignment="1">
      <alignment horizontal="center" vertical="center"/>
    </xf>
    <xf numFmtId="14" fontId="70" fillId="22" borderId="17" xfId="0" applyNumberFormat="1" applyFont="1" applyFill="1" applyBorder="1" applyAlignment="1">
      <alignment horizontal="center" vertical="center"/>
    </xf>
    <xf numFmtId="14" fontId="6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0" fillId="23" borderId="17" xfId="0" applyNumberFormat="1" applyFont="1" applyFill="1" applyBorder="1" applyAlignment="1">
      <alignment horizontal="center" vertical="center"/>
    </xf>
    <xf numFmtId="14" fontId="99" fillId="23" borderId="17" xfId="0" applyNumberFormat="1" applyFont="1" applyFill="1" applyBorder="1" applyAlignment="1">
      <alignment horizontal="center" vertical="center"/>
    </xf>
    <xf numFmtId="14" fontId="7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1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 wrapText="1"/>
    </xf>
    <xf numFmtId="14" fontId="6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3" fillId="22" borderId="28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6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0" fillId="2" borderId="0" xfId="0" applyFont="1" applyFill="1"/>
    <xf numFmtId="0" fontId="100" fillId="22" borderId="10" xfId="0" applyFont="1" applyFill="1" applyBorder="1" applyAlignment="1">
      <alignment horizontal="center"/>
    </xf>
    <xf numFmtId="0" fontId="100" fillId="22" borderId="17" xfId="0" applyFont="1" applyFill="1" applyBorder="1" applyAlignment="1">
      <alignment horizontal="center"/>
    </xf>
    <xf numFmtId="0" fontId="100" fillId="23" borderId="10" xfId="0" applyFont="1" applyFill="1" applyBorder="1" applyAlignment="1">
      <alignment horizontal="center"/>
    </xf>
    <xf numFmtId="0" fontId="100" fillId="23" borderId="17" xfId="0" applyFont="1" applyFill="1" applyBorder="1" applyAlignment="1">
      <alignment horizontal="center"/>
    </xf>
    <xf numFmtId="0" fontId="100" fillId="23" borderId="28" xfId="0" applyFont="1" applyFill="1" applyBorder="1" applyAlignment="1">
      <alignment horizontal="center"/>
    </xf>
    <xf numFmtId="0" fontId="100" fillId="23" borderId="20" xfId="0" applyFont="1" applyFill="1" applyBorder="1" applyAlignment="1">
      <alignment horizontal="center"/>
    </xf>
    <xf numFmtId="0" fontId="100" fillId="22" borderId="12" xfId="0" applyFont="1" applyFill="1" applyBorder="1" applyAlignment="1">
      <alignment horizontal="center"/>
    </xf>
    <xf numFmtId="0" fontId="100" fillId="22" borderId="28" xfId="0" applyFont="1" applyFill="1" applyBorder="1" applyAlignment="1">
      <alignment horizontal="center"/>
    </xf>
    <xf numFmtId="0" fontId="100" fillId="23" borderId="12" xfId="0" applyFont="1" applyFill="1" applyBorder="1" applyAlignment="1">
      <alignment horizontal="center"/>
    </xf>
    <xf numFmtId="0" fontId="100" fillId="2" borderId="20" xfId="0" applyFont="1" applyFill="1" applyBorder="1" applyAlignment="1">
      <alignment horizontal="center"/>
    </xf>
    <xf numFmtId="0" fontId="100" fillId="2" borderId="10" xfId="0" applyFont="1" applyFill="1" applyBorder="1" applyAlignment="1">
      <alignment horizontal="center"/>
    </xf>
    <xf numFmtId="14" fontId="67" fillId="22" borderId="12" xfId="0" applyNumberFormat="1" applyFont="1" applyFill="1" applyBorder="1" applyAlignment="1">
      <alignment horizontal="center" vertical="center" wrapText="1"/>
    </xf>
    <xf numFmtId="14" fontId="6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0" fillId="2" borderId="0" xfId="0" applyFont="1" applyFill="1" applyAlignment="1">
      <alignment horizontal="center" vertical="center"/>
    </xf>
    <xf numFmtId="0" fontId="100" fillId="3" borderId="0" xfId="0" applyFont="1" applyFill="1" applyAlignment="1">
      <alignment horizontal="center" vertical="center"/>
    </xf>
    <xf numFmtId="20" fontId="96" fillId="22" borderId="12" xfId="0" applyNumberFormat="1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left" vertical="top" wrapText="1"/>
    </xf>
    <xf numFmtId="0" fontId="69" fillId="22" borderId="12" xfId="0" applyFont="1" applyFill="1" applyBorder="1" applyAlignment="1">
      <alignment horizontal="left" vertical="center" wrapText="1"/>
    </xf>
    <xf numFmtId="0" fontId="69" fillId="23" borderId="12" xfId="0" applyFont="1" applyFill="1" applyBorder="1" applyAlignment="1">
      <alignment horizontal="left" vertical="center" wrapText="1"/>
    </xf>
    <xf numFmtId="20" fontId="93" fillId="23" borderId="12" xfId="0" applyNumberFormat="1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left" vertical="center"/>
    </xf>
    <xf numFmtId="0" fontId="96" fillId="22" borderId="12" xfId="0" applyFont="1" applyFill="1" applyBorder="1" applyAlignment="1">
      <alignment horizontal="center" vertical="center"/>
    </xf>
    <xf numFmtId="0" fontId="95" fillId="22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0" fontId="89" fillId="23" borderId="12" xfId="0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0" fontId="92" fillId="22" borderId="12" xfId="0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left" vertical="center" wrapText="1"/>
    </xf>
    <xf numFmtId="0" fontId="64" fillId="22" borderId="12" xfId="0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left" vertical="center" wrapText="1"/>
    </xf>
    <xf numFmtId="0" fontId="90" fillId="22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center" wrapText="1"/>
    </xf>
    <xf numFmtId="0" fontId="90" fillId="23" borderId="12" xfId="0" applyFont="1" applyFill="1" applyBorder="1" applyAlignment="1">
      <alignment horizontal="center" vertical="center"/>
    </xf>
    <xf numFmtId="0" fontId="63" fillId="23" borderId="12" xfId="0" applyFont="1" applyFill="1" applyBorder="1" applyAlignment="1">
      <alignment horizontal="left" vertical="center" wrapText="1"/>
    </xf>
    <xf numFmtId="0" fontId="60" fillId="23" borderId="12" xfId="0" applyFont="1" applyFill="1" applyBorder="1" applyAlignment="1">
      <alignment horizontal="center" vertical="center"/>
    </xf>
    <xf numFmtId="0" fontId="89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7" fillId="2" borderId="20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1" fontId="99" fillId="23" borderId="28" xfId="0" applyNumberFormat="1" applyFont="1" applyFill="1" applyBorder="1" applyAlignment="1">
      <alignment horizontal="center" vertical="center"/>
    </xf>
    <xf numFmtId="0" fontId="86" fillId="23" borderId="20" xfId="0" applyFont="1" applyFill="1" applyBorder="1" applyAlignment="1">
      <alignment horizontal="center" vertical="center"/>
    </xf>
    <xf numFmtId="20" fontId="99" fillId="23" borderId="20" xfId="0" applyNumberFormat="1" applyFont="1" applyFill="1" applyBorder="1" applyAlignment="1">
      <alignment horizontal="center" vertical="center"/>
    </xf>
    <xf numFmtId="0" fontId="85" fillId="23" borderId="28" xfId="0" applyFont="1" applyFill="1" applyBorder="1" applyAlignment="1">
      <alignment horizontal="center" vertical="center"/>
    </xf>
    <xf numFmtId="20" fontId="99" fillId="23" borderId="28" xfId="0" applyNumberFormat="1" applyFont="1" applyFill="1" applyBorder="1" applyAlignment="1">
      <alignment horizontal="center" vertical="center"/>
    </xf>
    <xf numFmtId="0" fontId="85" fillId="23" borderId="70" xfId="0" applyFont="1" applyFill="1" applyBorder="1" applyAlignment="1">
      <alignment horizontal="center" vertical="center"/>
    </xf>
    <xf numFmtId="20" fontId="99" fillId="23" borderId="70" xfId="0" applyNumberFormat="1" applyFont="1" applyFill="1" applyBorder="1" applyAlignment="1">
      <alignment horizontal="center" vertical="center"/>
    </xf>
    <xf numFmtId="1" fontId="99" fillId="23" borderId="70" xfId="0" applyNumberFormat="1" applyFont="1" applyFill="1" applyBorder="1" applyAlignment="1">
      <alignment horizontal="center" vertical="center"/>
    </xf>
    <xf numFmtId="0" fontId="57" fillId="23" borderId="70" xfId="0" applyFont="1" applyFill="1" applyBorder="1" applyAlignment="1">
      <alignment horizontal="left" vertical="center" wrapText="1"/>
    </xf>
    <xf numFmtId="1" fontId="99" fillId="22" borderId="7" xfId="0" applyNumberFormat="1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left"/>
    </xf>
    <xf numFmtId="0" fontId="57" fillId="22" borderId="68" xfId="0" applyFont="1" applyFill="1" applyBorder="1" applyAlignment="1">
      <alignment horizontal="left" vertical="center" wrapText="1"/>
    </xf>
    <xf numFmtId="1" fontId="99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6" fillId="22" borderId="12" xfId="0" applyNumberFormat="1" applyFont="1" applyFill="1" applyBorder="1" applyAlignment="1">
      <alignment horizontal="left" vertical="center" wrapText="1"/>
    </xf>
    <xf numFmtId="0" fontId="55" fillId="23" borderId="68" xfId="0" applyFont="1" applyFill="1" applyBorder="1" applyAlignment="1">
      <alignment horizontal="left" vertical="center" wrapText="1"/>
    </xf>
    <xf numFmtId="0" fontId="55" fillId="23" borderId="28" xfId="0" applyFont="1" applyFill="1" applyBorder="1" applyAlignment="1">
      <alignment horizontal="left" vertical="center" wrapText="1"/>
    </xf>
    <xf numFmtId="0" fontId="105" fillId="24" borderId="47" xfId="0" applyFont="1" applyFill="1" applyBorder="1"/>
    <xf numFmtId="173" fontId="105" fillId="24" borderId="48" xfId="0" applyNumberFormat="1" applyFont="1" applyFill="1" applyBorder="1" applyAlignment="1">
      <alignment horizontal="center"/>
    </xf>
    <xf numFmtId="1" fontId="105" fillId="24" borderId="48" xfId="0" applyNumberFormat="1" applyFont="1" applyFill="1" applyBorder="1" applyAlignment="1">
      <alignment horizontal="center"/>
    </xf>
    <xf numFmtId="174" fontId="105" fillId="24" borderId="48" xfId="0" applyNumberFormat="1" applyFont="1" applyFill="1" applyBorder="1" applyAlignment="1">
      <alignment horizontal="center"/>
    </xf>
    <xf numFmtId="176" fontId="105" fillId="24" borderId="48" xfId="0" applyNumberFormat="1" applyFont="1" applyFill="1" applyBorder="1" applyAlignment="1">
      <alignment horizontal="center"/>
    </xf>
    <xf numFmtId="9" fontId="105" fillId="24" borderId="48" xfId="0" applyNumberFormat="1" applyFont="1" applyFill="1" applyBorder="1" applyAlignment="1">
      <alignment horizontal="center"/>
    </xf>
    <xf numFmtId="9" fontId="105" fillId="24" borderId="49" xfId="0" applyNumberFormat="1" applyFont="1" applyFill="1" applyBorder="1" applyAlignment="1">
      <alignment horizontal="center"/>
    </xf>
    <xf numFmtId="9" fontId="105" fillId="24" borderId="12" xfId="0" applyNumberFormat="1" applyFont="1" applyFill="1" applyBorder="1" applyAlignment="1">
      <alignment horizontal="center"/>
    </xf>
    <xf numFmtId="0" fontId="105" fillId="24" borderId="12" xfId="0" applyFont="1" applyFill="1" applyBorder="1"/>
    <xf numFmtId="0" fontId="105" fillId="24" borderId="48" xfId="0" applyFont="1" applyFill="1" applyBorder="1"/>
    <xf numFmtId="0" fontId="105" fillId="24" borderId="48" xfId="0" applyFont="1" applyFill="1" applyBorder="1" applyAlignment="1">
      <alignment horizontal="center"/>
    </xf>
    <xf numFmtId="0" fontId="105" fillId="24" borderId="0" xfId="0" applyFont="1" applyFill="1"/>
    <xf numFmtId="0" fontId="0" fillId="24" borderId="0" xfId="0" applyFill="1"/>
    <xf numFmtId="0" fontId="105" fillId="24" borderId="47" xfId="0" applyFont="1" applyFill="1" applyBorder="1" applyAlignment="1">
      <alignment horizontal="center"/>
    </xf>
    <xf numFmtId="0" fontId="105" fillId="24" borderId="50" xfId="0" applyFont="1" applyFill="1" applyBorder="1" applyAlignment="1">
      <alignment horizontal="center"/>
    </xf>
    <xf numFmtId="1" fontId="105" fillId="24" borderId="50" xfId="0" applyNumberFormat="1" applyFont="1" applyFill="1" applyBorder="1" applyAlignment="1">
      <alignment horizontal="center"/>
    </xf>
    <xf numFmtId="176" fontId="105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5" fillId="24" borderId="49" xfId="0" applyFont="1" applyFill="1" applyBorder="1"/>
    <xf numFmtId="0" fontId="105" fillId="24" borderId="49" xfId="0" applyFont="1" applyFill="1" applyBorder="1" applyAlignment="1">
      <alignment horizontal="center"/>
    </xf>
    <xf numFmtId="9" fontId="105" fillId="24" borderId="47" xfId="0" applyNumberFormat="1" applyFont="1" applyFill="1" applyBorder="1" applyAlignment="1">
      <alignment horizontal="center"/>
    </xf>
    <xf numFmtId="2" fontId="105" fillId="24" borderId="48" xfId="0" applyNumberFormat="1" applyFont="1" applyFill="1" applyBorder="1" applyAlignment="1">
      <alignment horizontal="center"/>
    </xf>
    <xf numFmtId="1" fontId="105" fillId="24" borderId="47" xfId="0" applyNumberFormat="1" applyFont="1" applyFill="1" applyBorder="1" applyAlignment="1">
      <alignment horizontal="center"/>
    </xf>
    <xf numFmtId="1" fontId="105" fillId="24" borderId="12" xfId="0" applyNumberFormat="1" applyFont="1" applyFill="1" applyBorder="1" applyAlignment="1">
      <alignment horizontal="center"/>
    </xf>
    <xf numFmtId="0" fontId="105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0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3" fillId="2" borderId="17" xfId="0" applyNumberFormat="1" applyFont="1" applyFill="1" applyBorder="1" applyAlignment="1">
      <alignment horizontal="center" vertical="center"/>
    </xf>
    <xf numFmtId="0" fontId="100" fillId="17" borderId="0" xfId="0" applyFont="1" applyFill="1" applyAlignment="1">
      <alignment horizontal="center" vertical="center"/>
    </xf>
    <xf numFmtId="14" fontId="58" fillId="22" borderId="20" xfId="0" applyNumberFormat="1" applyFont="1" applyFill="1" applyBorder="1" applyAlignment="1">
      <alignment horizontal="center" vertical="center"/>
    </xf>
    <xf numFmtId="14" fontId="54" fillId="17" borderId="12" xfId="0" applyNumberFormat="1" applyFont="1" applyFill="1" applyBorder="1" applyAlignment="1">
      <alignment horizontal="center" vertical="center"/>
    </xf>
    <xf numFmtId="0" fontId="52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0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0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7" fillId="23" borderId="28" xfId="0" applyNumberFormat="1" applyFont="1" applyFill="1" applyBorder="1" applyAlignment="1">
      <alignment horizontal="left" vertical="center" wrapText="1"/>
    </xf>
    <xf numFmtId="0" fontId="100" fillId="23" borderId="21" xfId="0" applyFont="1" applyFill="1" applyBorder="1" applyAlignment="1">
      <alignment horizontal="center"/>
    </xf>
    <xf numFmtId="14" fontId="57" fillId="23" borderId="10" xfId="0" applyNumberFormat="1" applyFont="1" applyFill="1" applyBorder="1" applyAlignment="1">
      <alignment horizontal="center" vertical="center"/>
    </xf>
    <xf numFmtId="14" fontId="57" fillId="23" borderId="17" xfId="0" applyNumberFormat="1" applyFont="1" applyFill="1" applyBorder="1" applyAlignment="1">
      <alignment horizontal="left" vertical="center" wrapText="1"/>
    </xf>
    <xf numFmtId="14" fontId="53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1" fillId="17" borderId="28" xfId="0" applyNumberFormat="1" applyFont="1" applyFill="1" applyBorder="1" applyAlignment="1">
      <alignment horizontal="left" vertical="center" wrapText="1"/>
    </xf>
    <xf numFmtId="14" fontId="53" fillId="22" borderId="28" xfId="0" applyNumberFormat="1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3" fillId="5" borderId="18" xfId="0" applyFont="1" applyFill="1" applyBorder="1"/>
    <xf numFmtId="0" fontId="103" fillId="5" borderId="67" xfId="0" applyFont="1" applyFill="1" applyBorder="1"/>
    <xf numFmtId="170" fontId="103" fillId="5" borderId="0" xfId="3" applyNumberFormat="1" applyFont="1" applyFill="1" applyBorder="1"/>
    <xf numFmtId="0" fontId="103" fillId="5" borderId="13" xfId="0" applyFont="1" applyFill="1" applyBorder="1"/>
    <xf numFmtId="0" fontId="103" fillId="5" borderId="51" xfId="0" applyFont="1" applyFill="1" applyBorder="1"/>
    <xf numFmtId="0" fontId="103" fillId="5" borderId="26" xfId="0" applyFont="1" applyFill="1" applyBorder="1"/>
    <xf numFmtId="181" fontId="0" fillId="2" borderId="0" xfId="0" applyNumberFormat="1" applyFill="1"/>
    <xf numFmtId="0" fontId="104" fillId="5" borderId="0" xfId="0" applyFont="1" applyFill="1"/>
    <xf numFmtId="169" fontId="103" fillId="5" borderId="0" xfId="3" applyNumberFormat="1" applyFont="1" applyFill="1" applyBorder="1"/>
    <xf numFmtId="10" fontId="104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2" fillId="2" borderId="0" xfId="0" applyFont="1" applyFill="1"/>
    <xf numFmtId="180" fontId="103" fillId="0" borderId="72" xfId="3" applyNumberFormat="1" applyFont="1" applyFill="1" applyBorder="1"/>
    <xf numFmtId="0" fontId="100" fillId="3" borderId="71" xfId="0" applyFont="1" applyFill="1" applyBorder="1"/>
    <xf numFmtId="178" fontId="0" fillId="2" borderId="72" xfId="0" applyNumberFormat="1" applyFill="1" applyBorder="1"/>
    <xf numFmtId="0" fontId="103" fillId="23" borderId="18" xfId="0" applyFont="1" applyFill="1" applyBorder="1"/>
    <xf numFmtId="0" fontId="103" fillId="23" borderId="0" xfId="0" applyFont="1" applyFill="1"/>
    <xf numFmtId="171" fontId="103" fillId="23" borderId="0" xfId="0" applyNumberFormat="1" applyFont="1" applyFill="1"/>
    <xf numFmtId="0" fontId="103" fillId="23" borderId="67" xfId="0" applyFont="1" applyFill="1" applyBorder="1"/>
    <xf numFmtId="172" fontId="103" fillId="23" borderId="0" xfId="0" applyNumberFormat="1" applyFont="1" applyFill="1"/>
    <xf numFmtId="1" fontId="99" fillId="23" borderId="20" xfId="0" applyNumberFormat="1" applyFont="1" applyFill="1" applyBorder="1" applyAlignment="1">
      <alignment horizontal="center" vertical="center"/>
    </xf>
    <xf numFmtId="0" fontId="55" fillId="23" borderId="20" xfId="0" applyFont="1" applyFill="1" applyBorder="1" applyAlignment="1">
      <alignment horizontal="left" vertical="center"/>
    </xf>
    <xf numFmtId="14" fontId="99" fillId="23" borderId="74" xfId="0" applyNumberFormat="1" applyFont="1" applyFill="1" applyBorder="1" applyAlignment="1">
      <alignment horizontal="center" vertical="center"/>
    </xf>
    <xf numFmtId="20" fontId="99" fillId="23" borderId="74" xfId="0" applyNumberFormat="1" applyFont="1" applyFill="1" applyBorder="1" applyAlignment="1">
      <alignment horizontal="center" vertical="center"/>
    </xf>
    <xf numFmtId="1" fontId="99" fillId="23" borderId="74" xfId="0" applyNumberFormat="1" applyFont="1" applyFill="1" applyBorder="1" applyAlignment="1">
      <alignment horizontal="center" vertical="center"/>
    </xf>
    <xf numFmtId="0" fontId="58" fillId="23" borderId="74" xfId="0" applyFont="1" applyFill="1" applyBorder="1" applyAlignment="1">
      <alignment horizontal="left" vertical="center" wrapText="1"/>
    </xf>
    <xf numFmtId="0" fontId="84" fillId="23" borderId="76" xfId="0" applyFont="1" applyFill="1" applyBorder="1" applyAlignment="1">
      <alignment horizontal="center" vertical="center"/>
    </xf>
    <xf numFmtId="20" fontId="99" fillId="23" borderId="76" xfId="0" applyNumberFormat="1" applyFont="1" applyFill="1" applyBorder="1" applyAlignment="1">
      <alignment horizontal="center" vertical="center"/>
    </xf>
    <xf numFmtId="1" fontId="99" fillId="23" borderId="76" xfId="0" applyNumberFormat="1" applyFont="1" applyFill="1" applyBorder="1" applyAlignment="1">
      <alignment horizontal="center" vertical="center"/>
    </xf>
    <xf numFmtId="0" fontId="84" fillId="23" borderId="76" xfId="0" applyFont="1" applyFill="1" applyBorder="1" applyAlignment="1">
      <alignment horizontal="left" vertical="center"/>
    </xf>
    <xf numFmtId="20" fontId="99" fillId="22" borderId="28" xfId="0" applyNumberFormat="1" applyFont="1" applyFill="1" applyBorder="1" applyAlignment="1">
      <alignment horizontal="center" vertical="center"/>
    </xf>
    <xf numFmtId="1" fontId="99" fillId="22" borderId="28" xfId="0" applyNumberFormat="1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 wrapText="1"/>
    </xf>
    <xf numFmtId="14" fontId="60" fillId="2" borderId="12" xfId="0" applyNumberFormat="1" applyFont="1" applyFill="1" applyBorder="1" applyAlignment="1">
      <alignment horizontal="center" vertical="center"/>
    </xf>
    <xf numFmtId="14" fontId="57" fillId="2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left" vertical="center" wrapText="1"/>
    </xf>
    <xf numFmtId="14" fontId="53" fillId="23" borderId="12" xfId="0" applyNumberFormat="1" applyFont="1" applyFill="1" applyBorder="1" applyAlignment="1">
      <alignment horizontal="center" vertical="center"/>
    </xf>
    <xf numFmtId="14" fontId="53" fillId="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0" fontId="50" fillId="23" borderId="20" xfId="0" applyFont="1" applyFill="1" applyBorder="1" applyAlignment="1">
      <alignment horizontal="center" vertical="center"/>
    </xf>
    <xf numFmtId="0" fontId="50" fillId="23" borderId="74" xfId="0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8" fillId="22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9" fontId="100" fillId="22" borderId="12" xfId="0" applyNumberFormat="1" applyFont="1" applyFill="1" applyBorder="1" applyAlignment="1">
      <alignment horizontal="center"/>
    </xf>
    <xf numFmtId="1" fontId="100" fillId="22" borderId="27" xfId="0" applyNumberFormat="1" applyFont="1" applyFill="1" applyBorder="1" applyAlignment="1">
      <alignment horizontal="center" vertical="center"/>
    </xf>
    <xf numFmtId="1" fontId="100" fillId="22" borderId="12" xfId="0" applyNumberFormat="1" applyFont="1" applyFill="1" applyBorder="1" applyAlignment="1">
      <alignment horizontal="center"/>
    </xf>
    <xf numFmtId="176" fontId="100" fillId="22" borderId="23" xfId="0" applyNumberFormat="1" applyFont="1" applyFill="1" applyBorder="1" applyAlignment="1">
      <alignment horizontal="center" vertical="center"/>
    </xf>
    <xf numFmtId="176" fontId="100" fillId="22" borderId="11" xfId="0" applyNumberFormat="1" applyFont="1" applyFill="1" applyBorder="1" applyAlignment="1">
      <alignment horizontal="center" vertical="center"/>
    </xf>
    <xf numFmtId="176" fontId="100" fillId="22" borderId="25" xfId="0" applyNumberFormat="1" applyFont="1" applyFill="1" applyBorder="1" applyAlignment="1">
      <alignment horizontal="center" vertical="center"/>
    </xf>
    <xf numFmtId="176" fontId="100" fillId="22" borderId="54" xfId="0" applyNumberFormat="1" applyFont="1" applyFill="1" applyBorder="1" applyAlignment="1">
      <alignment horizontal="center" vertical="center"/>
    </xf>
    <xf numFmtId="14" fontId="86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0" fillId="23" borderId="10" xfId="0" applyNumberFormat="1" applyFont="1" applyFill="1" applyBorder="1" applyAlignment="1">
      <alignment horizontal="left" vertical="center" wrapText="1"/>
    </xf>
    <xf numFmtId="14" fontId="50" fillId="22" borderId="28" xfId="0" applyNumberFormat="1" applyFont="1" applyFill="1" applyBorder="1" applyAlignment="1">
      <alignment horizontal="center" vertical="center"/>
    </xf>
    <xf numFmtId="0" fontId="100" fillId="23" borderId="12" xfId="0" applyFont="1" applyFill="1" applyBorder="1" applyAlignment="1">
      <alignment horizontal="center" vertical="center"/>
    </xf>
    <xf numFmtId="0" fontId="100" fillId="2" borderId="7" xfId="0" applyFont="1" applyFill="1" applyBorder="1" applyAlignment="1">
      <alignment horizontal="center"/>
    </xf>
    <xf numFmtId="0" fontId="93" fillId="22" borderId="12" xfId="0" applyFont="1" applyFill="1" applyBorder="1" applyAlignment="1">
      <alignment horizontal="center" vertical="center"/>
    </xf>
    <xf numFmtId="20" fontId="93" fillId="22" borderId="12" xfId="0" applyNumberFormat="1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4" fontId="69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8" fillId="2" borderId="28" xfId="0" applyNumberFormat="1" applyFont="1" applyFill="1" applyBorder="1" applyAlignment="1">
      <alignment horizontal="center" vertical="center"/>
    </xf>
    <xf numFmtId="0" fontId="100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2" fillId="23" borderId="76" xfId="0" applyNumberFormat="1" applyFont="1" applyFill="1" applyBorder="1" applyAlignment="1">
      <alignment horizontal="center" vertical="center"/>
    </xf>
    <xf numFmtId="0" fontId="100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0" fillId="3" borderId="30" xfId="0" applyFont="1" applyFill="1" applyBorder="1" applyAlignment="1">
      <alignment horizontal="center" vertical="center"/>
    </xf>
    <xf numFmtId="0" fontId="100" fillId="3" borderId="31" xfId="0" applyFont="1" applyFill="1" applyBorder="1" applyAlignment="1">
      <alignment horizontal="center" vertical="center"/>
    </xf>
    <xf numFmtId="0" fontId="100" fillId="3" borderId="20" xfId="0" applyFont="1" applyFill="1" applyBorder="1" applyAlignment="1">
      <alignment horizontal="center" vertical="center"/>
    </xf>
    <xf numFmtId="0" fontId="100" fillId="3" borderId="20" xfId="0" applyFont="1" applyFill="1" applyBorder="1" applyAlignment="1">
      <alignment horizontal="center" vertical="center" wrapText="1"/>
    </xf>
    <xf numFmtId="1" fontId="100" fillId="23" borderId="74" xfId="0" applyNumberFormat="1" applyFont="1" applyFill="1" applyBorder="1" applyAlignment="1">
      <alignment horizontal="center"/>
    </xf>
    <xf numFmtId="1" fontId="100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left" vertical="center" wrapText="1"/>
    </xf>
    <xf numFmtId="14" fontId="48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0" fillId="23" borderId="7" xfId="0" applyFont="1" applyFill="1" applyBorder="1" applyAlignment="1">
      <alignment horizontal="center"/>
    </xf>
    <xf numFmtId="14" fontId="100" fillId="23" borderId="12" xfId="0" applyNumberFormat="1" applyFont="1" applyFill="1" applyBorder="1" applyAlignment="1">
      <alignment horizontal="center" vertical="center"/>
    </xf>
    <xf numFmtId="176" fontId="100" fillId="23" borderId="25" xfId="0" applyNumberFormat="1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center" vertical="center"/>
    </xf>
    <xf numFmtId="166" fontId="99" fillId="23" borderId="12" xfId="0" applyNumberFormat="1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left" vertical="center" wrapText="1"/>
    </xf>
    <xf numFmtId="0" fontId="45" fillId="2" borderId="7" xfId="0" applyFont="1" applyFill="1" applyBorder="1" applyAlignment="1">
      <alignment vertical="center"/>
    </xf>
    <xf numFmtId="0" fontId="44" fillId="22" borderId="12" xfId="0" applyFont="1" applyFill="1" applyBorder="1" applyAlignment="1">
      <alignment horizontal="left" vertical="center" wrapText="1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/>
    </xf>
    <xf numFmtId="14" fontId="100" fillId="22" borderId="12" xfId="0" applyNumberFormat="1" applyFont="1" applyFill="1" applyBorder="1" applyAlignment="1">
      <alignment horizontal="center" vertical="center" wrapText="1"/>
    </xf>
    <xf numFmtId="14" fontId="57" fillId="23" borderId="12" xfId="0" applyNumberFormat="1" applyFont="1" applyFill="1" applyBorder="1" applyAlignment="1">
      <alignment horizontal="center" vertical="center" wrapText="1"/>
    </xf>
    <xf numFmtId="14" fontId="56" fillId="22" borderId="12" xfId="0" applyNumberFormat="1" applyFont="1" applyFill="1" applyBorder="1" applyAlignment="1">
      <alignment horizontal="center" vertical="center" wrapText="1"/>
    </xf>
    <xf numFmtId="0" fontId="43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left" vertical="center" wrapText="1"/>
    </xf>
    <xf numFmtId="0" fontId="123" fillId="2" borderId="1" xfId="0" applyFont="1" applyFill="1" applyBorder="1"/>
    <xf numFmtId="0" fontId="123" fillId="2" borderId="2" xfId="0" applyFont="1" applyFill="1" applyBorder="1"/>
    <xf numFmtId="0" fontId="123" fillId="2" borderId="3" xfId="0" applyFont="1" applyFill="1" applyBorder="1"/>
    <xf numFmtId="0" fontId="123" fillId="2" borderId="0" xfId="0" applyFont="1" applyFill="1"/>
    <xf numFmtId="0" fontId="124" fillId="2" borderId="18" xfId="0" applyFont="1" applyFill="1" applyBorder="1" applyAlignment="1">
      <alignment horizontal="center"/>
    </xf>
    <xf numFmtId="0" fontId="125" fillId="2" borderId="18" xfId="0" applyFont="1" applyFill="1" applyBorder="1"/>
    <xf numFmtId="0" fontId="124" fillId="2" borderId="1" xfId="0" applyFont="1" applyFill="1" applyBorder="1"/>
    <xf numFmtId="0" fontId="124" fillId="2" borderId="2" xfId="0" applyFont="1" applyFill="1" applyBorder="1"/>
    <xf numFmtId="0" fontId="124" fillId="2" borderId="3" xfId="0" applyFont="1" applyFill="1" applyBorder="1"/>
    <xf numFmtId="0" fontId="124" fillId="2" borderId="0" xfId="0" applyFont="1" applyFill="1"/>
    <xf numFmtId="0" fontId="123" fillId="2" borderId="18" xfId="0" applyFont="1" applyFill="1" applyBorder="1"/>
    <xf numFmtId="0" fontId="123" fillId="2" borderId="67" xfId="0" applyFont="1" applyFill="1" applyBorder="1"/>
    <xf numFmtId="0" fontId="124" fillId="4" borderId="12" xfId="0" applyFont="1" applyFill="1" applyBorder="1" applyAlignment="1">
      <alignment horizontal="center"/>
    </xf>
    <xf numFmtId="0" fontId="123" fillId="2" borderId="18" xfId="0" applyFont="1" applyFill="1" applyBorder="1" applyAlignment="1">
      <alignment horizontal="center"/>
    </xf>
    <xf numFmtId="0" fontId="125" fillId="2" borderId="12" xfId="0" applyFont="1" applyFill="1" applyBorder="1" applyAlignment="1">
      <alignment horizontal="center"/>
    </xf>
    <xf numFmtId="0" fontId="123" fillId="2" borderId="12" xfId="0" applyFont="1" applyFill="1" applyBorder="1" applyAlignment="1">
      <alignment horizontal="center"/>
    </xf>
    <xf numFmtId="0" fontId="123" fillId="2" borderId="12" xfId="0" applyFont="1" applyFill="1" applyBorder="1"/>
    <xf numFmtId="0" fontId="123" fillId="2" borderId="13" xfId="0" applyFont="1" applyFill="1" applyBorder="1"/>
    <xf numFmtId="0" fontId="123" fillId="2" borderId="51" xfId="0" applyFont="1" applyFill="1" applyBorder="1"/>
    <xf numFmtId="0" fontId="123" fillId="2" borderId="26" xfId="0" applyFont="1" applyFill="1" applyBorder="1"/>
    <xf numFmtId="14" fontId="125" fillId="2" borderId="12" xfId="0" applyNumberFormat="1" applyFont="1" applyFill="1" applyBorder="1" applyAlignment="1">
      <alignment horizontal="center"/>
    </xf>
    <xf numFmtId="14" fontId="123" fillId="2" borderId="12" xfId="0" applyNumberFormat="1" applyFont="1" applyFill="1" applyBorder="1" applyAlignment="1">
      <alignment horizontal="center"/>
    </xf>
    <xf numFmtId="0" fontId="100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2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5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5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5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0" fillId="22" borderId="12" xfId="0" applyNumberFormat="1" applyFont="1" applyFill="1" applyBorder="1" applyAlignment="1">
      <alignment horizontal="center" vertical="center"/>
    </xf>
    <xf numFmtId="9" fontId="100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0" fillId="3" borderId="12" xfId="0" applyFont="1" applyFill="1" applyBorder="1" applyAlignment="1">
      <alignment horizontal="center" vertical="center"/>
    </xf>
    <xf numFmtId="0" fontId="96" fillId="22" borderId="28" xfId="0" applyFont="1" applyFill="1" applyBorder="1" applyAlignment="1">
      <alignment horizontal="center" vertical="center"/>
    </xf>
    <xf numFmtId="20" fontId="96" fillId="22" borderId="28" xfId="0" applyNumberFormat="1" applyFont="1" applyFill="1" applyBorder="1" applyAlignment="1">
      <alignment horizontal="center" vertical="center"/>
    </xf>
    <xf numFmtId="0" fontId="70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0" fillId="3" borderId="12" xfId="0" applyFont="1" applyFill="1" applyBorder="1" applyAlignment="1">
      <alignment horizontal="center" vertical="center" wrapText="1"/>
    </xf>
    <xf numFmtId="14" fontId="100" fillId="22" borderId="28" xfId="0" applyNumberFormat="1" applyFont="1" applyFill="1" applyBorder="1" applyAlignment="1">
      <alignment horizontal="center" vertical="center"/>
    </xf>
    <xf numFmtId="14" fontId="100" fillId="2" borderId="12" xfId="0" applyNumberFormat="1" applyFont="1" applyFill="1" applyBorder="1" applyAlignment="1">
      <alignment horizontal="center" vertical="center"/>
    </xf>
    <xf numFmtId="0" fontId="100" fillId="2" borderId="20" xfId="0" applyFont="1" applyFill="1" applyBorder="1" applyAlignment="1">
      <alignment horizontal="center" vertical="center"/>
    </xf>
    <xf numFmtId="0" fontId="100" fillId="2" borderId="28" xfId="0" applyFont="1" applyFill="1" applyBorder="1" applyAlignment="1">
      <alignment horizontal="center" vertical="center"/>
    </xf>
    <xf numFmtId="14" fontId="99" fillId="17" borderId="12" xfId="0" applyNumberFormat="1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/>
    </xf>
    <xf numFmtId="0" fontId="100" fillId="23" borderId="74" xfId="0" applyFont="1" applyFill="1" applyBorder="1" applyAlignment="1">
      <alignment horizontal="center" vertical="center"/>
    </xf>
    <xf numFmtId="0" fontId="100" fillId="23" borderId="76" xfId="0" applyFont="1" applyFill="1" applyBorder="1" applyAlignment="1">
      <alignment horizontal="center" vertical="center"/>
    </xf>
    <xf numFmtId="0" fontId="100" fillId="22" borderId="10" xfId="0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center" vertical="center"/>
    </xf>
    <xf numFmtId="0" fontId="100" fillId="23" borderId="10" xfId="0" applyFont="1" applyFill="1" applyBorder="1" applyAlignment="1">
      <alignment horizontal="center" vertical="center"/>
    </xf>
    <xf numFmtId="0" fontId="100" fillId="2" borderId="10" xfId="0" applyFont="1" applyFill="1" applyBorder="1" applyAlignment="1">
      <alignment horizontal="center" vertical="center"/>
    </xf>
    <xf numFmtId="0" fontId="100" fillId="3" borderId="78" xfId="0" applyFont="1" applyFill="1" applyBorder="1" applyAlignment="1">
      <alignment horizontal="center" vertical="center" wrapText="1"/>
    </xf>
    <xf numFmtId="0" fontId="100" fillId="23" borderId="81" xfId="0" applyFont="1" applyFill="1" applyBorder="1" applyAlignment="1">
      <alignment horizontal="center" vertical="center"/>
    </xf>
    <xf numFmtId="0" fontId="100" fillId="23" borderId="83" xfId="0" applyFont="1" applyFill="1" applyBorder="1" applyAlignment="1">
      <alignment horizontal="center" vertical="center"/>
    </xf>
    <xf numFmtId="0" fontId="100" fillId="23" borderId="12" xfId="0" applyFont="1" applyFill="1" applyBorder="1" applyAlignment="1">
      <alignment horizontal="center" wrapText="1"/>
    </xf>
    <xf numFmtId="0" fontId="41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0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5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5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0" fillId="23" borderId="12" xfId="0" applyFont="1" applyFill="1" applyBorder="1" applyAlignment="1">
      <alignment horizontal="left" vertical="center" wrapText="1"/>
    </xf>
    <xf numFmtId="166" fontId="99" fillId="17" borderId="12" xfId="0" applyNumberFormat="1" applyFont="1" applyFill="1" applyBorder="1" applyAlignment="1">
      <alignment horizontal="center" vertical="center"/>
    </xf>
    <xf numFmtId="1" fontId="99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 wrapText="1"/>
    </xf>
    <xf numFmtId="14" fontId="40" fillId="17" borderId="12" xfId="0" applyNumberFormat="1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6" fillId="2" borderId="72" xfId="0" applyFont="1" applyFill="1" applyBorder="1" applyAlignment="1">
      <alignment wrapText="1"/>
    </xf>
    <xf numFmtId="1" fontId="127" fillId="2" borderId="71" xfId="0" applyNumberFormat="1" applyFont="1" applyFill="1" applyBorder="1" applyAlignment="1">
      <alignment horizontal="center" vertical="center"/>
    </xf>
    <xf numFmtId="1" fontId="128" fillId="2" borderId="71" xfId="0" applyNumberFormat="1" applyFont="1" applyFill="1" applyBorder="1" applyAlignment="1">
      <alignment horizontal="center" vertical="center"/>
    </xf>
    <xf numFmtId="9" fontId="129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0" fillId="18" borderId="60" xfId="0" applyFont="1" applyFill="1" applyBorder="1" applyAlignment="1">
      <alignment horizontal="center"/>
    </xf>
    <xf numFmtId="0" fontId="100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9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0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0" fillId="19" borderId="12" xfId="0" applyFont="1" applyFill="1" applyBorder="1" applyAlignment="1">
      <alignment horizontal="center" vertical="center"/>
    </xf>
    <xf numFmtId="14" fontId="99" fillId="19" borderId="12" xfId="0" applyNumberFormat="1" applyFont="1" applyFill="1" applyBorder="1" applyAlignment="1">
      <alignment horizontal="center" vertical="center"/>
    </xf>
    <xf numFmtId="0" fontId="100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0" fillId="4" borderId="12" xfId="0" applyNumberFormat="1" applyFont="1" applyFill="1" applyBorder="1" applyAlignment="1">
      <alignment horizontal="center"/>
    </xf>
    <xf numFmtId="14" fontId="39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0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0" fillId="18" borderId="12" xfId="0" applyNumberFormat="1" applyFont="1" applyFill="1" applyBorder="1" applyAlignment="1">
      <alignment horizontal="center"/>
    </xf>
    <xf numFmtId="14" fontId="120" fillId="2" borderId="4" xfId="0" applyNumberFormat="1" applyFont="1" applyFill="1" applyBorder="1" applyAlignment="1">
      <alignment horizontal="center" vertical="center"/>
    </xf>
    <xf numFmtId="14" fontId="38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9" fillId="19" borderId="12" xfId="0" applyFont="1" applyFill="1" applyBorder="1" applyAlignment="1">
      <alignment horizontal="center" vertical="center"/>
    </xf>
    <xf numFmtId="166" fontId="99" fillId="19" borderId="12" xfId="0" applyNumberFormat="1" applyFont="1" applyFill="1" applyBorder="1" applyAlignment="1">
      <alignment horizontal="center" vertical="center"/>
    </xf>
    <xf numFmtId="1" fontId="99" fillId="19" borderId="12" xfId="0" applyNumberFormat="1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5" fillId="24" borderId="12" xfId="0" applyNumberFormat="1" applyFont="1" applyFill="1" applyBorder="1" applyAlignment="1">
      <alignment horizontal="center"/>
    </xf>
    <xf numFmtId="1" fontId="120" fillId="2" borderId="15" xfId="0" applyNumberFormat="1" applyFont="1" applyFill="1" applyBorder="1" applyAlignment="1">
      <alignment horizontal="center" vertical="center"/>
    </xf>
    <xf numFmtId="1" fontId="120" fillId="2" borderId="25" xfId="0" applyNumberFormat="1" applyFont="1" applyFill="1" applyBorder="1" applyAlignment="1">
      <alignment horizontal="center" vertical="center"/>
    </xf>
    <xf numFmtId="0" fontId="120" fillId="2" borderId="5" xfId="0" applyFont="1" applyFill="1" applyBorder="1" applyAlignment="1">
      <alignment vertical="center"/>
    </xf>
    <xf numFmtId="165" fontId="120" fillId="2" borderId="5" xfId="1" applyNumberFormat="1" applyFont="1" applyFill="1" applyBorder="1" applyAlignment="1">
      <alignment horizontal="center" vertical="center"/>
    </xf>
    <xf numFmtId="166" fontId="120" fillId="2" borderId="5" xfId="0" applyNumberFormat="1" applyFont="1" applyFill="1" applyBorder="1" applyAlignment="1">
      <alignment horizontal="center" vertical="center"/>
    </xf>
    <xf numFmtId="9" fontId="120" fillId="2" borderId="5" xfId="2" applyFont="1" applyFill="1" applyBorder="1" applyAlignment="1">
      <alignment horizontal="center" vertical="center"/>
    </xf>
    <xf numFmtId="167" fontId="120" fillId="2" borderId="6" xfId="1" applyNumberFormat="1" applyFont="1" applyFill="1" applyBorder="1" applyAlignment="1">
      <alignment horizontal="center" vertical="center"/>
    </xf>
    <xf numFmtId="0" fontId="120" fillId="2" borderId="6" xfId="0" applyFont="1" applyFill="1" applyBorder="1" applyAlignment="1">
      <alignment horizontal="center" vertical="center"/>
    </xf>
    <xf numFmtId="1" fontId="120" fillId="2" borderId="6" xfId="0" applyNumberFormat="1" applyFont="1" applyFill="1" applyBorder="1" applyAlignment="1">
      <alignment horizontal="center" vertical="center"/>
    </xf>
    <xf numFmtId="1" fontId="120" fillId="2" borderId="5" xfId="0" applyNumberFormat="1" applyFont="1" applyFill="1" applyBorder="1" applyAlignment="1">
      <alignment horizontal="center" vertical="center"/>
    </xf>
    <xf numFmtId="1" fontId="120" fillId="2" borderId="59" xfId="0" applyNumberFormat="1" applyFont="1" applyFill="1" applyBorder="1" applyAlignment="1">
      <alignment horizontal="center" vertical="center"/>
    </xf>
    <xf numFmtId="167" fontId="120" fillId="2" borderId="32" xfId="1" applyNumberFormat="1" applyFont="1" applyFill="1" applyBorder="1" applyAlignment="1">
      <alignment horizontal="center" vertical="center"/>
    </xf>
    <xf numFmtId="0" fontId="120" fillId="2" borderId="32" xfId="0" applyFont="1" applyFill="1" applyBorder="1" applyAlignment="1">
      <alignment horizontal="center" vertical="center"/>
    </xf>
    <xf numFmtId="14" fontId="120" fillId="2" borderId="12" xfId="0" applyNumberFormat="1" applyFont="1" applyFill="1" applyBorder="1" applyAlignment="1">
      <alignment horizontal="center" vertical="center"/>
    </xf>
    <xf numFmtId="0" fontId="120" fillId="2" borderId="12" xfId="0" applyFont="1" applyFill="1" applyBorder="1" applyAlignment="1">
      <alignment vertical="center"/>
    </xf>
    <xf numFmtId="165" fontId="120" fillId="2" borderId="12" xfId="1" applyNumberFormat="1" applyFont="1" applyFill="1" applyBorder="1" applyAlignment="1">
      <alignment horizontal="center" vertical="center"/>
    </xf>
    <xf numFmtId="166" fontId="120" fillId="2" borderId="12" xfId="0" applyNumberFormat="1" applyFont="1" applyFill="1" applyBorder="1" applyAlignment="1">
      <alignment horizontal="center" vertical="center"/>
    </xf>
    <xf numFmtId="9" fontId="120" fillId="2" borderId="12" xfId="2" applyFont="1" applyFill="1" applyBorder="1" applyAlignment="1">
      <alignment horizontal="center" vertical="center"/>
    </xf>
    <xf numFmtId="167" fontId="120" fillId="2" borderId="12" xfId="1" applyNumberFormat="1" applyFont="1" applyFill="1" applyBorder="1" applyAlignment="1">
      <alignment horizontal="center" vertical="center"/>
    </xf>
    <xf numFmtId="0" fontId="120" fillId="2" borderId="12" xfId="0" applyFont="1" applyFill="1" applyBorder="1" applyAlignment="1">
      <alignment horizontal="center" vertical="center"/>
    </xf>
    <xf numFmtId="1" fontId="120" fillId="2" borderId="12" xfId="0" applyNumberFormat="1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 wrapText="1"/>
    </xf>
    <xf numFmtId="0" fontId="37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 wrapText="1"/>
    </xf>
    <xf numFmtId="0" fontId="100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6" fillId="19" borderId="12" xfId="0" applyNumberFormat="1" applyFont="1" applyFill="1" applyBorder="1" applyAlignment="1">
      <alignment horizontal="center" vertical="center" wrapText="1"/>
    </xf>
    <xf numFmtId="173" fontId="105" fillId="0" borderId="0" xfId="0" applyNumberFormat="1" applyFont="1" applyAlignment="1">
      <alignment horizontal="center"/>
    </xf>
    <xf numFmtId="173" fontId="105" fillId="0" borderId="49" xfId="0" applyNumberFormat="1" applyFont="1" applyBorder="1" applyAlignment="1">
      <alignment horizontal="center"/>
    </xf>
    <xf numFmtId="174" fontId="105" fillId="0" borderId="47" xfId="0" applyNumberFormat="1" applyFont="1" applyBorder="1" applyAlignment="1">
      <alignment horizontal="center"/>
    </xf>
    <xf numFmtId="176" fontId="105" fillId="0" borderId="47" xfId="0" applyNumberFormat="1" applyFont="1" applyBorder="1" applyAlignment="1">
      <alignment horizontal="center"/>
    </xf>
    <xf numFmtId="1" fontId="105" fillId="21" borderId="28" xfId="0" applyNumberFormat="1" applyFont="1" applyFill="1" applyBorder="1" applyAlignment="1">
      <alignment horizontal="center"/>
    </xf>
    <xf numFmtId="2" fontId="105" fillId="21" borderId="28" xfId="0" applyNumberFormat="1" applyFont="1" applyFill="1" applyBorder="1" applyAlignment="1">
      <alignment horizontal="center"/>
    </xf>
    <xf numFmtId="176" fontId="105" fillId="21" borderId="28" xfId="0" applyNumberFormat="1" applyFont="1" applyFill="1" applyBorder="1" applyAlignment="1">
      <alignment horizontal="center"/>
    </xf>
    <xf numFmtId="9" fontId="105" fillId="21" borderId="28" xfId="0" applyNumberFormat="1" applyFont="1" applyFill="1" applyBorder="1" applyAlignment="1">
      <alignment horizontal="center"/>
    </xf>
    <xf numFmtId="0" fontId="105" fillId="21" borderId="28" xfId="0" applyFont="1" applyFill="1" applyBorder="1" applyAlignment="1">
      <alignment horizontal="center"/>
    </xf>
    <xf numFmtId="176" fontId="105" fillId="0" borderId="12" xfId="0" applyNumberFormat="1" applyFont="1" applyBorder="1" applyAlignment="1">
      <alignment horizontal="center"/>
    </xf>
    <xf numFmtId="9" fontId="105" fillId="22" borderId="48" xfId="2" applyFont="1" applyFill="1" applyBorder="1" applyAlignment="1">
      <alignment horizontal="center" vertical="center"/>
    </xf>
    <xf numFmtId="0" fontId="105" fillId="0" borderId="49" xfId="0" applyFont="1" applyBorder="1"/>
    <xf numFmtId="0" fontId="105" fillId="24" borderId="7" xfId="0" applyFont="1" applyFill="1" applyBorder="1"/>
    <xf numFmtId="0" fontId="105" fillId="0" borderId="7" xfId="0" applyFont="1" applyBorder="1"/>
    <xf numFmtId="0" fontId="105" fillId="0" borderId="30" xfId="0" applyFont="1" applyBorder="1"/>
    <xf numFmtId="0" fontId="105" fillId="24" borderId="8" xfId="0" applyFont="1" applyFill="1" applyBorder="1" applyAlignment="1">
      <alignment horizontal="center"/>
    </xf>
    <xf numFmtId="0" fontId="105" fillId="0" borderId="8" xfId="0" applyFont="1" applyBorder="1" applyAlignment="1">
      <alignment horizontal="center"/>
    </xf>
    <xf numFmtId="0" fontId="105" fillId="0" borderId="31" xfId="0" applyFont="1" applyBorder="1" applyAlignment="1">
      <alignment horizontal="center"/>
    </xf>
    <xf numFmtId="14" fontId="35" fillId="17" borderId="12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5" fillId="4" borderId="28" xfId="0" applyNumberFormat="1" applyFont="1" applyFill="1" applyBorder="1" applyAlignment="1">
      <alignment horizontal="center" vertical="center"/>
    </xf>
    <xf numFmtId="0" fontId="120" fillId="2" borderId="22" xfId="0" applyFont="1" applyFill="1" applyBorder="1" applyAlignment="1">
      <alignment horizontal="center" vertical="center"/>
    </xf>
    <xf numFmtId="1" fontId="120" fillId="2" borderId="21" xfId="0" applyNumberFormat="1" applyFont="1" applyFill="1" applyBorder="1" applyAlignment="1">
      <alignment horizontal="center" vertical="center"/>
    </xf>
    <xf numFmtId="1" fontId="120" fillId="2" borderId="61" xfId="0" applyNumberFormat="1" applyFont="1" applyFill="1" applyBorder="1" applyAlignment="1">
      <alignment horizontal="center" vertical="center"/>
    </xf>
    <xf numFmtId="1" fontId="120" fillId="2" borderId="32" xfId="0" applyNumberFormat="1" applyFont="1" applyFill="1" applyBorder="1" applyAlignment="1">
      <alignment horizontal="center" vertical="center"/>
    </xf>
    <xf numFmtId="165" fontId="120" fillId="2" borderId="28" xfId="0" applyNumberFormat="1" applyFont="1" applyFill="1" applyBorder="1" applyAlignment="1">
      <alignment horizontal="center" vertical="center"/>
    </xf>
    <xf numFmtId="165" fontId="120" fillId="2" borderId="66" xfId="0" applyNumberFormat="1" applyFont="1" applyFill="1" applyBorder="1" applyAlignment="1">
      <alignment horizontal="center" vertical="center"/>
    </xf>
    <xf numFmtId="165" fontId="120" fillId="2" borderId="12" xfId="0" applyNumberFormat="1" applyFont="1" applyFill="1" applyBorder="1" applyAlignment="1">
      <alignment horizontal="center" vertical="center"/>
    </xf>
    <xf numFmtId="14" fontId="120" fillId="2" borderId="33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14" fontId="74" fillId="18" borderId="12" xfId="0" applyNumberFormat="1" applyFont="1" applyFill="1" applyBorder="1"/>
    <xf numFmtId="0" fontId="33" fillId="17" borderId="12" xfId="0" applyFont="1" applyFill="1" applyBorder="1" applyAlignment="1">
      <alignment horizontal="left" vertical="center" wrapText="1"/>
    </xf>
    <xf numFmtId="0" fontId="32" fillId="2" borderId="7" xfId="0" applyFont="1" applyFill="1" applyBorder="1" applyAlignment="1">
      <alignment vertical="center"/>
    </xf>
    <xf numFmtId="14" fontId="32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2" fillId="17" borderId="12" xfId="0" applyFont="1" applyFill="1" applyBorder="1" applyAlignment="1">
      <alignment horizontal="center" vertical="center"/>
    </xf>
    <xf numFmtId="166" fontId="32" fillId="17" borderId="12" xfId="0" applyNumberFormat="1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1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 wrapText="1"/>
    </xf>
    <xf numFmtId="14" fontId="30" fillId="17" borderId="12" xfId="0" applyNumberFormat="1" applyFont="1" applyFill="1" applyBorder="1" applyAlignment="1">
      <alignment horizontal="center" vertical="center"/>
    </xf>
    <xf numFmtId="174" fontId="123" fillId="2" borderId="12" xfId="0" applyNumberFormat="1" applyFont="1" applyFill="1" applyBorder="1" applyAlignment="1">
      <alignment horizontal="center"/>
    </xf>
    <xf numFmtId="0" fontId="30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5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9" fillId="17" borderId="12" xfId="0" applyNumberFormat="1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center" vertical="center"/>
    </xf>
    <xf numFmtId="166" fontId="28" fillId="17" borderId="12" xfId="0" applyNumberFormat="1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14" fontId="28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8" fillId="2" borderId="7" xfId="0" applyFont="1" applyFill="1" applyBorder="1" applyAlignment="1">
      <alignment vertical="center"/>
    </xf>
    <xf numFmtId="0" fontId="27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7" fillId="19" borderId="12" xfId="0" applyFont="1" applyFill="1" applyBorder="1" applyAlignment="1">
      <alignment horizontal="center" vertical="center"/>
    </xf>
    <xf numFmtId="166" fontId="27" fillId="19" borderId="12" xfId="0" applyNumberFormat="1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6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0" fillId="4" borderId="12" xfId="0" applyFont="1" applyFill="1" applyBorder="1" applyAlignment="1">
      <alignment horizontal="center" vertical="center"/>
    </xf>
    <xf numFmtId="0" fontId="110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5" fillId="19" borderId="12" xfId="0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 wrapText="1"/>
    </xf>
    <xf numFmtId="0" fontId="25" fillId="2" borderId="7" xfId="0" applyFont="1" applyFill="1" applyBorder="1" applyAlignment="1">
      <alignment vertical="center"/>
    </xf>
    <xf numFmtId="176" fontId="0" fillId="0" borderId="0" xfId="0" applyNumberFormat="1"/>
    <xf numFmtId="14" fontId="24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0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0" fillId="18" borderId="20" xfId="1" applyFont="1" applyFill="1" applyBorder="1" applyAlignment="1">
      <alignment horizontal="center"/>
    </xf>
    <xf numFmtId="43" fontId="100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0" fillId="19" borderId="12" xfId="0" applyFont="1" applyFill="1" applyBorder="1"/>
    <xf numFmtId="1" fontId="100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3" fillId="2" borderId="7" xfId="0" applyFont="1" applyFill="1" applyBorder="1" applyAlignment="1">
      <alignment vertical="center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/>
    </xf>
    <xf numFmtId="0" fontId="23" fillId="19" borderId="12" xfId="0" applyFon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left" vertical="center"/>
    </xf>
    <xf numFmtId="14" fontId="23" fillId="17" borderId="12" xfId="0" applyNumberFormat="1" applyFont="1" applyFill="1" applyBorder="1" applyAlignment="1">
      <alignment horizontal="center" vertical="center"/>
    </xf>
    <xf numFmtId="14" fontId="22" fillId="17" borderId="12" xfId="0" applyNumberFormat="1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0" fontId="21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0" fillId="19" borderId="12" xfId="0" applyNumberFormat="1" applyFont="1" applyFill="1" applyBorder="1" applyAlignment="1">
      <alignment horizontal="center" vertical="center"/>
    </xf>
    <xf numFmtId="0" fontId="99" fillId="2" borderId="0" xfId="0" applyFont="1" applyFill="1" applyAlignment="1">
      <alignment vertical="center"/>
    </xf>
    <xf numFmtId="0" fontId="115" fillId="4" borderId="12" xfId="0" applyFont="1" applyFill="1" applyBorder="1"/>
    <xf numFmtId="165" fontId="120" fillId="2" borderId="52" xfId="0" applyNumberFormat="1" applyFont="1" applyFill="1" applyBorder="1" applyAlignment="1">
      <alignment horizontal="center" vertical="center"/>
    </xf>
    <xf numFmtId="0" fontId="100" fillId="19" borderId="7" xfId="0" applyFont="1" applyFill="1" applyBorder="1" applyAlignment="1">
      <alignment horizontal="center"/>
    </xf>
    <xf numFmtId="0" fontId="9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0" fillId="2" borderId="28" xfId="0" applyFont="1" applyFill="1" applyBorder="1"/>
    <xf numFmtId="165" fontId="115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8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7" fillId="19" borderId="12" xfId="0" applyFont="1" applyFill="1" applyBorder="1" applyAlignment="1">
      <alignment horizontal="left" vertical="center"/>
    </xf>
    <xf numFmtId="0" fontId="99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6" fillId="17" borderId="12" xfId="0" applyFont="1" applyFill="1" applyBorder="1" applyAlignment="1">
      <alignment horizontal="left" vertical="center"/>
    </xf>
    <xf numFmtId="0" fontId="16" fillId="17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9" fillId="28" borderId="12" xfId="0" applyNumberFormat="1" applyFont="1" applyFill="1" applyBorder="1" applyAlignment="1">
      <alignment horizontal="center" vertical="center"/>
    </xf>
    <xf numFmtId="166" fontId="99" fillId="28" borderId="12" xfId="0" applyNumberFormat="1" applyFont="1" applyFill="1" applyBorder="1" applyAlignment="1">
      <alignment horizontal="center" vertical="center"/>
    </xf>
    <xf numFmtId="1" fontId="99" fillId="28" borderId="12" xfId="0" applyNumberFormat="1" applyFont="1" applyFill="1" applyBorder="1" applyAlignment="1">
      <alignment horizontal="center" vertical="center"/>
    </xf>
    <xf numFmtId="0" fontId="99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5" fillId="28" borderId="12" xfId="0" applyFont="1" applyFill="1" applyBorder="1" applyAlignment="1">
      <alignment horizontal="center" vertical="center"/>
    </xf>
    <xf numFmtId="0" fontId="15" fillId="28" borderId="12" xfId="0" applyFont="1" applyFill="1" applyBorder="1" applyAlignment="1">
      <alignment horizontal="left" vertical="center"/>
    </xf>
    <xf numFmtId="166" fontId="15" fillId="28" borderId="12" xfId="0" applyNumberFormat="1" applyFont="1" applyFill="1" applyBorder="1" applyAlignment="1">
      <alignment horizontal="center" vertical="center"/>
    </xf>
    <xf numFmtId="0" fontId="100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2" fillId="23" borderId="12" xfId="0" applyFont="1" applyFill="1" applyBorder="1" applyAlignment="1">
      <alignment horizontal="center" vertical="center"/>
    </xf>
    <xf numFmtId="0" fontId="122" fillId="2" borderId="12" xfId="0" applyFont="1" applyFill="1" applyBorder="1" applyAlignment="1">
      <alignment horizontal="center" vertical="center"/>
    </xf>
    <xf numFmtId="0" fontId="122" fillId="2" borderId="0" xfId="0" applyFont="1" applyFill="1" applyAlignment="1">
      <alignment horizontal="center" vertical="center"/>
    </xf>
    <xf numFmtId="0" fontId="122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0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0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3" fillId="2" borderId="7" xfId="0" applyFont="1" applyFill="1" applyBorder="1" applyAlignment="1">
      <alignment vertical="center"/>
    </xf>
    <xf numFmtId="0" fontId="100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2" fillId="2" borderId="12" xfId="0" applyFont="1" applyFill="1" applyBorder="1" applyAlignment="1">
      <alignment horizontal="left" vertical="center"/>
    </xf>
    <xf numFmtId="0" fontId="12" fillId="2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 wrapText="1"/>
    </xf>
    <xf numFmtId="14" fontId="99" fillId="26" borderId="12" xfId="0" applyNumberFormat="1" applyFont="1" applyFill="1" applyBorder="1" applyAlignment="1">
      <alignment horizontal="center" vertical="center"/>
    </xf>
    <xf numFmtId="0" fontId="99" fillId="26" borderId="12" xfId="0" applyFont="1" applyFill="1" applyBorder="1" applyAlignment="1">
      <alignment horizontal="center" vertical="center"/>
    </xf>
    <xf numFmtId="166" fontId="99" fillId="26" borderId="12" xfId="0" applyNumberFormat="1" applyFont="1" applyFill="1" applyBorder="1" applyAlignment="1">
      <alignment horizontal="center" vertical="center"/>
    </xf>
    <xf numFmtId="1" fontId="99" fillId="26" borderId="12" xfId="0" applyNumberFormat="1" applyFont="1" applyFill="1" applyBorder="1" applyAlignment="1">
      <alignment horizontal="center" vertical="center"/>
    </xf>
    <xf numFmtId="0" fontId="14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0" fontId="12" fillId="26" borderId="12" xfId="0" applyFont="1" applyFill="1" applyBorder="1" applyAlignment="1">
      <alignment horizontal="left" vertical="center" wrapText="1"/>
    </xf>
    <xf numFmtId="0" fontId="12" fillId="19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0" fontId="10" fillId="17" borderId="12" xfId="0" applyFont="1" applyFill="1" applyBorder="1" applyAlignment="1">
      <alignment horizontal="left" vertical="center"/>
    </xf>
    <xf numFmtId="0" fontId="10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9" fillId="26" borderId="12" xfId="0" applyFont="1" applyFill="1" applyBorder="1" applyAlignment="1">
      <alignment horizontal="left" vertical="center"/>
    </xf>
    <xf numFmtId="0" fontId="8" fillId="26" borderId="12" xfId="0" applyFont="1" applyFill="1" applyBorder="1" applyAlignment="1">
      <alignment horizontal="left" vertical="center" wrapText="1"/>
    </xf>
    <xf numFmtId="0" fontId="100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7" fillId="26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6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5" fillId="0" borderId="28" xfId="0" applyNumberFormat="1" applyFont="1" applyBorder="1" applyAlignment="1">
      <alignment horizontal="center"/>
    </xf>
    <xf numFmtId="1" fontId="105" fillId="0" borderId="21" xfId="0" applyNumberFormat="1" applyFont="1" applyBorder="1" applyAlignment="1">
      <alignment horizontal="center"/>
    </xf>
    <xf numFmtId="174" fontId="105" fillId="0" borderId="28" xfId="0" applyNumberFormat="1" applyFont="1" applyBorder="1" applyAlignment="1">
      <alignment horizontal="center"/>
    </xf>
    <xf numFmtId="0" fontId="105" fillId="0" borderId="28" xfId="0" applyFont="1" applyBorder="1"/>
    <xf numFmtId="176" fontId="105" fillId="0" borderId="28" xfId="0" applyNumberFormat="1" applyFont="1" applyBorder="1" applyAlignment="1">
      <alignment horizontal="center"/>
    </xf>
    <xf numFmtId="9" fontId="105" fillId="0" borderId="28" xfId="0" applyNumberFormat="1" applyFont="1" applyBorder="1" applyAlignment="1">
      <alignment horizontal="center"/>
    </xf>
    <xf numFmtId="9" fontId="105" fillId="0" borderId="0" xfId="0" applyNumberFormat="1" applyFont="1" applyAlignment="1">
      <alignment horizontal="center"/>
    </xf>
    <xf numFmtId="9" fontId="105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5" fillId="17" borderId="12" xfId="0" applyFont="1" applyFill="1" applyBorder="1" applyAlignment="1">
      <alignment horizontal="left" vertical="center"/>
    </xf>
    <xf numFmtId="0" fontId="0" fillId="26" borderId="0" xfId="0" applyFill="1"/>
    <xf numFmtId="0" fontId="4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3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2" fillId="26" borderId="12" xfId="0" applyFont="1" applyFill="1" applyBorder="1" applyAlignment="1">
      <alignment horizontal="left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99" fillId="2" borderId="1" xfId="0" applyNumberFormat="1" applyFont="1" applyFill="1" applyBorder="1" applyAlignment="1">
      <alignment horizontal="center" vertical="center"/>
    </xf>
    <xf numFmtId="14" fontId="99" fillId="2" borderId="4" xfId="0" applyNumberFormat="1" applyFont="1" applyFill="1" applyBorder="1" applyAlignment="1">
      <alignment horizontal="center" vertical="center"/>
    </xf>
    <xf numFmtId="14" fontId="99" fillId="2" borderId="13" xfId="0" applyNumberFormat="1" applyFont="1" applyFill="1" applyBorder="1" applyAlignment="1">
      <alignment horizontal="center" vertical="center"/>
    </xf>
    <xf numFmtId="14" fontId="99" fillId="2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34" fillId="17" borderId="67" xfId="0" applyFont="1" applyFill="1" applyBorder="1" applyAlignment="1">
      <alignment horizontal="center" vertical="center"/>
    </xf>
    <xf numFmtId="0" fontId="133" fillId="26" borderId="87" xfId="0" applyFont="1" applyFill="1" applyBorder="1" applyAlignment="1">
      <alignment horizontal="center" vertical="center"/>
    </xf>
    <xf numFmtId="0" fontId="133" fillId="26" borderId="67" xfId="0" applyFont="1" applyFill="1" applyBorder="1" applyAlignment="1">
      <alignment horizontal="center" vertical="center"/>
    </xf>
    <xf numFmtId="14" fontId="99" fillId="17" borderId="1" xfId="0" applyNumberFormat="1" applyFont="1" applyFill="1" applyBorder="1" applyAlignment="1">
      <alignment horizontal="center" vertical="center"/>
    </xf>
    <xf numFmtId="14" fontId="99" fillId="17" borderId="4" xfId="0" applyNumberFormat="1" applyFont="1" applyFill="1" applyBorder="1" applyAlignment="1">
      <alignment horizontal="center" vertical="center"/>
    </xf>
    <xf numFmtId="14" fontId="99" fillId="17" borderId="13" xfId="0" applyNumberFormat="1" applyFont="1" applyFill="1" applyBorder="1" applyAlignment="1">
      <alignment horizontal="center" vertical="center"/>
    </xf>
    <xf numFmtId="14" fontId="99" fillId="17" borderId="14" xfId="0" applyNumberFormat="1" applyFont="1" applyFill="1" applyBorder="1" applyAlignment="1">
      <alignment horizontal="center" vertical="center"/>
    </xf>
    <xf numFmtId="14" fontId="99" fillId="26" borderId="1" xfId="0" applyNumberFormat="1" applyFont="1" applyFill="1" applyBorder="1" applyAlignment="1">
      <alignment horizontal="center" vertical="center"/>
    </xf>
    <xf numFmtId="14" fontId="99" fillId="26" borderId="4" xfId="0" applyNumberFormat="1" applyFont="1" applyFill="1" applyBorder="1" applyAlignment="1">
      <alignment horizontal="center" vertical="center"/>
    </xf>
    <xf numFmtId="14" fontId="99" fillId="26" borderId="13" xfId="0" applyNumberFormat="1" applyFont="1" applyFill="1" applyBorder="1" applyAlignment="1">
      <alignment horizontal="center" vertical="center"/>
    </xf>
    <xf numFmtId="14" fontId="99" fillId="26" borderId="14" xfId="0" applyNumberFormat="1" applyFont="1" applyFill="1" applyBorder="1" applyAlignment="1">
      <alignment horizontal="center" vertical="center"/>
    </xf>
    <xf numFmtId="0" fontId="135" fillId="26" borderId="67" xfId="0" applyFont="1" applyFill="1" applyBorder="1" applyAlignment="1">
      <alignment horizontal="center" vertical="center"/>
    </xf>
    <xf numFmtId="0" fontId="135" fillId="17" borderId="67" xfId="0" applyFont="1" applyFill="1" applyBorder="1" applyAlignment="1">
      <alignment horizontal="center" vertical="center"/>
    </xf>
    <xf numFmtId="0" fontId="137" fillId="26" borderId="67" xfId="0" applyFont="1" applyFill="1" applyBorder="1" applyAlignment="1">
      <alignment horizontal="center" vertical="center"/>
    </xf>
    <xf numFmtId="0" fontId="122" fillId="17" borderId="67" xfId="0" applyFont="1" applyFill="1" applyBorder="1" applyAlignment="1">
      <alignment horizontal="center" vertical="center"/>
    </xf>
    <xf numFmtId="0" fontId="122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99" fillId="28" borderId="1" xfId="0" applyNumberFormat="1" applyFont="1" applyFill="1" applyBorder="1" applyAlignment="1">
      <alignment horizontal="center" vertical="center"/>
    </xf>
    <xf numFmtId="14" fontId="99" fillId="28" borderId="4" xfId="0" applyNumberFormat="1" applyFont="1" applyFill="1" applyBorder="1" applyAlignment="1">
      <alignment horizontal="center" vertical="center"/>
    </xf>
    <xf numFmtId="14" fontId="99" fillId="28" borderId="13" xfId="0" applyNumberFormat="1" applyFont="1" applyFill="1" applyBorder="1" applyAlignment="1">
      <alignment horizontal="center" vertical="center"/>
    </xf>
    <xf numFmtId="14" fontId="99" fillId="28" borderId="14" xfId="0" applyNumberFormat="1" applyFont="1" applyFill="1" applyBorder="1" applyAlignment="1">
      <alignment horizontal="center" vertical="center"/>
    </xf>
    <xf numFmtId="14" fontId="99" fillId="19" borderId="1" xfId="0" applyNumberFormat="1" applyFont="1" applyFill="1" applyBorder="1" applyAlignment="1">
      <alignment horizontal="center" vertical="center"/>
    </xf>
    <xf numFmtId="14" fontId="99" fillId="19" borderId="4" xfId="0" applyNumberFormat="1" applyFont="1" applyFill="1" applyBorder="1" applyAlignment="1">
      <alignment horizontal="center" vertical="center"/>
    </xf>
    <xf numFmtId="14" fontId="99" fillId="19" borderId="13" xfId="0" applyNumberFormat="1" applyFont="1" applyFill="1" applyBorder="1" applyAlignment="1">
      <alignment horizontal="center" vertical="center"/>
    </xf>
    <xf numFmtId="14" fontId="99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9" fillId="29" borderId="1" xfId="0" applyNumberFormat="1" applyFont="1" applyFill="1" applyBorder="1" applyAlignment="1">
      <alignment horizontal="center" vertical="center"/>
    </xf>
    <xf numFmtId="14" fontId="99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01" fillId="25" borderId="36" xfId="0" applyFont="1" applyFill="1" applyBorder="1" applyAlignment="1">
      <alignment horizontal="center" vertical="center" wrapText="1"/>
    </xf>
    <xf numFmtId="0" fontId="101" fillId="25" borderId="55" xfId="0" applyFont="1" applyFill="1" applyBorder="1" applyAlignment="1">
      <alignment horizontal="center" vertical="center" wrapText="1"/>
    </xf>
    <xf numFmtId="0" fontId="101" fillId="25" borderId="56" xfId="0" applyFont="1" applyFill="1" applyBorder="1" applyAlignment="1">
      <alignment horizontal="center" vertical="center" wrapText="1"/>
    </xf>
    <xf numFmtId="14" fontId="99" fillId="17" borderId="18" xfId="0" applyNumberFormat="1" applyFont="1" applyFill="1" applyBorder="1" applyAlignment="1">
      <alignment horizontal="center" vertical="center"/>
    </xf>
    <xf numFmtId="14" fontId="99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0" fillId="23" borderId="20" xfId="0" applyNumberFormat="1" applyFont="1" applyFill="1" applyBorder="1" applyAlignment="1">
      <alignment horizontal="center" vertical="center"/>
    </xf>
    <xf numFmtId="1" fontId="100" fillId="23" borderId="21" xfId="0" applyNumberFormat="1" applyFont="1" applyFill="1" applyBorder="1" applyAlignment="1">
      <alignment horizontal="center" vertical="center"/>
    </xf>
    <xf numFmtId="1" fontId="100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9" fillId="23" borderId="12" xfId="0" applyNumberFormat="1" applyFont="1" applyFill="1" applyBorder="1" applyAlignment="1">
      <alignment horizontal="center" vertical="center"/>
    </xf>
    <xf numFmtId="1" fontId="100" fillId="23" borderId="12" xfId="0" applyNumberFormat="1" applyFont="1" applyFill="1" applyBorder="1" applyAlignment="1">
      <alignment horizontal="center" vertical="center"/>
    </xf>
    <xf numFmtId="14" fontId="99" fillId="23" borderId="1" xfId="0" applyNumberFormat="1" applyFont="1" applyFill="1" applyBorder="1" applyAlignment="1">
      <alignment horizontal="center" vertical="center"/>
    </xf>
    <xf numFmtId="14" fontId="99" fillId="23" borderId="4" xfId="0" applyNumberFormat="1" applyFont="1" applyFill="1" applyBorder="1" applyAlignment="1">
      <alignment horizontal="center" vertical="center"/>
    </xf>
    <xf numFmtId="14" fontId="99" fillId="23" borderId="13" xfId="0" applyNumberFormat="1" applyFont="1" applyFill="1" applyBorder="1" applyAlignment="1">
      <alignment horizontal="center" vertical="center"/>
    </xf>
    <xf numFmtId="14" fontId="99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0" fillId="22" borderId="12" xfId="0" applyNumberFormat="1" applyFont="1" applyFill="1" applyBorder="1" applyAlignment="1">
      <alignment horizontal="center" vertical="center"/>
    </xf>
    <xf numFmtId="14" fontId="99" fillId="2" borderId="12" xfId="0" applyNumberFormat="1" applyFont="1" applyFill="1" applyBorder="1" applyAlignment="1">
      <alignment horizontal="center" vertical="center"/>
    </xf>
    <xf numFmtId="14" fontId="99" fillId="22" borderId="1" xfId="0" applyNumberFormat="1" applyFont="1" applyFill="1" applyBorder="1" applyAlignment="1">
      <alignment horizontal="center" vertical="center"/>
    </xf>
    <xf numFmtId="14" fontId="99" fillId="22" borderId="4" xfId="0" applyNumberFormat="1" applyFont="1" applyFill="1" applyBorder="1" applyAlignment="1">
      <alignment horizontal="center" vertical="center"/>
    </xf>
    <xf numFmtId="14" fontId="99" fillId="22" borderId="13" xfId="0" applyNumberFormat="1" applyFont="1" applyFill="1" applyBorder="1" applyAlignment="1">
      <alignment horizontal="center" vertical="center"/>
    </xf>
    <xf numFmtId="14" fontId="99" fillId="22" borderId="14" xfId="0" applyNumberFormat="1" applyFont="1" applyFill="1" applyBorder="1" applyAlignment="1">
      <alignment horizontal="center" vertical="center"/>
    </xf>
    <xf numFmtId="14" fontId="99" fillId="2" borderId="84" xfId="0" applyNumberFormat="1" applyFont="1" applyFill="1" applyBorder="1" applyAlignment="1">
      <alignment horizontal="center" vertical="center"/>
    </xf>
    <xf numFmtId="14" fontId="99" fillId="2" borderId="31" xfId="0" applyNumberFormat="1" applyFont="1" applyFill="1" applyBorder="1" applyAlignment="1">
      <alignment horizontal="center" vertical="center"/>
    </xf>
    <xf numFmtId="14" fontId="99" fillId="22" borderId="84" xfId="0" applyNumberFormat="1" applyFont="1" applyFill="1" applyBorder="1" applyAlignment="1">
      <alignment horizontal="center" vertical="center"/>
    </xf>
    <xf numFmtId="14" fontId="99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99" fillId="22" borderId="12" xfId="0" applyNumberFormat="1" applyFont="1" applyFill="1" applyBorder="1" applyAlignment="1">
      <alignment horizontal="center" vertical="center"/>
    </xf>
    <xf numFmtId="14" fontId="99" fillId="0" borderId="28" xfId="0" applyNumberFormat="1" applyFont="1" applyBorder="1" applyAlignment="1">
      <alignment horizontal="center" vertical="center"/>
    </xf>
    <xf numFmtId="0" fontId="122" fillId="22" borderId="12" xfId="0" applyFont="1" applyFill="1" applyBorder="1" applyAlignment="1">
      <alignment horizontal="center" vertical="center"/>
    </xf>
    <xf numFmtId="0" fontId="100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22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99" fillId="23" borderId="20" xfId="0" applyNumberFormat="1" applyFont="1" applyFill="1" applyBorder="1" applyAlignment="1">
      <alignment horizontal="center" vertical="center"/>
    </xf>
    <xf numFmtId="14" fontId="99" fillId="23" borderId="73" xfId="0" applyNumberFormat="1" applyFont="1" applyFill="1" applyBorder="1" applyAlignment="1">
      <alignment horizontal="center" vertical="center"/>
    </xf>
    <xf numFmtId="14" fontId="99" fillId="23" borderId="74" xfId="0" applyNumberFormat="1" applyFont="1" applyFill="1" applyBorder="1" applyAlignment="1">
      <alignment horizontal="center" vertical="center"/>
    </xf>
    <xf numFmtId="14" fontId="99" fillId="23" borderId="75" xfId="0" applyNumberFormat="1" applyFont="1" applyFill="1" applyBorder="1" applyAlignment="1">
      <alignment horizontal="center" vertical="center"/>
    </xf>
    <xf numFmtId="14" fontId="99" fillId="23" borderId="76" xfId="0" applyNumberFormat="1" applyFont="1" applyFill="1" applyBorder="1" applyAlignment="1">
      <alignment horizontal="center" vertical="center"/>
    </xf>
    <xf numFmtId="0" fontId="122" fillId="19" borderId="67" xfId="0" applyFont="1" applyFill="1" applyBorder="1" applyAlignment="1">
      <alignment horizontal="center" vertical="center"/>
    </xf>
    <xf numFmtId="0" fontId="100" fillId="4" borderId="0" xfId="0" applyFont="1" applyFill="1" applyAlignment="1">
      <alignment horizontal="center"/>
    </xf>
    <xf numFmtId="0" fontId="100" fillId="3" borderId="30" xfId="0" applyFont="1" applyFill="1" applyBorder="1" applyAlignment="1">
      <alignment horizontal="center" vertical="center"/>
    </xf>
    <xf numFmtId="0" fontId="100" fillId="3" borderId="31" xfId="0" applyFont="1" applyFill="1" applyBorder="1" applyAlignment="1">
      <alignment horizontal="center" vertical="center"/>
    </xf>
    <xf numFmtId="0" fontId="122" fillId="2" borderId="20" xfId="0" applyFont="1" applyFill="1" applyBorder="1" applyAlignment="1">
      <alignment horizontal="center" vertical="center"/>
    </xf>
    <xf numFmtId="0" fontId="122" fillId="2" borderId="28" xfId="0" applyFont="1" applyFill="1" applyBorder="1" applyAlignment="1">
      <alignment horizontal="center" vertical="center"/>
    </xf>
    <xf numFmtId="0" fontId="122" fillId="23" borderId="67" xfId="0" applyFont="1" applyFill="1" applyBorder="1" applyAlignment="1">
      <alignment horizontal="center" vertical="center"/>
    </xf>
    <xf numFmtId="0" fontId="122" fillId="22" borderId="67" xfId="0" applyFont="1" applyFill="1" applyBorder="1" applyAlignment="1">
      <alignment horizontal="center" vertical="center"/>
    </xf>
    <xf numFmtId="14" fontId="68" fillId="23" borderId="74" xfId="0" applyNumberFormat="1" applyFont="1" applyFill="1" applyBorder="1" applyAlignment="1">
      <alignment horizontal="center" vertical="center" wrapText="1"/>
    </xf>
    <xf numFmtId="14" fontId="99" fillId="23" borderId="76" xfId="0" applyNumberFormat="1" applyFont="1" applyFill="1" applyBorder="1" applyAlignment="1">
      <alignment horizontal="center" vertical="center" wrapText="1"/>
    </xf>
    <xf numFmtId="0" fontId="122" fillId="23" borderId="7" xfId="0" applyFont="1" applyFill="1" applyBorder="1" applyAlignment="1">
      <alignment horizontal="center" vertical="center"/>
    </xf>
    <xf numFmtId="14" fontId="99" fillId="2" borderId="18" xfId="0" applyNumberFormat="1" applyFont="1" applyFill="1" applyBorder="1" applyAlignment="1">
      <alignment horizontal="center" vertical="center"/>
    </xf>
    <xf numFmtId="14" fontId="99" fillId="2" borderId="19" xfId="0" applyNumberFormat="1" applyFont="1" applyFill="1" applyBorder="1" applyAlignment="1">
      <alignment horizontal="center" vertical="center"/>
    </xf>
    <xf numFmtId="0" fontId="100" fillId="4" borderId="12" xfId="0" applyFont="1" applyFill="1" applyBorder="1" applyAlignment="1">
      <alignment horizontal="center"/>
    </xf>
    <xf numFmtId="0" fontId="107" fillId="3" borderId="40" xfId="0" applyFont="1" applyFill="1" applyBorder="1" applyAlignment="1">
      <alignment horizontal="center" vertical="center" wrapText="1"/>
    </xf>
    <xf numFmtId="0" fontId="106" fillId="3" borderId="44" xfId="0" applyFont="1" applyFill="1" applyBorder="1" applyAlignment="1">
      <alignment vertical="center"/>
    </xf>
    <xf numFmtId="1" fontId="107" fillId="3" borderId="41" xfId="0" applyNumberFormat="1" applyFont="1" applyFill="1" applyBorder="1" applyAlignment="1">
      <alignment horizontal="center" vertical="center" wrapText="1"/>
    </xf>
    <xf numFmtId="0" fontId="106" fillId="3" borderId="42" xfId="0" applyFont="1" applyFill="1" applyBorder="1" applyAlignment="1">
      <alignment vertical="center"/>
    </xf>
    <xf numFmtId="0" fontId="106" fillId="3" borderId="43" xfId="0" applyFont="1" applyFill="1" applyBorder="1" applyAlignment="1">
      <alignment vertical="center"/>
    </xf>
    <xf numFmtId="1" fontId="107" fillId="3" borderId="40" xfId="0" applyNumberFormat="1" applyFont="1" applyFill="1" applyBorder="1" applyAlignment="1">
      <alignment horizontal="center" vertical="center" wrapText="1"/>
    </xf>
    <xf numFmtId="0" fontId="107" fillId="3" borderId="41" xfId="0" applyFont="1" applyFill="1" applyBorder="1" applyAlignment="1">
      <alignment horizontal="center" vertical="center" wrapText="1"/>
    </xf>
    <xf numFmtId="0" fontId="106" fillId="3" borderId="46" xfId="0" applyFont="1" applyFill="1" applyBorder="1" applyAlignment="1">
      <alignment vertical="center"/>
    </xf>
    <xf numFmtId="1" fontId="107" fillId="3" borderId="44" xfId="0" applyNumberFormat="1" applyFont="1" applyFill="1" applyBorder="1" applyAlignment="1">
      <alignment horizontal="center" vertical="center" wrapText="1"/>
    </xf>
    <xf numFmtId="0" fontId="100" fillId="20" borderId="12" xfId="0" applyFont="1" applyFill="1" applyBorder="1" applyAlignment="1">
      <alignment horizontal="center"/>
    </xf>
    <xf numFmtId="0" fontId="112" fillId="15" borderId="51" xfId="0" applyFont="1" applyFill="1" applyBorder="1" applyAlignment="1">
      <alignment horizontal="center"/>
    </xf>
    <xf numFmtId="0" fontId="113" fillId="15" borderId="0" xfId="0" applyFont="1" applyFill="1" applyAlignment="1">
      <alignment horizontal="center"/>
    </xf>
    <xf numFmtId="0" fontId="117" fillId="3" borderId="42" xfId="0" applyFont="1" applyFill="1" applyBorder="1" applyAlignment="1">
      <alignment horizontal="center" vertical="center"/>
    </xf>
    <xf numFmtId="0" fontId="117" fillId="3" borderId="43" xfId="0" applyFont="1" applyFill="1" applyBorder="1" applyAlignment="1">
      <alignment horizontal="center" vertical="center"/>
    </xf>
    <xf numFmtId="0" fontId="107" fillId="3" borderId="42" xfId="0" applyFont="1" applyFill="1" applyBorder="1" applyAlignment="1">
      <alignment horizontal="center" vertical="center" wrapText="1"/>
    </xf>
    <xf numFmtId="0" fontId="107" fillId="3" borderId="43" xfId="0" applyFont="1" applyFill="1" applyBorder="1" applyAlignment="1">
      <alignment horizontal="center" vertical="center" wrapText="1"/>
    </xf>
    <xf numFmtId="177" fontId="100" fillId="4" borderId="12" xfId="0" applyNumberFormat="1" applyFont="1" applyFill="1" applyBorder="1" applyAlignment="1">
      <alignment horizontal="center"/>
    </xf>
    <xf numFmtId="0" fontId="100" fillId="19" borderId="57" xfId="0" applyFont="1" applyFill="1" applyBorder="1" applyAlignment="1">
      <alignment horizontal="center"/>
    </xf>
    <xf numFmtId="0" fontId="100" fillId="19" borderId="10" xfId="0" applyFont="1" applyFill="1" applyBorder="1" applyAlignment="1">
      <alignment horizontal="center"/>
    </xf>
    <xf numFmtId="177" fontId="100" fillId="19" borderId="10" xfId="0" applyNumberFormat="1" applyFont="1" applyFill="1" applyBorder="1" applyAlignment="1">
      <alignment horizontal="center"/>
    </xf>
    <xf numFmtId="0" fontId="100" fillId="19" borderId="23" xfId="0" applyFont="1" applyFill="1" applyBorder="1" applyAlignment="1">
      <alignment horizontal="center"/>
    </xf>
    <xf numFmtId="0" fontId="115" fillId="18" borderId="0" xfId="0" applyFont="1" applyFill="1" applyAlignment="1">
      <alignment horizontal="center"/>
    </xf>
    <xf numFmtId="0" fontId="100" fillId="3" borderId="7" xfId="0" applyFont="1" applyFill="1" applyBorder="1" applyAlignment="1">
      <alignment horizontal="center"/>
    </xf>
    <xf numFmtId="0" fontId="100" fillId="3" borderId="8" xfId="0" applyFont="1" applyFill="1" applyBorder="1" applyAlignment="1">
      <alignment horizontal="center"/>
    </xf>
    <xf numFmtId="0" fontId="100" fillId="3" borderId="29" xfId="0" applyFont="1" applyFill="1" applyBorder="1" applyAlignment="1">
      <alignment horizontal="center"/>
    </xf>
    <xf numFmtId="0" fontId="100" fillId="3" borderId="53" xfId="0" applyFont="1" applyFill="1" applyBorder="1" applyAlignment="1">
      <alignment horizontal="center"/>
    </xf>
    <xf numFmtId="0" fontId="100" fillId="3" borderId="33" xfId="0" applyFont="1" applyFill="1" applyBorder="1" applyAlignment="1">
      <alignment horizontal="center"/>
    </xf>
    <xf numFmtId="0" fontId="100" fillId="18" borderId="7" xfId="0" applyFont="1" applyFill="1" applyBorder="1" applyAlignment="1">
      <alignment horizontal="center"/>
    </xf>
    <xf numFmtId="0" fontId="100" fillId="18" borderId="29" xfId="0" applyFont="1" applyFill="1" applyBorder="1" applyAlignment="1">
      <alignment horizontal="center"/>
    </xf>
    <xf numFmtId="0" fontId="100" fillId="18" borderId="8" xfId="0" applyFont="1" applyFill="1" applyBorder="1" applyAlignment="1">
      <alignment horizontal="center"/>
    </xf>
    <xf numFmtId="14" fontId="115" fillId="4" borderId="18" xfId="0" applyNumberFormat="1" applyFont="1" applyFill="1" applyBorder="1" applyAlignment="1">
      <alignment horizontal="center" vertical="center"/>
    </xf>
    <xf numFmtId="14" fontId="115" fillId="4" borderId="19" xfId="0" applyNumberFormat="1" applyFont="1" applyFill="1" applyBorder="1" applyAlignment="1">
      <alignment horizontal="center" vertical="center"/>
    </xf>
    <xf numFmtId="0" fontId="115" fillId="4" borderId="24" xfId="0" applyFont="1" applyFill="1" applyBorder="1" applyAlignment="1">
      <alignment horizontal="center"/>
    </xf>
    <xf numFmtId="0" fontId="115" fillId="4" borderId="17" xfId="0" applyFont="1" applyFill="1" applyBorder="1" applyAlignment="1">
      <alignment horizontal="center"/>
    </xf>
    <xf numFmtId="14" fontId="120" fillId="2" borderId="1" xfId="0" applyNumberFormat="1" applyFont="1" applyFill="1" applyBorder="1" applyAlignment="1">
      <alignment horizontal="center" vertical="center"/>
    </xf>
    <xf numFmtId="14" fontId="120" fillId="2" borderId="4" xfId="0" applyNumberFormat="1" applyFont="1" applyFill="1" applyBorder="1" applyAlignment="1">
      <alignment horizontal="center" vertical="center"/>
    </xf>
    <xf numFmtId="14" fontId="120" fillId="2" borderId="13" xfId="0" applyNumberFormat="1" applyFont="1" applyFill="1" applyBorder="1" applyAlignment="1">
      <alignment horizontal="center" vertical="center"/>
    </xf>
    <xf numFmtId="14" fontId="120" fillId="2" borderId="14" xfId="0" applyNumberFormat="1" applyFont="1" applyFill="1" applyBorder="1" applyAlignment="1">
      <alignment horizontal="center" vertical="center"/>
    </xf>
    <xf numFmtId="165" fontId="120" fillId="2" borderId="0" xfId="0" applyNumberFormat="1" applyFont="1" applyFill="1" applyAlignment="1">
      <alignment horizontal="center" vertical="center"/>
    </xf>
    <xf numFmtId="0" fontId="120" fillId="2" borderId="53" xfId="0" applyFont="1" applyFill="1" applyBorder="1" applyAlignment="1">
      <alignment horizontal="center" vertical="center"/>
    </xf>
    <xf numFmtId="165" fontId="120" fillId="2" borderId="63" xfId="0" applyNumberFormat="1" applyFont="1" applyFill="1" applyBorder="1" applyAlignment="1">
      <alignment horizontal="center" vertical="center"/>
    </xf>
    <xf numFmtId="165" fontId="120" fillId="2" borderId="65" xfId="0" applyNumberFormat="1" applyFont="1" applyFill="1" applyBorder="1" applyAlignment="1">
      <alignment horizontal="center" vertical="center"/>
    </xf>
    <xf numFmtId="0" fontId="130" fillId="3" borderId="36" xfId="0" applyFont="1" applyFill="1" applyBorder="1" applyAlignment="1">
      <alignment horizontal="center"/>
    </xf>
    <xf numFmtId="0" fontId="130" fillId="3" borderId="55" xfId="0" applyFont="1" applyFill="1" applyBorder="1" applyAlignment="1">
      <alignment horizontal="center"/>
    </xf>
    <xf numFmtId="0" fontId="130" fillId="3" borderId="56" xfId="0" applyFont="1" applyFill="1" applyBorder="1" applyAlignment="1">
      <alignment horizontal="center"/>
    </xf>
    <xf numFmtId="165" fontId="120" fillId="2" borderId="5" xfId="0" applyNumberFormat="1" applyFont="1" applyFill="1" applyBorder="1" applyAlignment="1">
      <alignment horizontal="center" vertical="center"/>
    </xf>
    <xf numFmtId="165" fontId="120" fillId="2" borderId="15" xfId="0" applyNumberFormat="1" applyFont="1" applyFill="1" applyBorder="1" applyAlignment="1">
      <alignment horizontal="center" vertical="center"/>
    </xf>
    <xf numFmtId="165" fontId="120" fillId="2" borderId="21" xfId="0" applyNumberFormat="1" applyFont="1" applyFill="1" applyBorder="1" applyAlignment="1">
      <alignment horizontal="center" vertical="center"/>
    </xf>
    <xf numFmtId="14" fontId="120" fillId="17" borderId="1" xfId="0" applyNumberFormat="1" applyFont="1" applyFill="1" applyBorder="1" applyAlignment="1">
      <alignment horizontal="center" vertical="center"/>
    </xf>
    <xf numFmtId="14" fontId="120" fillId="17" borderId="4" xfId="0" applyNumberFormat="1" applyFont="1" applyFill="1" applyBorder="1" applyAlignment="1">
      <alignment horizontal="center" vertical="center"/>
    </xf>
    <xf numFmtId="14" fontId="120" fillId="17" borderId="13" xfId="0" applyNumberFormat="1" applyFont="1" applyFill="1" applyBorder="1" applyAlignment="1">
      <alignment horizontal="center" vertical="center"/>
    </xf>
    <xf numFmtId="14" fontId="120" fillId="17" borderId="14" xfId="0" applyNumberFormat="1" applyFont="1" applyFill="1" applyBorder="1" applyAlignment="1">
      <alignment horizontal="center" vertical="center"/>
    </xf>
    <xf numFmtId="165" fontId="120" fillId="17" borderId="5" xfId="0" applyNumberFormat="1" applyFont="1" applyFill="1" applyBorder="1" applyAlignment="1">
      <alignment horizontal="center" vertical="center"/>
    </xf>
    <xf numFmtId="165" fontId="120" fillId="17" borderId="15" xfId="0" applyNumberFormat="1" applyFont="1" applyFill="1" applyBorder="1" applyAlignment="1">
      <alignment horizontal="center" vertical="center"/>
    </xf>
    <xf numFmtId="14" fontId="120" fillId="2" borderId="18" xfId="0" applyNumberFormat="1" applyFont="1" applyFill="1" applyBorder="1" applyAlignment="1">
      <alignment horizontal="center" vertical="center"/>
    </xf>
    <xf numFmtId="14" fontId="120" fillId="2" borderId="19" xfId="0" applyNumberFormat="1" applyFont="1" applyFill="1" applyBorder="1" applyAlignment="1">
      <alignment horizontal="center" vertical="center"/>
    </xf>
    <xf numFmtId="0" fontId="115" fillId="3" borderId="18" xfId="0" applyFont="1" applyFill="1" applyBorder="1" applyAlignment="1">
      <alignment horizontal="center" vertical="center"/>
    </xf>
    <xf numFmtId="0" fontId="115" fillId="3" borderId="19" xfId="0" applyFont="1" applyFill="1" applyBorder="1" applyAlignment="1">
      <alignment horizontal="center" vertical="center"/>
    </xf>
    <xf numFmtId="165" fontId="120" fillId="2" borderId="6" xfId="0" applyNumberFormat="1" applyFont="1" applyFill="1" applyBorder="1" applyAlignment="1">
      <alignment horizontal="center" vertical="center"/>
    </xf>
    <xf numFmtId="0" fontId="120" fillId="2" borderId="16" xfId="0" applyFont="1" applyFill="1" applyBorder="1" applyAlignment="1">
      <alignment horizontal="center" vertical="center"/>
    </xf>
    <xf numFmtId="0" fontId="120" fillId="2" borderId="20" xfId="0" applyFont="1" applyFill="1" applyBorder="1" applyAlignment="1">
      <alignment horizontal="left" wrapText="1"/>
    </xf>
    <xf numFmtId="0" fontId="120" fillId="2" borderId="28" xfId="0" applyFont="1" applyFill="1" applyBorder="1" applyAlignment="1">
      <alignment horizontal="left" wrapText="1"/>
    </xf>
    <xf numFmtId="14" fontId="120" fillId="2" borderId="12" xfId="0" applyNumberFormat="1" applyFont="1" applyFill="1" applyBorder="1" applyAlignment="1">
      <alignment horizontal="center" vertical="center"/>
    </xf>
    <xf numFmtId="165" fontId="120" fillId="2" borderId="20" xfId="0" applyNumberFormat="1" applyFont="1" applyFill="1" applyBorder="1" applyAlignment="1">
      <alignment horizontal="center" vertical="center"/>
    </xf>
    <xf numFmtId="165" fontId="120" fillId="2" borderId="28" xfId="0" applyNumberFormat="1" applyFont="1" applyFill="1" applyBorder="1" applyAlignment="1">
      <alignment horizontal="center" vertical="center"/>
    </xf>
    <xf numFmtId="165" fontId="120" fillId="2" borderId="12" xfId="0" applyNumberFormat="1" applyFont="1" applyFill="1" applyBorder="1" applyAlignment="1">
      <alignment horizontal="center" vertical="center"/>
    </xf>
    <xf numFmtId="165" fontId="120" fillId="2" borderId="64" xfId="0" applyNumberFormat="1" applyFont="1" applyFill="1" applyBorder="1" applyAlignment="1">
      <alignment horizontal="center" vertical="center"/>
    </xf>
    <xf numFmtId="165" fontId="120" fillId="2" borderId="86" xfId="0" applyNumberFormat="1" applyFont="1" applyFill="1" applyBorder="1" applyAlignment="1">
      <alignment horizontal="center" vertical="center"/>
    </xf>
    <xf numFmtId="14" fontId="120" fillId="2" borderId="30" xfId="0" applyNumberFormat="1" applyFont="1" applyFill="1" applyBorder="1" applyAlignment="1">
      <alignment horizontal="center" vertical="center"/>
    </xf>
    <xf numFmtId="14" fontId="120" fillId="2" borderId="31" xfId="0" applyNumberFormat="1" applyFont="1" applyFill="1" applyBorder="1" applyAlignment="1">
      <alignment horizontal="center" vertical="center"/>
    </xf>
    <xf numFmtId="14" fontId="120" fillId="2" borderId="22" xfId="0" applyNumberFormat="1" applyFont="1" applyFill="1" applyBorder="1" applyAlignment="1">
      <alignment horizontal="center" vertical="center"/>
    </xf>
    <xf numFmtId="14" fontId="120" fillId="2" borderId="32" xfId="0" applyNumberFormat="1" applyFont="1" applyFill="1" applyBorder="1" applyAlignment="1">
      <alignment horizontal="center" vertical="center"/>
    </xf>
    <xf numFmtId="14" fontId="120" fillId="2" borderId="33" xfId="0" applyNumberFormat="1" applyFont="1" applyFill="1" applyBorder="1" applyAlignment="1">
      <alignment horizontal="center" vertical="center"/>
    </xf>
    <xf numFmtId="14" fontId="97" fillId="2" borderId="32" xfId="0" applyNumberFormat="1" applyFont="1" applyFill="1" applyBorder="1" applyAlignment="1">
      <alignment horizontal="center" vertical="center"/>
    </xf>
    <xf numFmtId="14" fontId="99" fillId="2" borderId="33" xfId="0" applyNumberFormat="1" applyFont="1" applyFill="1" applyBorder="1" applyAlignment="1">
      <alignment horizontal="center" vertical="center"/>
    </xf>
    <xf numFmtId="0" fontId="110" fillId="20" borderId="7" xfId="0" applyFont="1" applyFill="1" applyBorder="1" applyAlignment="1">
      <alignment horizontal="center"/>
    </xf>
    <xf numFmtId="0" fontId="110" fillId="20" borderId="8" xfId="0" applyFont="1" applyFill="1" applyBorder="1" applyAlignment="1">
      <alignment horizontal="center"/>
    </xf>
    <xf numFmtId="0" fontId="100" fillId="2" borderId="0" xfId="0" applyFont="1" applyFill="1" applyAlignment="1">
      <alignment horizontal="center"/>
    </xf>
    <xf numFmtId="0" fontId="100" fillId="3" borderId="30" xfId="0" applyFont="1" applyFill="1" applyBorder="1" applyAlignment="1">
      <alignment horizontal="center"/>
    </xf>
    <xf numFmtId="0" fontId="100" fillId="3" borderId="34" xfId="0" applyFont="1" applyFill="1" applyBorder="1" applyAlignment="1">
      <alignment horizontal="center"/>
    </xf>
    <xf numFmtId="0" fontId="100" fillId="3" borderId="31" xfId="0" applyFont="1" applyFill="1" applyBorder="1" applyAlignment="1">
      <alignment horizontal="center"/>
    </xf>
    <xf numFmtId="0" fontId="99" fillId="3" borderId="36" xfId="0" applyFont="1" applyFill="1" applyBorder="1" applyAlignment="1">
      <alignment horizontal="center"/>
    </xf>
    <xf numFmtId="0" fontId="99" fillId="3" borderId="37" xfId="0" applyFont="1" applyFill="1" applyBorder="1" applyAlignment="1">
      <alignment horizontal="center"/>
    </xf>
    <xf numFmtId="0" fontId="115" fillId="2" borderId="0" xfId="0" applyFont="1" applyFill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24" fillId="2" borderId="67" xfId="0" applyFont="1" applyFill="1" applyBorder="1" applyAlignment="1">
      <alignment horizontal="center"/>
    </xf>
    <xf numFmtId="0" fontId="124" fillId="2" borderId="13" xfId="0" applyFont="1" applyFill="1" applyBorder="1" applyAlignment="1">
      <alignment horizontal="center"/>
    </xf>
    <xf numFmtId="0" fontId="124" fillId="2" borderId="51" xfId="0" applyFont="1" applyFill="1" applyBorder="1" applyAlignment="1">
      <alignment horizontal="center"/>
    </xf>
    <xf numFmtId="0" fontId="124" fillId="2" borderId="26" xfId="0" applyFont="1" applyFill="1" applyBorder="1" applyAlignment="1">
      <alignment horizontal="center"/>
    </xf>
    <xf numFmtId="0" fontId="126" fillId="2" borderId="18" xfId="0" applyFont="1" applyFill="1" applyBorder="1" applyAlignment="1">
      <alignment horizontal="center"/>
    </xf>
    <xf numFmtId="0" fontId="126" fillId="2" borderId="0" xfId="0" applyFont="1" applyFill="1" applyAlignment="1">
      <alignment horizontal="center"/>
    </xf>
    <xf numFmtId="0" fontId="126" fillId="2" borderId="67" xfId="0" applyFont="1" applyFill="1" applyBorder="1" applyAlignment="1">
      <alignment horizontal="center"/>
    </xf>
    <xf numFmtId="0" fontId="126" fillId="2" borderId="13" xfId="0" applyFont="1" applyFill="1" applyBorder="1" applyAlignment="1">
      <alignment horizontal="center"/>
    </xf>
    <xf numFmtId="0" fontId="126" fillId="2" borderId="51" xfId="0" applyFont="1" applyFill="1" applyBorder="1" applyAlignment="1">
      <alignment horizontal="center"/>
    </xf>
    <xf numFmtId="0" fontId="126" fillId="2" borderId="26" xfId="0" applyFont="1" applyFill="1" applyBorder="1" applyAlignment="1">
      <alignment horizontal="center"/>
    </xf>
    <xf numFmtId="0" fontId="123" fillId="2" borderId="0" xfId="0" applyFont="1" applyFill="1" applyAlignment="1">
      <alignment horizontal="center"/>
    </xf>
    <xf numFmtId="0" fontId="136" fillId="26" borderId="20" xfId="0" applyFont="1" applyFill="1" applyBorder="1" applyAlignment="1">
      <alignment horizontal="center" vertical="center"/>
    </xf>
    <xf numFmtId="0" fontId="136" fillId="26" borderId="21" xfId="0" applyFont="1" applyFill="1" applyBorder="1" applyAlignment="1">
      <alignment horizontal="center" vertical="center"/>
    </xf>
    <xf numFmtId="0" fontId="136" fillId="26" borderId="28" xfId="0" applyFont="1" applyFill="1" applyBorder="1" applyAlignment="1">
      <alignment horizontal="center" vertical="center"/>
    </xf>
    <xf numFmtId="0" fontId="119" fillId="26" borderId="20" xfId="0" applyFont="1" applyFill="1" applyBorder="1" applyAlignment="1">
      <alignment horizontal="center" vertical="center"/>
    </xf>
    <xf numFmtId="0" fontId="119" fillId="26" borderId="21" xfId="0" applyFont="1" applyFill="1" applyBorder="1" applyAlignment="1">
      <alignment horizontal="center" vertical="center"/>
    </xf>
    <xf numFmtId="0" fontId="119" fillId="26" borderId="28" xfId="0" applyFont="1" applyFill="1" applyBorder="1" applyAlignment="1">
      <alignment horizontal="center" vertical="center"/>
    </xf>
    <xf numFmtId="0" fontId="136" fillId="17" borderId="20" xfId="0" applyFont="1" applyFill="1" applyBorder="1" applyAlignment="1">
      <alignment horizontal="center" vertical="center"/>
    </xf>
    <xf numFmtId="0" fontId="136" fillId="17" borderId="21" xfId="0" applyFont="1" applyFill="1" applyBorder="1" applyAlignment="1">
      <alignment horizontal="center" vertical="center"/>
    </xf>
    <xf numFmtId="0" fontId="136" fillId="17" borderId="28" xfId="0" applyFont="1" applyFill="1" applyBorder="1" applyAlignment="1">
      <alignment horizontal="center" vertical="center"/>
    </xf>
    <xf numFmtId="0" fontId="115" fillId="17" borderId="20" xfId="0" applyFont="1" applyFill="1" applyBorder="1" applyAlignment="1">
      <alignment horizontal="center" vertical="center"/>
    </xf>
    <xf numFmtId="0" fontId="115" fillId="17" borderId="21" xfId="0" applyFont="1" applyFill="1" applyBorder="1" applyAlignment="1">
      <alignment horizontal="center" vertical="center"/>
    </xf>
    <xf numFmtId="0" fontId="115" fillId="17" borderId="28" xfId="0" applyFont="1" applyFill="1" applyBorder="1" applyAlignment="1">
      <alignment horizontal="center" vertical="center"/>
    </xf>
    <xf numFmtId="0" fontId="100" fillId="18" borderId="0" xfId="0" applyFont="1" applyFill="1" applyAlignment="1">
      <alignment horizontal="center"/>
    </xf>
    <xf numFmtId="0" fontId="122" fillId="23" borderId="20" xfId="0" applyFont="1" applyFill="1" applyBorder="1" applyAlignment="1">
      <alignment horizontal="center" vertical="center"/>
    </xf>
    <xf numFmtId="0" fontId="122" fillId="23" borderId="21" xfId="0" applyFont="1" applyFill="1" applyBorder="1" applyAlignment="1">
      <alignment horizontal="center" vertical="center"/>
    </xf>
    <xf numFmtId="0" fontId="122" fillId="23" borderId="28" xfId="0" applyFont="1" applyFill="1" applyBorder="1" applyAlignment="1">
      <alignment horizontal="center" vertical="center"/>
    </xf>
    <xf numFmtId="0" fontId="122" fillId="22" borderId="20" xfId="0" applyFont="1" applyFill="1" applyBorder="1" applyAlignment="1">
      <alignment horizontal="center" vertical="center"/>
    </xf>
    <xf numFmtId="0" fontId="122" fillId="22" borderId="21" xfId="0" applyFont="1" applyFill="1" applyBorder="1" applyAlignment="1">
      <alignment horizontal="center" vertical="center"/>
    </xf>
    <xf numFmtId="0" fontId="122" fillId="22" borderId="28" xfId="0" applyFont="1" applyFill="1" applyBorder="1" applyAlignment="1">
      <alignment horizontal="center" vertical="center"/>
    </xf>
    <xf numFmtId="0" fontId="115" fillId="22" borderId="20" xfId="0" applyFont="1" applyFill="1" applyBorder="1" applyAlignment="1">
      <alignment horizontal="center" vertical="center"/>
    </xf>
    <xf numFmtId="0" fontId="115" fillId="22" borderId="21" xfId="0" applyFont="1" applyFill="1" applyBorder="1" applyAlignment="1">
      <alignment horizontal="center" vertical="center"/>
    </xf>
    <xf numFmtId="0" fontId="115" fillId="22" borderId="28" xfId="0" applyFont="1" applyFill="1" applyBorder="1" applyAlignment="1">
      <alignment horizontal="center" vertical="center"/>
    </xf>
    <xf numFmtId="0" fontId="119" fillId="17" borderId="20" xfId="0" applyFont="1" applyFill="1" applyBorder="1" applyAlignment="1">
      <alignment horizontal="center" vertical="center"/>
    </xf>
    <xf numFmtId="0" fontId="119" fillId="17" borderId="21" xfId="0" applyFont="1" applyFill="1" applyBorder="1" applyAlignment="1">
      <alignment horizontal="center" vertical="center"/>
    </xf>
    <xf numFmtId="0" fontId="119" fillId="17" borderId="28" xfId="0" applyFont="1" applyFill="1" applyBorder="1" applyAlignment="1">
      <alignment horizontal="center" vertical="center"/>
    </xf>
    <xf numFmtId="0" fontId="100" fillId="16" borderId="12" xfId="0" applyFont="1" applyFill="1" applyBorder="1" applyAlignment="1">
      <alignment horizontal="center"/>
    </xf>
    <xf numFmtId="0" fontId="130" fillId="22" borderId="20" xfId="0" applyFont="1" applyFill="1" applyBorder="1" applyAlignment="1">
      <alignment horizontal="center" vertical="center"/>
    </xf>
    <xf numFmtId="0" fontId="130" fillId="22" borderId="21" xfId="0" applyFont="1" applyFill="1" applyBorder="1" applyAlignment="1">
      <alignment horizontal="center" vertical="center"/>
    </xf>
    <xf numFmtId="0" fontId="130" fillId="22" borderId="28" xfId="0" applyFont="1" applyFill="1" applyBorder="1" applyAlignment="1">
      <alignment horizontal="center" vertical="center"/>
    </xf>
    <xf numFmtId="0" fontId="130" fillId="17" borderId="20" xfId="0" applyFont="1" applyFill="1" applyBorder="1" applyAlignment="1">
      <alignment horizontal="center" vertical="center"/>
    </xf>
    <xf numFmtId="0" fontId="130" fillId="17" borderId="21" xfId="0" applyFont="1" applyFill="1" applyBorder="1" applyAlignment="1">
      <alignment horizontal="center" vertical="center"/>
    </xf>
    <xf numFmtId="0" fontId="130" fillId="17" borderId="28" xfId="0" applyFont="1" applyFill="1" applyBorder="1" applyAlignment="1">
      <alignment horizontal="center" vertical="center"/>
    </xf>
    <xf numFmtId="0" fontId="122" fillId="17" borderId="20" xfId="0" applyFont="1" applyFill="1" applyBorder="1" applyAlignment="1">
      <alignment horizontal="center" vertical="center"/>
    </xf>
    <xf numFmtId="0" fontId="122" fillId="17" borderId="21" xfId="0" applyFont="1" applyFill="1" applyBorder="1" applyAlignment="1">
      <alignment horizontal="center" vertical="center"/>
    </xf>
    <xf numFmtId="0" fontId="122" fillId="17" borderId="28" xfId="0" applyFont="1" applyFill="1" applyBorder="1" applyAlignment="1">
      <alignment horizontal="center" vertical="center"/>
    </xf>
    <xf numFmtId="0" fontId="122" fillId="19" borderId="20" xfId="0" applyFont="1" applyFill="1" applyBorder="1" applyAlignment="1">
      <alignment horizontal="center" vertical="center"/>
    </xf>
    <xf numFmtId="0" fontId="122" fillId="19" borderId="21" xfId="0" applyFont="1" applyFill="1" applyBorder="1" applyAlignment="1">
      <alignment horizontal="center" vertical="center"/>
    </xf>
    <xf numFmtId="0" fontId="122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22" fillId="26" borderId="20" xfId="0" applyFont="1" applyFill="1" applyBorder="1" applyAlignment="1">
      <alignment horizontal="center" vertical="center"/>
    </xf>
    <xf numFmtId="0" fontId="122" fillId="26" borderId="21" xfId="0" applyFont="1" applyFill="1" applyBorder="1" applyAlignment="1">
      <alignment horizontal="center" vertical="center"/>
    </xf>
    <xf numFmtId="0" fontId="122" fillId="26" borderId="28" xfId="0" applyFont="1" applyFill="1" applyBorder="1" applyAlignment="1">
      <alignment horizontal="center" vertical="center"/>
    </xf>
    <xf numFmtId="0" fontId="122" fillId="28" borderId="20" xfId="0" applyFont="1" applyFill="1" applyBorder="1" applyAlignment="1">
      <alignment horizontal="center" vertical="center"/>
    </xf>
    <xf numFmtId="0" fontId="122" fillId="28" borderId="21" xfId="0" applyFont="1" applyFill="1" applyBorder="1" applyAlignment="1">
      <alignment horizontal="center" vertical="center"/>
    </xf>
    <xf numFmtId="0" fontId="122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100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2" fillId="22" borderId="80" xfId="0" applyFont="1" applyFill="1" applyBorder="1" applyAlignment="1">
      <alignment horizontal="center" vertical="center"/>
    </xf>
    <xf numFmtId="0" fontId="122" fillId="23" borderId="20" xfId="0" applyFont="1" applyFill="1" applyBorder="1" applyAlignment="1">
      <alignment horizontal="center" vertical="center" wrapText="1"/>
    </xf>
    <xf numFmtId="0" fontId="122" fillId="23" borderId="21" xfId="0" applyFont="1" applyFill="1" applyBorder="1" applyAlignment="1">
      <alignment horizontal="center" vertical="center" wrapText="1"/>
    </xf>
    <xf numFmtId="0" fontId="122" fillId="23" borderId="28" xfId="0" applyFont="1" applyFill="1" applyBorder="1" applyAlignment="1">
      <alignment horizontal="center" vertical="center" wrapText="1"/>
    </xf>
    <xf numFmtId="9" fontId="100" fillId="19" borderId="12" xfId="2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14" fontId="82" fillId="17" borderId="12" xfId="0" applyNumberFormat="1" applyFont="1" applyFill="1" applyBorder="1" applyAlignment="1">
      <alignment horizontal="center" vertical="center"/>
    </xf>
    <xf numFmtId="14" fontId="99" fillId="17" borderId="12" xfId="0" applyNumberFormat="1" applyFont="1" applyFill="1" applyBorder="1" applyAlignment="1">
      <alignment horizontal="center" vertical="center"/>
    </xf>
    <xf numFmtId="14" fontId="82" fillId="19" borderId="12" xfId="0" applyNumberFormat="1" applyFont="1" applyFill="1" applyBorder="1" applyAlignment="1">
      <alignment horizontal="center" vertical="center"/>
    </xf>
    <xf numFmtId="14" fontId="99" fillId="19" borderId="12" xfId="0" applyNumberFormat="1" applyFont="1" applyFill="1" applyBorder="1" applyAlignment="1">
      <alignment horizontal="center" vertical="center"/>
    </xf>
    <xf numFmtId="0" fontId="100" fillId="3" borderId="22" xfId="0" applyFont="1" applyFill="1" applyBorder="1" applyAlignment="1">
      <alignment horizontal="center"/>
    </xf>
    <xf numFmtId="0" fontId="100" fillId="3" borderId="0" xfId="0" applyFont="1" applyFill="1" applyAlignment="1">
      <alignment horizontal="center"/>
    </xf>
    <xf numFmtId="14" fontId="82" fillId="22" borderId="28" xfId="0" applyNumberFormat="1" applyFont="1" applyFill="1" applyBorder="1" applyAlignment="1">
      <alignment horizontal="center" vertical="center"/>
    </xf>
    <xf numFmtId="14" fontId="99" fillId="22" borderId="28" xfId="0" applyNumberFormat="1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0" fontId="100" fillId="3" borderId="12" xfId="0" applyFont="1" applyFill="1" applyBorder="1" applyAlignment="1">
      <alignment horizontal="center" vertical="center"/>
    </xf>
    <xf numFmtId="14" fontId="82" fillId="2" borderId="12" xfId="0" applyNumberFormat="1" applyFont="1" applyFill="1" applyBorder="1" applyAlignment="1">
      <alignment horizontal="center" vertical="center"/>
    </xf>
    <xf numFmtId="0" fontId="122" fillId="23" borderId="30" xfId="0" applyFont="1" applyFill="1" applyBorder="1" applyAlignment="1">
      <alignment horizontal="center" vertical="center"/>
    </xf>
    <xf numFmtId="0" fontId="122" fillId="23" borderId="22" xfId="0" applyFont="1" applyFill="1" applyBorder="1" applyAlignment="1">
      <alignment horizontal="center" vertical="center"/>
    </xf>
    <xf numFmtId="0" fontId="122" fillId="23" borderId="32" xfId="0" applyFont="1" applyFill="1" applyBorder="1" applyAlignment="1">
      <alignment horizontal="center" vertical="center"/>
    </xf>
    <xf numFmtId="0" fontId="122" fillId="22" borderId="30" xfId="0" applyFont="1" applyFill="1" applyBorder="1" applyAlignment="1">
      <alignment horizontal="center" vertical="center"/>
    </xf>
    <xf numFmtId="0" fontId="122" fillId="22" borderId="22" xfId="0" applyFont="1" applyFill="1" applyBorder="1" applyAlignment="1">
      <alignment horizontal="center" vertical="center"/>
    </xf>
    <xf numFmtId="0" fontId="122" fillId="22" borderId="53" xfId="0" applyFont="1" applyFill="1" applyBorder="1" applyAlignment="1">
      <alignment horizontal="center" vertical="center"/>
    </xf>
    <xf numFmtId="14" fontId="82" fillId="23" borderId="69" xfId="0" applyNumberFormat="1" applyFont="1" applyFill="1" applyBorder="1" applyAlignment="1">
      <alignment horizontal="center" vertical="center"/>
    </xf>
    <xf numFmtId="14" fontId="99" fillId="23" borderId="70" xfId="0" applyNumberFormat="1" applyFont="1" applyFill="1" applyBorder="1" applyAlignment="1">
      <alignment horizontal="center" vertical="center"/>
    </xf>
    <xf numFmtId="14" fontId="82" fillId="23" borderId="28" xfId="0" applyNumberFormat="1" applyFont="1" applyFill="1" applyBorder="1" applyAlignment="1">
      <alignment horizontal="center" vertical="center"/>
    </xf>
    <xf numFmtId="14" fontId="99" fillId="23" borderId="28" xfId="0" applyNumberFormat="1" applyFon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14" fontId="82" fillId="23" borderId="73" xfId="0" applyNumberFormat="1" applyFont="1" applyFill="1" applyBorder="1" applyAlignment="1">
      <alignment horizontal="center" vertical="center"/>
    </xf>
    <xf numFmtId="14" fontId="82" fillId="23" borderId="75" xfId="0" applyNumberFormat="1" applyFont="1" applyFill="1" applyBorder="1" applyAlignment="1">
      <alignment horizontal="center" vertical="center"/>
    </xf>
    <xf numFmtId="0" fontId="122" fillId="23" borderId="34" xfId="0" applyFont="1" applyFill="1" applyBorder="1" applyAlignment="1">
      <alignment horizontal="center" vertical="center"/>
    </xf>
    <xf numFmtId="0" fontId="122" fillId="23" borderId="0" xfId="0" applyFont="1" applyFill="1" applyAlignment="1">
      <alignment horizontal="center" vertical="center"/>
    </xf>
    <xf numFmtId="0" fontId="122" fillId="23" borderId="77" xfId="0" applyFont="1" applyFill="1" applyBorder="1" applyAlignment="1">
      <alignment horizontal="center" vertical="center"/>
    </xf>
    <xf numFmtId="14" fontId="82" fillId="28" borderId="12" xfId="0" applyNumberFormat="1" applyFont="1" applyFill="1" applyBorder="1" applyAlignment="1">
      <alignment horizontal="center" vertical="center"/>
    </xf>
    <xf numFmtId="14" fontId="99" fillId="28" borderId="12" xfId="0" applyNumberFormat="1" applyFont="1" applyFill="1" applyBorder="1" applyAlignment="1">
      <alignment horizontal="center" vertical="center"/>
    </xf>
    <xf numFmtId="14" fontId="82" fillId="26" borderId="12" xfId="0" applyNumberFormat="1" applyFont="1" applyFill="1" applyBorder="1" applyAlignment="1">
      <alignment horizontal="center" vertical="center"/>
    </xf>
    <xf numFmtId="14" fontId="99" fillId="26" borderId="12" xfId="0" applyNumberFormat="1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0" fontId="100" fillId="18" borderId="20" xfId="0" applyFont="1" applyFill="1" applyBorder="1" applyAlignment="1">
      <alignment horizontal="center" vertical="center"/>
    </xf>
    <xf numFmtId="0" fontId="100" fillId="18" borderId="21" xfId="0" applyFont="1" applyFill="1" applyBorder="1" applyAlignment="1">
      <alignment horizontal="center" vertical="center"/>
    </xf>
    <xf numFmtId="0" fontId="100" fillId="18" borderId="28" xfId="0" applyFont="1" applyFill="1" applyBorder="1" applyAlignment="1">
      <alignment horizontal="center" vertical="center"/>
    </xf>
    <xf numFmtId="0" fontId="100" fillId="18" borderId="12" xfId="0" applyFont="1" applyFill="1" applyBorder="1" applyAlignment="1">
      <alignment horizontal="center" vertical="center"/>
    </xf>
    <xf numFmtId="0" fontId="122" fillId="22" borderId="5" xfId="0" applyFont="1" applyFill="1" applyBorder="1" applyAlignment="1">
      <alignment horizontal="center" vertical="center"/>
    </xf>
    <xf numFmtId="0" fontId="100" fillId="18" borderId="57" xfId="0" applyFont="1" applyFill="1" applyBorder="1" applyAlignment="1">
      <alignment horizontal="center"/>
    </xf>
    <xf numFmtId="0" fontId="100" fillId="18" borderId="10" xfId="0" applyFont="1" applyFill="1" applyBorder="1" applyAlignment="1">
      <alignment horizontal="center"/>
    </xf>
    <xf numFmtId="0" fontId="100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5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0" fillId="16" borderId="36" xfId="0" applyFont="1" applyFill="1" applyBorder="1" applyAlignment="1">
      <alignment horizontal="center"/>
    </xf>
    <xf numFmtId="0" fontId="110" fillId="16" borderId="55" xfId="0" applyFont="1" applyFill="1" applyBorder="1" applyAlignment="1">
      <alignment horizontal="center"/>
    </xf>
    <xf numFmtId="0" fontId="110" fillId="16" borderId="56" xfId="0" applyFont="1" applyFill="1" applyBorder="1" applyAlignment="1">
      <alignment horizontal="center"/>
    </xf>
    <xf numFmtId="0" fontId="100" fillId="4" borderId="18" xfId="0" applyFont="1" applyFill="1" applyBorder="1" applyAlignment="1">
      <alignment horizontal="center"/>
    </xf>
    <xf numFmtId="0" fontId="100" fillId="4" borderId="67" xfId="0" applyFont="1" applyFill="1" applyBorder="1" applyAlignment="1">
      <alignment horizontal="center"/>
    </xf>
    <xf numFmtId="0" fontId="115" fillId="4" borderId="0" xfId="0" applyFont="1" applyFill="1" applyAlignment="1">
      <alignment horizontal="center"/>
    </xf>
    <xf numFmtId="14" fontId="99" fillId="2" borderId="32" xfId="0" applyNumberFormat="1" applyFont="1" applyFill="1" applyBorder="1" applyAlignment="1">
      <alignment horizontal="center" vertical="center"/>
    </xf>
    <xf numFmtId="0" fontId="100" fillId="18" borderId="12" xfId="0" applyFont="1" applyFill="1" applyBorder="1" applyAlignment="1">
      <alignment horizontal="center"/>
    </xf>
    <xf numFmtId="178" fontId="100" fillId="18" borderId="7" xfId="0" applyNumberFormat="1" applyFont="1" applyFill="1" applyBorder="1" applyAlignment="1">
      <alignment horizontal="center"/>
    </xf>
    <xf numFmtId="178" fontId="100" fillId="18" borderId="29" xfId="0" applyNumberFormat="1" applyFont="1" applyFill="1" applyBorder="1" applyAlignment="1">
      <alignment horizontal="center"/>
    </xf>
    <xf numFmtId="178" fontId="100" fillId="18" borderId="8" xfId="0" applyNumberFormat="1" applyFont="1" applyFill="1" applyBorder="1" applyAlignment="1">
      <alignment horizontal="center"/>
    </xf>
    <xf numFmtId="0" fontId="100" fillId="19" borderId="7" xfId="0" applyFont="1" applyFill="1" applyBorder="1" applyAlignment="1">
      <alignment horizontal="center"/>
    </xf>
    <xf numFmtId="0" fontId="100" fillId="19" borderId="29" xfId="0" applyFont="1" applyFill="1" applyBorder="1" applyAlignment="1">
      <alignment horizontal="center"/>
    </xf>
    <xf numFmtId="0" fontId="100" fillId="19" borderId="8" xfId="0" applyFont="1" applyFill="1" applyBorder="1" applyAlignment="1">
      <alignment horizontal="center"/>
    </xf>
    <xf numFmtId="0" fontId="100" fillId="18" borderId="30" xfId="0" applyFont="1" applyFill="1" applyBorder="1" applyAlignment="1">
      <alignment horizontal="center" vertical="center"/>
    </xf>
    <xf numFmtId="0" fontId="100" fillId="18" borderId="34" xfId="0" applyFont="1" applyFill="1" applyBorder="1" applyAlignment="1">
      <alignment horizontal="center" vertical="center"/>
    </xf>
    <xf numFmtId="0" fontId="100" fillId="18" borderId="31" xfId="0" applyFont="1" applyFill="1" applyBorder="1" applyAlignment="1">
      <alignment horizontal="center" vertical="center"/>
    </xf>
    <xf numFmtId="0" fontId="100" fillId="18" borderId="32" xfId="0" applyFont="1" applyFill="1" applyBorder="1" applyAlignment="1">
      <alignment horizontal="center" vertical="center"/>
    </xf>
    <xf numFmtId="0" fontId="100" fillId="18" borderId="53" xfId="0" applyFont="1" applyFill="1" applyBorder="1" applyAlignment="1">
      <alignment horizontal="center" vertical="center"/>
    </xf>
    <xf numFmtId="0" fontId="100" fillId="18" borderId="33" xfId="0" applyFont="1" applyFill="1" applyBorder="1" applyAlignment="1">
      <alignment horizontal="center" vertical="center"/>
    </xf>
    <xf numFmtId="43" fontId="100" fillId="18" borderId="20" xfId="1" applyFont="1" applyFill="1" applyBorder="1" applyAlignment="1">
      <alignment horizontal="center" vertical="center"/>
    </xf>
    <xf numFmtId="43" fontId="100" fillId="18" borderId="21" xfId="1" applyFont="1" applyFill="1" applyBorder="1" applyAlignment="1">
      <alignment horizontal="center" vertical="center"/>
    </xf>
    <xf numFmtId="43" fontId="100" fillId="18" borderId="28" xfId="1" applyFont="1" applyFill="1" applyBorder="1" applyAlignment="1">
      <alignment horizontal="center" vertical="center"/>
    </xf>
    <xf numFmtId="0" fontId="119" fillId="4" borderId="36" xfId="0" applyFont="1" applyFill="1" applyBorder="1" applyAlignment="1">
      <alignment horizontal="center"/>
    </xf>
    <xf numFmtId="0" fontId="119" fillId="4" borderId="55" xfId="0" applyFont="1" applyFill="1" applyBorder="1" applyAlignment="1">
      <alignment horizontal="center"/>
    </xf>
    <xf numFmtId="0" fontId="119" fillId="4" borderId="56" xfId="0" applyFont="1" applyFill="1" applyBorder="1" applyAlignment="1">
      <alignment horizontal="center"/>
    </xf>
    <xf numFmtId="0" fontId="100" fillId="18" borderId="12" xfId="0" applyFont="1" applyFill="1" applyBorder="1" applyAlignment="1">
      <alignment horizontal="center" vertical="center" wrapText="1"/>
    </xf>
    <xf numFmtId="17" fontId="119" fillId="4" borderId="36" xfId="0" applyNumberFormat="1" applyFont="1" applyFill="1" applyBorder="1" applyAlignment="1">
      <alignment horizontal="center"/>
    </xf>
    <xf numFmtId="17" fontId="119" fillId="4" borderId="55" xfId="0" applyNumberFormat="1" applyFont="1" applyFill="1" applyBorder="1" applyAlignment="1">
      <alignment horizontal="center"/>
    </xf>
    <xf numFmtId="17" fontId="119" fillId="4" borderId="56" xfId="0" applyNumberFormat="1" applyFont="1" applyFill="1" applyBorder="1" applyAlignment="1">
      <alignment horizontal="center"/>
    </xf>
    <xf numFmtId="0" fontId="100" fillId="18" borderId="20" xfId="0" applyFont="1" applyFill="1" applyBorder="1" applyAlignment="1">
      <alignment horizontal="center" vertical="center" wrapText="1"/>
    </xf>
    <xf numFmtId="0" fontId="100" fillId="18" borderId="21" xfId="0" applyFont="1" applyFill="1" applyBorder="1" applyAlignment="1">
      <alignment horizontal="center" vertical="center" wrapText="1"/>
    </xf>
    <xf numFmtId="0" fontId="100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00" fillId="18" borderId="20" xfId="0" applyFont="1" applyFill="1" applyBorder="1" applyAlignment="1">
      <alignment horizontal="center" wrapText="1"/>
    </xf>
    <xf numFmtId="0" fontId="100" fillId="18" borderId="28" xfId="0" applyFont="1" applyFill="1" applyBorder="1" applyAlignment="1">
      <alignment horizontal="center" wrapText="1"/>
    </xf>
    <xf numFmtId="0" fontId="114" fillId="4" borderId="1" xfId="0" applyFont="1" applyFill="1" applyBorder="1" applyAlignment="1">
      <alignment horizontal="center" vertical="center"/>
    </xf>
    <xf numFmtId="0" fontId="114" fillId="4" borderId="2" xfId="0" applyFont="1" applyFill="1" applyBorder="1" applyAlignment="1">
      <alignment horizontal="center" vertical="center"/>
    </xf>
    <xf numFmtId="0" fontId="114" fillId="4" borderId="3" xfId="0" applyFont="1" applyFill="1" applyBorder="1" applyAlignment="1">
      <alignment horizontal="center" vertical="center"/>
    </xf>
    <xf numFmtId="0" fontId="114" fillId="4" borderId="13" xfId="0" applyFont="1" applyFill="1" applyBorder="1" applyAlignment="1">
      <alignment horizontal="center" vertical="center"/>
    </xf>
    <xf numFmtId="0" fontId="114" fillId="4" borderId="51" xfId="0" applyFont="1" applyFill="1" applyBorder="1" applyAlignment="1">
      <alignment horizontal="center" vertical="center"/>
    </xf>
    <xf numFmtId="0" fontId="114" fillId="4" borderId="26" xfId="0" applyFont="1" applyFill="1" applyBorder="1" applyAlignment="1">
      <alignment horizontal="center" vertical="center"/>
    </xf>
    <xf numFmtId="20" fontId="107" fillId="11" borderId="7" xfId="0" applyNumberFormat="1" applyFont="1" applyFill="1" applyBorder="1" applyAlignment="1">
      <alignment horizontal="center" vertical="center"/>
    </xf>
    <xf numFmtId="20" fontId="107" fillId="11" borderId="29" xfId="0" applyNumberFormat="1" applyFont="1" applyFill="1" applyBorder="1" applyAlignment="1">
      <alignment horizontal="center" vertical="center"/>
    </xf>
    <xf numFmtId="20" fontId="107" fillId="11" borderId="8" xfId="0" applyNumberFormat="1" applyFont="1" applyFill="1" applyBorder="1" applyAlignment="1">
      <alignment horizontal="center" vertical="center"/>
    </xf>
    <xf numFmtId="20" fontId="109" fillId="10" borderId="7" xfId="0" applyNumberFormat="1" applyFont="1" applyFill="1" applyBorder="1" applyAlignment="1">
      <alignment horizontal="center"/>
    </xf>
    <xf numFmtId="20" fontId="109" fillId="10" borderId="29" xfId="0" applyNumberFormat="1" applyFont="1" applyFill="1" applyBorder="1" applyAlignment="1">
      <alignment horizontal="center"/>
    </xf>
    <xf numFmtId="20" fontId="109" fillId="10" borderId="8" xfId="0" applyNumberFormat="1" applyFont="1" applyFill="1" applyBorder="1" applyAlignment="1">
      <alignment horizontal="center"/>
    </xf>
    <xf numFmtId="0" fontId="107" fillId="11" borderId="29" xfId="0" applyFont="1" applyFill="1" applyBorder="1" applyAlignment="1">
      <alignment horizontal="center" vertical="center"/>
    </xf>
    <xf numFmtId="0" fontId="107" fillId="11" borderId="8" xfId="0" applyFont="1" applyFill="1" applyBorder="1" applyAlignment="1">
      <alignment horizontal="center" vertical="center"/>
    </xf>
    <xf numFmtId="0" fontId="107" fillId="11" borderId="7" xfId="0" applyFont="1" applyFill="1" applyBorder="1" applyAlignment="1">
      <alignment horizontal="center" vertical="center"/>
    </xf>
    <xf numFmtId="14" fontId="105" fillId="7" borderId="5" xfId="0" applyNumberFormat="1" applyFont="1" applyFill="1" applyBorder="1" applyAlignment="1">
      <alignment horizontal="center" vertical="center"/>
    </xf>
    <xf numFmtId="14" fontId="105" fillId="7" borderId="21" xfId="0" applyNumberFormat="1" applyFont="1" applyFill="1" applyBorder="1" applyAlignment="1">
      <alignment horizontal="center" vertical="center"/>
    </xf>
    <xf numFmtId="0" fontId="106" fillId="2" borderId="20" xfId="0" applyFont="1" applyFill="1" applyBorder="1" applyAlignment="1">
      <alignment horizontal="center"/>
    </xf>
    <xf numFmtId="0" fontId="106" fillId="2" borderId="21" xfId="0" applyFont="1" applyFill="1" applyBorder="1" applyAlignment="1">
      <alignment horizontal="center"/>
    </xf>
    <xf numFmtId="0" fontId="106" fillId="2" borderId="28" xfId="0" applyFont="1" applyFill="1" applyBorder="1" applyAlignment="1">
      <alignment horizontal="center"/>
    </xf>
    <xf numFmtId="0" fontId="106" fillId="2" borderId="20" xfId="0" applyFont="1" applyFill="1" applyBorder="1" applyAlignment="1">
      <alignment horizontal="center" vertical="center"/>
    </xf>
    <xf numFmtId="0" fontId="106" fillId="2" borderId="21" xfId="0" applyFont="1" applyFill="1" applyBorder="1" applyAlignment="1">
      <alignment horizontal="center" vertical="center"/>
    </xf>
    <xf numFmtId="0" fontId="106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0" fillId="10" borderId="12" xfId="0" applyFont="1" applyFill="1" applyBorder="1" applyAlignment="1">
      <alignment horizontal="center" vertical="center"/>
    </xf>
    <xf numFmtId="14" fontId="105" fillId="7" borderId="20" xfId="0" applyNumberFormat="1" applyFont="1" applyFill="1" applyBorder="1" applyAlignment="1">
      <alignment horizontal="center" vertical="center"/>
    </xf>
    <xf numFmtId="0" fontId="100" fillId="10" borderId="12" xfId="0" applyFont="1" applyFill="1" applyBorder="1" applyAlignment="1">
      <alignment horizontal="center"/>
    </xf>
    <xf numFmtId="14" fontId="105" fillId="7" borderId="57" xfId="0" applyNumberFormat="1" applyFont="1" applyFill="1" applyBorder="1" applyAlignment="1">
      <alignment horizontal="center" vertical="center"/>
    </xf>
    <xf numFmtId="14" fontId="105" fillId="7" borderId="60" xfId="0" applyNumberFormat="1" applyFont="1" applyFill="1" applyBorder="1" applyAlignment="1">
      <alignment horizontal="center" vertical="center"/>
    </xf>
    <xf numFmtId="14" fontId="105" fillId="7" borderId="24" xfId="0" applyNumberFormat="1" applyFont="1" applyFill="1" applyBorder="1" applyAlignment="1">
      <alignment horizontal="center" vertical="center"/>
    </xf>
    <xf numFmtId="14" fontId="105" fillId="7" borderId="12" xfId="0" applyNumberFormat="1" applyFont="1" applyFill="1" applyBorder="1" applyAlignment="1">
      <alignment horizontal="center" vertical="center"/>
    </xf>
    <xf numFmtId="14" fontId="10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6" fillId="2" borderId="12" xfId="0" applyFont="1" applyFill="1" applyBorder="1"/>
    <xf numFmtId="14" fontId="105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5" fillId="2" borderId="12" xfId="0" applyFont="1" applyFill="1" applyBorder="1" applyAlignment="1">
      <alignment horizontal="left" vertical="top" wrapText="1"/>
    </xf>
    <xf numFmtId="0" fontId="105" fillId="8" borderId="12" xfId="0" applyFont="1" applyFill="1" applyBorder="1" applyAlignment="1">
      <alignment horizontal="center" vertical="center"/>
    </xf>
    <xf numFmtId="0" fontId="105" fillId="8" borderId="20" xfId="0" applyFont="1" applyFill="1" applyBorder="1" applyAlignment="1">
      <alignment horizontal="center" vertical="center"/>
    </xf>
    <xf numFmtId="0" fontId="105" fillId="8" borderId="21" xfId="0" applyFont="1" applyFill="1" applyBorder="1" applyAlignment="1">
      <alignment horizontal="center" vertical="center"/>
    </xf>
    <xf numFmtId="0" fontId="105" fillId="8" borderId="28" xfId="0" applyFont="1" applyFill="1" applyBorder="1" applyAlignment="1">
      <alignment horizontal="center" vertical="center"/>
    </xf>
    <xf numFmtId="0" fontId="105" fillId="2" borderId="59" xfId="0" applyFont="1" applyFill="1" applyBorder="1" applyAlignment="1">
      <alignment horizontal="center" vertical="top" wrapText="1"/>
    </xf>
    <xf numFmtId="0" fontId="105" fillId="2" borderId="61" xfId="0" applyFont="1" applyFill="1" applyBorder="1" applyAlignment="1">
      <alignment horizontal="center" vertical="top" wrapText="1"/>
    </xf>
    <xf numFmtId="0" fontId="105" fillId="2" borderId="62" xfId="0" applyFont="1" applyFill="1" applyBorder="1" applyAlignment="1">
      <alignment horizontal="center" vertical="top" wrapText="1"/>
    </xf>
    <xf numFmtId="0" fontId="105" fillId="2" borderId="63" xfId="0" applyFont="1" applyFill="1" applyBorder="1" applyAlignment="1">
      <alignment horizontal="center" vertical="top" wrapText="1"/>
    </xf>
    <xf numFmtId="0" fontId="105" fillId="2" borderId="64" xfId="0" applyFont="1" applyFill="1" applyBorder="1" applyAlignment="1">
      <alignment horizontal="center" vertical="top" wrapText="1"/>
    </xf>
    <xf numFmtId="0" fontId="10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99" fillId="23" borderId="18" xfId="0" applyNumberFormat="1" applyFont="1" applyFill="1" applyBorder="1" applyAlignment="1">
      <alignment horizontal="center" vertical="center"/>
    </xf>
    <xf numFmtId="14" fontId="99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99" fillId="23" borderId="36" xfId="0" applyNumberFormat="1" applyFont="1" applyFill="1" applyBorder="1" applyAlignment="1">
      <alignment horizontal="center" vertical="center"/>
    </xf>
    <xf numFmtId="14" fontId="99" fillId="23" borderId="37" xfId="0" applyNumberFormat="1" applyFont="1" applyFill="1" applyBorder="1" applyAlignment="1">
      <alignment horizontal="center" vertical="center"/>
    </xf>
    <xf numFmtId="14" fontId="99" fillId="0" borderId="30" xfId="0" applyNumberFormat="1" applyFont="1" applyBorder="1" applyAlignment="1">
      <alignment horizontal="center" vertical="center"/>
    </xf>
    <xf numFmtId="14" fontId="99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8" fillId="23" borderId="5" xfId="0" applyNumberFormat="1" applyFont="1" applyFill="1" applyBorder="1" applyAlignment="1">
      <alignment horizontal="center" vertical="center" wrapText="1"/>
    </xf>
    <xf numFmtId="14" fontId="9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00" fillId="22" borderId="67" xfId="0" applyFont="1" applyFill="1" applyBorder="1" applyAlignment="1">
      <alignment horizontal="center" vertical="center"/>
    </xf>
    <xf numFmtId="0" fontId="100" fillId="23" borderId="67" xfId="0" applyFont="1" applyFill="1" applyBorder="1" applyAlignment="1">
      <alignment horizontal="center" vertical="center"/>
    </xf>
    <xf numFmtId="0" fontId="100" fillId="22" borderId="0" xfId="0" applyFont="1" applyFill="1" applyAlignment="1">
      <alignment horizontal="center" vertical="center"/>
    </xf>
    <xf numFmtId="10" fontId="0" fillId="2" borderId="12" xfId="2" applyNumberFormat="1" applyFont="1" applyFill="1" applyBorder="1" applyAlignment="1">
      <alignment horizontal="center"/>
    </xf>
    <xf numFmtId="0" fontId="1" fillId="26" borderId="12" xfId="0" applyFont="1" applyFill="1" applyBorder="1" applyAlignment="1">
      <alignment horizontal="left" vertical="center"/>
    </xf>
    <xf numFmtId="0" fontId="133" fillId="26" borderId="20" xfId="0" applyFont="1" applyFill="1" applyBorder="1" applyAlignment="1">
      <alignment horizontal="center" vertical="center"/>
    </xf>
    <xf numFmtId="0" fontId="133" fillId="26" borderId="21" xfId="0" applyFont="1" applyFill="1" applyBorder="1" applyAlignment="1">
      <alignment horizontal="center" vertical="center"/>
    </xf>
    <xf numFmtId="0" fontId="133" fillId="26" borderId="28" xfId="0" applyFont="1" applyFill="1" applyBorder="1" applyAlignment="1">
      <alignment horizontal="center" vertical="center"/>
    </xf>
    <xf numFmtId="14" fontId="82" fillId="17" borderId="7" xfId="0" applyNumberFormat="1" applyFont="1" applyFill="1" applyBorder="1" applyAlignment="1">
      <alignment horizontal="center" vertical="center"/>
    </xf>
    <xf numFmtId="14" fontId="82" fillId="17" borderId="8" xfId="0" applyNumberFormat="1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0" fontId="133" fillId="17" borderId="28" xfId="0" applyFont="1" applyFill="1" applyBorder="1" applyAlignment="1">
      <alignment horizontal="center" vertical="center"/>
    </xf>
    <xf numFmtId="183" fontId="0" fillId="17" borderId="0" xfId="0" applyNumberFormat="1" applyFill="1"/>
    <xf numFmtId="178" fontId="0" fillId="17" borderId="0" xfId="0" applyNumberFormat="1" applyFill="1" applyAlignment="1">
      <alignment horizontal="right" vertical="center"/>
    </xf>
    <xf numFmtId="14" fontId="99" fillId="17" borderId="36" xfId="0" applyNumberFormat="1" applyFont="1" applyFill="1" applyBorder="1" applyAlignment="1">
      <alignment horizontal="center" vertical="center"/>
    </xf>
    <xf numFmtId="14" fontId="99" fillId="17" borderId="37" xfId="0" applyNumberFormat="1" applyFont="1" applyFill="1" applyBorder="1" applyAlignment="1">
      <alignment horizontal="center" vertical="center"/>
    </xf>
    <xf numFmtId="0" fontId="134" fillId="17" borderId="0" xfId="0" applyFont="1" applyFill="1" applyBorder="1" applyAlignment="1">
      <alignment horizontal="center" vertical="center"/>
    </xf>
    <xf numFmtId="0" fontId="100" fillId="4" borderId="21" xfId="0" applyFont="1" applyFill="1" applyBorder="1" applyAlignment="1">
      <alignment horizontal="center" vertical="center"/>
    </xf>
    <xf numFmtId="0" fontId="100" fillId="4" borderId="20" xfId="0" applyFont="1" applyFill="1" applyBorder="1"/>
    <xf numFmtId="0" fontId="100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1" fontId="130" fillId="4" borderId="88" xfId="0" applyNumberFormat="1" applyFont="1" applyFill="1" applyBorder="1" applyAlignment="1">
      <alignment horizontal="center"/>
    </xf>
    <xf numFmtId="0" fontId="100" fillId="4" borderId="5" xfId="0" applyFont="1" applyFill="1" applyBorder="1" applyAlignment="1">
      <alignment horizontal="center" vertical="center"/>
    </xf>
    <xf numFmtId="0" fontId="100" fillId="4" borderId="10" xfId="0" applyFont="1" applyFill="1" applyBorder="1" applyAlignment="1">
      <alignment horizontal="center"/>
    </xf>
    <xf numFmtId="0" fontId="100" fillId="4" borderId="23" xfId="0" applyFont="1" applyFill="1" applyBorder="1" applyAlignment="1">
      <alignment horizontal="center"/>
    </xf>
    <xf numFmtId="1" fontId="130" fillId="4" borderId="64" xfId="0" applyNumberFormat="1" applyFont="1" applyFill="1" applyBorder="1" applyAlignment="1">
      <alignment horizontal="center"/>
    </xf>
    <xf numFmtId="0" fontId="100" fillId="4" borderId="52" xfId="0" applyFont="1" applyFill="1" applyBorder="1" applyAlignment="1">
      <alignment horizontal="center"/>
    </xf>
    <xf numFmtId="0" fontId="0" fillId="2" borderId="86" xfId="0" applyFill="1" applyBorder="1"/>
    <xf numFmtId="0" fontId="100" fillId="18" borderId="15" xfId="0" applyFont="1" applyFill="1" applyBorder="1" applyAlignment="1">
      <alignment horizontal="center"/>
    </xf>
    <xf numFmtId="176" fontId="100" fillId="18" borderId="15" xfId="0" applyNumberFormat="1" applyFont="1" applyFill="1" applyBorder="1" applyAlignment="1">
      <alignment horizontal="center"/>
    </xf>
    <xf numFmtId="176" fontId="100" fillId="18" borderId="62" xfId="0" applyNumberFormat="1" applyFont="1" applyFill="1" applyBorder="1" applyAlignment="1">
      <alignment horizontal="center"/>
    </xf>
    <xf numFmtId="17" fontId="130" fillId="2" borderId="88" xfId="0" applyNumberFormat="1" applyFont="1" applyFill="1" applyBorder="1" applyAlignment="1">
      <alignment horizontal="center" vertical="center" textRotation="135"/>
    </xf>
    <xf numFmtId="17" fontId="130" fillId="2" borderId="64" xfId="0" applyNumberFormat="1" applyFont="1" applyFill="1" applyBorder="1" applyAlignment="1">
      <alignment horizontal="center" vertical="center" textRotation="135"/>
    </xf>
    <xf numFmtId="0" fontId="130" fillId="2" borderId="57" xfId="0" applyFont="1" applyFill="1" applyBorder="1" applyAlignment="1">
      <alignment horizontal="center" vertical="center" textRotation="135"/>
    </xf>
    <xf numFmtId="0" fontId="130" fillId="2" borderId="60" xfId="0" applyFont="1" applyFill="1" applyBorder="1" applyAlignment="1">
      <alignment horizontal="center" vertical="center" textRotation="135"/>
    </xf>
    <xf numFmtId="0" fontId="130" fillId="2" borderId="24" xfId="0" applyFont="1" applyFill="1" applyBorder="1" applyAlignment="1">
      <alignment horizontal="center" vertical="center" textRotation="135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9812.5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1.3980579962937052</c:v>
                </c:pt>
                <c:pt idx="1">
                  <c:v>0.59128057932421674</c:v>
                </c:pt>
                <c:pt idx="2">
                  <c:v>0.71238624014965879</c:v>
                </c:pt>
                <c:pt idx="3">
                  <c:v>7.4088168975564514E-2</c:v>
                </c:pt>
                <c:pt idx="4">
                  <c:v>3.2057380806734641E-2</c:v>
                </c:pt>
                <c:pt idx="5">
                  <c:v>2.9920222086285666E-2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614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73" t="s">
        <v>335</v>
      </c>
      <c r="D3" s="1473"/>
      <c r="E3" s="1473"/>
      <c r="F3" s="1473"/>
      <c r="G3" s="1473"/>
      <c r="H3" s="1473"/>
      <c r="L3" s="1473" t="s">
        <v>335</v>
      </c>
      <c r="M3" s="1473"/>
      <c r="N3" s="1473"/>
      <c r="O3" s="1473"/>
      <c r="P3" s="1473"/>
      <c r="Q3" s="1473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84" t="s">
        <v>124</v>
      </c>
      <c r="I1" s="1484"/>
      <c r="J1" s="1484"/>
      <c r="K1" s="1484"/>
      <c r="L1" s="1484"/>
      <c r="M1" s="1484"/>
      <c r="N1" s="1484"/>
      <c r="O1" s="1484"/>
      <c r="P1" s="1484"/>
      <c r="Q1" s="1484"/>
      <c r="R1" s="1484"/>
      <c r="S1" s="1484"/>
      <c r="T1" s="1484"/>
      <c r="U1" s="1484"/>
      <c r="V1" s="1484"/>
      <c r="W1" s="1484"/>
      <c r="X1" s="1484"/>
      <c r="Y1" s="1484"/>
      <c r="Z1" s="1484"/>
      <c r="AA1" s="1484"/>
      <c r="AB1" s="1484"/>
      <c r="AC1" s="1484"/>
      <c r="AD1" s="1484"/>
      <c r="AE1" s="1484"/>
      <c r="AF1" s="1484"/>
      <c r="AG1" s="1484"/>
      <c r="AH1" s="1484"/>
      <c r="AI1" s="1484"/>
      <c r="AJ1" s="1484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85" t="s">
        <v>125</v>
      </c>
      <c r="I2" s="1485"/>
      <c r="J2" s="1485"/>
      <c r="K2" s="1485"/>
      <c r="L2" s="1485"/>
      <c r="M2" s="1485"/>
      <c r="N2" s="1485"/>
      <c r="O2" s="1485"/>
      <c r="P2" s="1485"/>
      <c r="Q2" s="1485"/>
      <c r="R2" s="1485"/>
      <c r="S2" s="1485"/>
      <c r="T2" s="1485"/>
      <c r="U2" s="1485"/>
      <c r="V2" s="1485"/>
      <c r="W2" s="1485"/>
      <c r="X2" s="1485"/>
      <c r="Y2" s="1485"/>
      <c r="Z2" s="1485"/>
      <c r="AA2" s="1485"/>
      <c r="AB2" s="1485"/>
      <c r="AC2" s="1485"/>
      <c r="AD2" s="1485"/>
      <c r="AE2" s="1485"/>
      <c r="AF2" s="1485"/>
      <c r="AG2" s="1485"/>
      <c r="AH2" s="1485"/>
      <c r="AI2" s="1485"/>
      <c r="AJ2" s="1485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74" t="s">
        <v>72</v>
      </c>
      <c r="C5" s="1476" t="s">
        <v>73</v>
      </c>
      <c r="D5" s="1477"/>
      <c r="E5" s="1477"/>
      <c r="F5" s="1477"/>
      <c r="G5" s="1477"/>
      <c r="H5" s="1478"/>
      <c r="I5" s="1479" t="s">
        <v>429</v>
      </c>
      <c r="J5" s="1479" t="s">
        <v>319</v>
      </c>
      <c r="K5" s="1480" t="s">
        <v>74</v>
      </c>
      <c r="L5" s="1477"/>
      <c r="M5" s="1477"/>
      <c r="N5" s="1474" t="s">
        <v>75</v>
      </c>
      <c r="O5" s="1486" t="s">
        <v>177</v>
      </c>
      <c r="P5" s="1486"/>
      <c r="Q5" s="1486"/>
      <c r="R5" s="1486"/>
      <c r="S5" s="1486"/>
      <c r="T5" s="1486"/>
      <c r="U5" s="1486"/>
      <c r="V5" s="1486"/>
      <c r="W5" s="1486"/>
      <c r="X5" s="1486"/>
      <c r="Y5" s="1487"/>
      <c r="Z5" s="1480" t="s">
        <v>76</v>
      </c>
      <c r="AA5" s="1488"/>
      <c r="AB5" s="1488"/>
      <c r="AC5" s="1488"/>
      <c r="AD5" s="1488"/>
      <c r="AE5" s="1488"/>
      <c r="AF5" s="1488"/>
      <c r="AG5" s="1489"/>
      <c r="AH5" s="1480" t="s">
        <v>77</v>
      </c>
      <c r="AI5" s="1478"/>
      <c r="AJ5" s="1480" t="s">
        <v>78</v>
      </c>
      <c r="AK5" s="1477"/>
      <c r="AL5" s="1477"/>
      <c r="AM5" s="1477"/>
      <c r="AN5" s="1477"/>
      <c r="AO5" s="1478"/>
      <c r="AP5" s="1480" t="s">
        <v>79</v>
      </c>
      <c r="AQ5" s="1478"/>
      <c r="AR5" s="74"/>
      <c r="AS5" s="84" t="s">
        <v>80</v>
      </c>
    </row>
    <row r="6" spans="1:45" ht="29.4" thickBot="1" x14ac:dyDescent="0.35">
      <c r="A6" s="83"/>
      <c r="B6" s="1475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75"/>
      <c r="J6" s="1482"/>
      <c r="K6" s="85" t="s">
        <v>86</v>
      </c>
      <c r="L6" s="85" t="s">
        <v>87</v>
      </c>
      <c r="M6" s="85" t="s">
        <v>126</v>
      </c>
      <c r="N6" s="1481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6437.5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83" t="s">
        <v>203</v>
      </c>
      <c r="X80" s="1483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83" t="s">
        <v>205</v>
      </c>
      <c r="X86" s="1483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C66" activePane="bottomRight" state="frozen"/>
      <selection pane="topRight" activeCell="B1" sqref="B1"/>
      <selection pane="bottomLeft" activeCell="A2" sqref="A2"/>
      <selection pane="bottomRight" activeCell="D77" sqref="D77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95" t="s">
        <v>278</v>
      </c>
      <c r="C1" s="1495"/>
      <c r="D1" s="1495"/>
      <c r="E1" s="1495"/>
      <c r="F1" s="1495"/>
      <c r="G1" s="1495"/>
      <c r="H1" s="1495"/>
      <c r="I1" s="1495"/>
      <c r="J1" s="1495"/>
      <c r="K1" s="1495"/>
      <c r="L1" s="1495"/>
      <c r="M1" s="1495"/>
      <c r="N1" s="1495"/>
      <c r="O1" s="1495"/>
      <c r="P1" s="1495"/>
      <c r="Q1" s="1495"/>
      <c r="R1" s="1495"/>
      <c r="S1" s="1495"/>
    </row>
    <row r="2" spans="1:42" ht="18" x14ac:dyDescent="0.35">
      <c r="B2" s="1495" t="s">
        <v>279</v>
      </c>
      <c r="C2" s="1495"/>
      <c r="D2" s="1495"/>
      <c r="E2" s="1495"/>
      <c r="F2" s="1495"/>
      <c r="G2" s="1495"/>
      <c r="H2" s="1495"/>
      <c r="I2" s="1495"/>
      <c r="J2" s="1495"/>
      <c r="K2" s="1495"/>
      <c r="L2" s="1495"/>
      <c r="M2" s="1495"/>
      <c r="N2" s="1495"/>
      <c r="O2" s="1495"/>
      <c r="P2" s="1495"/>
      <c r="Q2" s="1495"/>
      <c r="R2" s="1495"/>
      <c r="S2" s="1495"/>
    </row>
    <row r="3" spans="1:42" ht="18" x14ac:dyDescent="0.35">
      <c r="B3" s="1495" t="s">
        <v>280</v>
      </c>
      <c r="C3" s="1495"/>
      <c r="D3" s="1495"/>
      <c r="E3" s="1495"/>
      <c r="F3" s="1495"/>
      <c r="G3" s="1495"/>
      <c r="H3" s="1495"/>
      <c r="I3" s="1495"/>
      <c r="J3" s="1495"/>
      <c r="K3" s="1495"/>
      <c r="L3" s="1495"/>
      <c r="M3" s="1495"/>
      <c r="N3" s="1495"/>
      <c r="O3" s="1495"/>
      <c r="P3" s="1495"/>
      <c r="Q3" s="1495"/>
      <c r="R3" s="1495"/>
      <c r="S3" s="1495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96"/>
      <c r="C5" s="1497"/>
      <c r="D5" s="1496" t="s">
        <v>24</v>
      </c>
      <c r="E5" s="1498"/>
      <c r="F5" s="1497"/>
      <c r="G5" s="1496" t="s">
        <v>25</v>
      </c>
      <c r="H5" s="1498"/>
      <c r="I5" s="1497"/>
      <c r="J5" s="1496" t="s">
        <v>318</v>
      </c>
      <c r="K5" s="1497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99" t="s">
        <v>162</v>
      </c>
      <c r="Y6" s="1499"/>
      <c r="Z6" s="1499"/>
      <c r="AA6" s="1499"/>
      <c r="AB6" s="1499"/>
      <c r="AC6" s="1499"/>
      <c r="AD6" s="1500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9812.5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501" t="s">
        <v>331</v>
      </c>
      <c r="Y10" s="1502"/>
      <c r="Z10" s="1502"/>
      <c r="AA10" s="1502"/>
      <c r="AB10" s="1502"/>
      <c r="AC10" s="1502"/>
      <c r="AD10" s="1503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1.3980579962937052</v>
      </c>
      <c r="Y11" s="123">
        <f>Y8/'Au Cal Leaching Tank'!$N$61</f>
        <v>0.59128057932421674</v>
      </c>
      <c r="Z11" s="123">
        <f>Z8/'Au Cal Leaching Tank'!$N$61</f>
        <v>0.71238624014965879</v>
      </c>
      <c r="AA11" s="123">
        <f>AA8/'Au Cal Leaching Tank'!$N$61</f>
        <v>7.4088168975564514E-2</v>
      </c>
      <c r="AB11" s="123">
        <f>AB8/'Au Cal Leaching Tank'!$N$61</f>
        <v>3.2057380806734641E-2</v>
      </c>
      <c r="AC11" s="123">
        <f>(AC8*30)/'Au Cal Leaching Tank'!$N$61</f>
        <v>2.9920222086285666E-2</v>
      </c>
      <c r="AD11" s="1192">
        <f>AD8/'Au Cal Leaching Tank'!$N$61</f>
        <v>9.2610211219455642E-3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73" t="s">
        <v>576</v>
      </c>
      <c r="Y20" s="1473"/>
      <c r="Z20" s="1473"/>
      <c r="AA20" s="1473"/>
      <c r="AB20" s="1473"/>
      <c r="AC20" s="147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90" t="s">
        <v>575</v>
      </c>
      <c r="Y24" s="1490"/>
      <c r="Z24" s="1490"/>
      <c r="AA24" s="1490"/>
      <c r="AB24" s="1490"/>
      <c r="AC24" s="1490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667250000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91" t="s">
        <v>575</v>
      </c>
      <c r="Y27" s="1492"/>
      <c r="Z27" s="1493">
        <f>SUM(X26:AC26)</f>
        <v>921845000</v>
      </c>
      <c r="AA27" s="1492"/>
      <c r="AB27" s="1492"/>
      <c r="AC27" s="1494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0.72382016499519986</v>
      </c>
      <c r="Y28" s="684">
        <f t="shared" ref="Y28:AC28" si="10">Y26/$Z$27</f>
        <v>1.0354235256469363E-2</v>
      </c>
      <c r="Z28" s="684">
        <f t="shared" si="10"/>
        <v>0.23865183409358406</v>
      </c>
      <c r="AA28" s="684">
        <f t="shared" si="10"/>
        <v>1.6922584599363234E-2</v>
      </c>
      <c r="AB28" s="684">
        <f t="shared" si="10"/>
        <v>6.8341207035889978E-3</v>
      </c>
      <c r="AC28" s="685">
        <f t="shared" si="10"/>
        <v>3.4170603517944989E-3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9812.5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16" t="s">
        <v>663</v>
      </c>
      <c r="C4" s="1517"/>
      <c r="D4" s="1517"/>
      <c r="E4" s="1517"/>
      <c r="F4" s="1517"/>
      <c r="G4" s="1517"/>
      <c r="H4" s="1517"/>
      <c r="I4" s="1517"/>
      <c r="J4" s="1517"/>
      <c r="K4" s="1517"/>
      <c r="L4" s="1517"/>
      <c r="M4" s="1517"/>
      <c r="N4" s="1517"/>
      <c r="O4" s="1518"/>
    </row>
    <row r="5" spans="2:27" ht="75.599999999999994" customHeight="1" thickBot="1" x14ac:dyDescent="0.35">
      <c r="B5" s="1530" t="s">
        <v>0</v>
      </c>
      <c r="C5" s="1531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96" t="s">
        <v>11</v>
      </c>
      <c r="T5" s="1497"/>
      <c r="W5" s="1473" t="s">
        <v>18</v>
      </c>
      <c r="X5" s="1473"/>
      <c r="Y5" s="1473"/>
      <c r="Z5" s="1473"/>
      <c r="AA5" s="1473"/>
    </row>
    <row r="6" spans="2:27" ht="13.95" customHeight="1" thickBot="1" x14ac:dyDescent="0.4">
      <c r="B6" s="1508">
        <v>46174</v>
      </c>
      <c r="C6" s="1509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32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10"/>
      <c r="C7" s="1511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33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22">
        <v>46175</v>
      </c>
      <c r="C8" s="1523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26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24"/>
      <c r="C9" s="1525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27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08">
        <v>46176</v>
      </c>
      <c r="C10" s="1509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19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10"/>
      <c r="C11" s="1511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2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22">
        <v>46177</v>
      </c>
      <c r="C12" s="1523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26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24"/>
      <c r="C13" s="1525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27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08">
        <v>46252</v>
      </c>
      <c r="C14" s="1509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19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10"/>
      <c r="C15" s="1511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20"/>
      <c r="O15" s="284"/>
    </row>
    <row r="16" spans="2:27" ht="18.600000000000001" thickBot="1" x14ac:dyDescent="0.4">
      <c r="B16" s="1522">
        <v>46253</v>
      </c>
      <c r="C16" s="1523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26">
        <f>SUM(L16:L17)</f>
        <v>339.80495999999999</v>
      </c>
      <c r="O16" s="346" t="s">
        <v>405</v>
      </c>
    </row>
    <row r="17" spans="2:23" ht="18.600000000000001" thickBot="1" x14ac:dyDescent="0.4">
      <c r="B17" s="1524"/>
      <c r="C17" s="1525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27"/>
      <c r="O17" s="346" t="s">
        <v>384</v>
      </c>
    </row>
    <row r="18" spans="2:23" ht="18.600000000000001" thickBot="1" x14ac:dyDescent="0.4">
      <c r="B18" s="1508">
        <v>46254</v>
      </c>
      <c r="C18" s="1509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19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10"/>
      <c r="C19" s="1511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21"/>
      <c r="O19" s="284" t="s">
        <v>406</v>
      </c>
      <c r="T19" s="109"/>
    </row>
    <row r="20" spans="2:23" ht="18.600000000000001" thickBot="1" x14ac:dyDescent="0.4">
      <c r="B20" s="1508">
        <v>46255</v>
      </c>
      <c r="C20" s="1509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19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10"/>
      <c r="C21" s="1511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21"/>
      <c r="O21" s="284"/>
      <c r="S21" s="2"/>
      <c r="T21" s="110"/>
    </row>
    <row r="22" spans="2:23" ht="18.600000000000001" thickBot="1" x14ac:dyDescent="0.4">
      <c r="B22" s="1508">
        <v>46256</v>
      </c>
      <c r="C22" s="1509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19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10"/>
      <c r="C23" s="1511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20"/>
      <c r="O23" s="284"/>
      <c r="P23" s="8"/>
      <c r="T23" s="109"/>
    </row>
    <row r="24" spans="2:23" ht="18.600000000000001" thickBot="1" x14ac:dyDescent="0.4">
      <c r="B24" s="1508">
        <v>46257</v>
      </c>
      <c r="C24" s="1509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19">
        <f>SUM(L24:L25)</f>
        <v>0</v>
      </c>
      <c r="O24" s="284"/>
    </row>
    <row r="25" spans="2:23" ht="18.600000000000001" thickBot="1" x14ac:dyDescent="0.4">
      <c r="B25" s="1510"/>
      <c r="C25" s="1511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20"/>
      <c r="O25" s="284"/>
      <c r="T25" s="3"/>
    </row>
    <row r="26" spans="2:23" ht="18.600000000000001" thickBot="1" x14ac:dyDescent="0.4">
      <c r="B26" s="1508">
        <v>46258</v>
      </c>
      <c r="C26" s="1509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19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10"/>
      <c r="C27" s="1511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20"/>
      <c r="O27" s="284"/>
    </row>
    <row r="28" spans="2:23" ht="18.600000000000001" thickBot="1" x14ac:dyDescent="0.4">
      <c r="B28" s="1508">
        <v>46259</v>
      </c>
      <c r="C28" s="1509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19">
        <f>SUM(L28:L29)</f>
        <v>0</v>
      </c>
      <c r="O28" s="284"/>
    </row>
    <row r="29" spans="2:23" ht="18.600000000000001" thickBot="1" x14ac:dyDescent="0.4">
      <c r="B29" s="1510"/>
      <c r="C29" s="1511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20"/>
      <c r="O29" s="284"/>
      <c r="P29" s="8"/>
    </row>
    <row r="30" spans="2:23" ht="18.600000000000001" thickBot="1" x14ac:dyDescent="0.4">
      <c r="B30" s="1508">
        <v>46260</v>
      </c>
      <c r="C30" s="1509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19">
        <f t="shared" ref="N30" si="13">SUM(L30:L31)</f>
        <v>0</v>
      </c>
      <c r="O30" s="284"/>
    </row>
    <row r="31" spans="2:23" ht="18.600000000000001" thickBot="1" x14ac:dyDescent="0.4">
      <c r="B31" s="1510"/>
      <c r="C31" s="1511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20"/>
      <c r="O31" s="284"/>
    </row>
    <row r="32" spans="2:23" ht="54.6" thickBot="1" x14ac:dyDescent="0.4">
      <c r="B32" s="1508">
        <v>46261</v>
      </c>
      <c r="C32" s="1509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32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10"/>
      <c r="C33" s="1511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33"/>
      <c r="O33" s="284"/>
    </row>
    <row r="34" spans="2:24" ht="18.600000000000001" thickBot="1" x14ac:dyDescent="0.4">
      <c r="B34" s="1508">
        <v>46262</v>
      </c>
      <c r="C34" s="1509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32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10"/>
      <c r="C35" s="1511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33"/>
      <c r="O35" s="284"/>
    </row>
    <row r="36" spans="2:24" ht="18.600000000000001" thickBot="1" x14ac:dyDescent="0.35">
      <c r="B36" s="1508">
        <v>46263</v>
      </c>
      <c r="C36" s="1509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32">
        <f>SUM(L36:L37)</f>
        <v>288.52199999999999</v>
      </c>
      <c r="O36" s="1534" t="str">
        <f>'Crushing Down Time Hours'!G17</f>
        <v>istirahat jam 12-13, 14:00-15:00 ada loading material dari mining</v>
      </c>
    </row>
    <row r="37" spans="2:24" ht="18.600000000000001" thickBot="1" x14ac:dyDescent="0.35">
      <c r="B37" s="1510"/>
      <c r="C37" s="1511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33"/>
      <c r="O37" s="1535"/>
    </row>
    <row r="38" spans="2:24" ht="18.600000000000001" thickBot="1" x14ac:dyDescent="0.4">
      <c r="B38" s="1508">
        <v>46264</v>
      </c>
      <c r="C38" s="1509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32">
        <f t="shared" ref="N38" si="15">SUM(L38:L39)</f>
        <v>64.583999999999989</v>
      </c>
      <c r="O38" s="284"/>
      <c r="Q38" s="4"/>
    </row>
    <row r="39" spans="2:24" ht="18.600000000000001" thickBot="1" x14ac:dyDescent="0.4">
      <c r="B39" s="1510"/>
      <c r="C39" s="1511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33"/>
      <c r="O39" s="284"/>
    </row>
    <row r="40" spans="2:24" ht="18.600000000000001" hidden="1" thickBot="1" x14ac:dyDescent="0.4">
      <c r="B40" s="1508">
        <v>46265</v>
      </c>
      <c r="C40" s="1509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19">
        <f>SUM(L40:L41)</f>
        <v>0</v>
      </c>
      <c r="O40" s="284"/>
    </row>
    <row r="41" spans="2:24" ht="18.600000000000001" hidden="1" thickBot="1" x14ac:dyDescent="0.4">
      <c r="B41" s="1510"/>
      <c r="C41" s="1511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20"/>
      <c r="O41" s="284"/>
    </row>
    <row r="42" spans="2:24" ht="18.600000000000001" hidden="1" thickBot="1" x14ac:dyDescent="0.4">
      <c r="B42" s="1508">
        <v>46266</v>
      </c>
      <c r="C42" s="1509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19">
        <f t="shared" ref="N42" si="16">SUM(L42:L43)</f>
        <v>0</v>
      </c>
      <c r="O42" s="284"/>
    </row>
    <row r="43" spans="2:24" ht="18.600000000000001" hidden="1" thickBot="1" x14ac:dyDescent="0.4">
      <c r="B43" s="1510"/>
      <c r="C43" s="1511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20"/>
      <c r="O43" s="284"/>
    </row>
    <row r="44" spans="2:24" ht="18.600000000000001" hidden="1" thickBot="1" x14ac:dyDescent="0.4">
      <c r="B44" s="1508">
        <v>46267</v>
      </c>
      <c r="C44" s="1509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19">
        <f t="shared" ref="N44" si="17">SUM(L44:L45)</f>
        <v>0</v>
      </c>
      <c r="O44" s="284"/>
    </row>
    <row r="45" spans="2:24" ht="18.600000000000001" hidden="1" thickBot="1" x14ac:dyDescent="0.4">
      <c r="B45" s="1510"/>
      <c r="C45" s="1511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20"/>
      <c r="O45" s="284"/>
    </row>
    <row r="46" spans="2:24" ht="18.600000000000001" hidden="1" thickBot="1" x14ac:dyDescent="0.4">
      <c r="B46" s="1508">
        <v>46268</v>
      </c>
      <c r="C46" s="1509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19">
        <f t="shared" ref="N46:N58" si="18">SUM(L46:L47)</f>
        <v>0</v>
      </c>
      <c r="O46" s="284"/>
    </row>
    <row r="47" spans="2:24" ht="18.600000000000001" hidden="1" thickBot="1" x14ac:dyDescent="0.4">
      <c r="B47" s="1510"/>
      <c r="C47" s="1511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20"/>
      <c r="O47" s="284"/>
    </row>
    <row r="48" spans="2:24" ht="18.600000000000001" hidden="1" thickBot="1" x14ac:dyDescent="0.4">
      <c r="B48" s="1508">
        <v>46269</v>
      </c>
      <c r="C48" s="1509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19">
        <f t="shared" si="18"/>
        <v>0</v>
      </c>
      <c r="O48" s="284"/>
    </row>
    <row r="49" spans="2:22" ht="18.600000000000001" hidden="1" thickBot="1" x14ac:dyDescent="0.4">
      <c r="B49" s="1510"/>
      <c r="C49" s="1511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20"/>
      <c r="O49" s="284"/>
    </row>
    <row r="50" spans="2:22" ht="18.600000000000001" hidden="1" thickBot="1" x14ac:dyDescent="0.4">
      <c r="B50" s="1508">
        <v>46270</v>
      </c>
      <c r="C50" s="1509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19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10"/>
      <c r="C51" s="1511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20"/>
      <c r="O51" s="284"/>
      <c r="P51" s="4"/>
    </row>
    <row r="52" spans="2:22" ht="18.600000000000001" hidden="1" thickBot="1" x14ac:dyDescent="0.4">
      <c r="B52" s="1508">
        <v>46271</v>
      </c>
      <c r="C52" s="1509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19">
        <f t="shared" si="18"/>
        <v>0</v>
      </c>
      <c r="O52" s="284"/>
    </row>
    <row r="53" spans="2:22" ht="18.600000000000001" hidden="1" thickBot="1" x14ac:dyDescent="0.4">
      <c r="B53" s="1510"/>
      <c r="C53" s="1511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20"/>
      <c r="O53" s="284"/>
      <c r="R53" s="1">
        <f>R50*4</f>
        <v>60</v>
      </c>
    </row>
    <row r="54" spans="2:22" ht="18.600000000000001" hidden="1" thickBot="1" x14ac:dyDescent="0.4">
      <c r="B54" s="1508">
        <v>46272</v>
      </c>
      <c r="C54" s="1509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19">
        <f t="shared" si="18"/>
        <v>0</v>
      </c>
      <c r="O54" s="284"/>
    </row>
    <row r="55" spans="2:22" ht="18.600000000000001" hidden="1" thickBot="1" x14ac:dyDescent="0.4">
      <c r="B55" s="1510"/>
      <c r="C55" s="1511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20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08">
        <v>46273</v>
      </c>
      <c r="C56" s="1509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1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10"/>
      <c r="C57" s="1511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20"/>
      <c r="O57" s="284"/>
      <c r="Q57" s="4"/>
      <c r="R57" s="4"/>
      <c r="S57" s="1">
        <v>1190</v>
      </c>
    </row>
    <row r="58" spans="2:22" ht="18.600000000000001" hidden="1" thickBot="1" x14ac:dyDescent="0.4">
      <c r="B58" s="1508">
        <v>46274</v>
      </c>
      <c r="C58" s="1509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19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10"/>
      <c r="C59" s="1511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20"/>
      <c r="O59" s="284"/>
      <c r="P59" s="4"/>
      <c r="S59" s="2">
        <f>(S55-S58)/S55</f>
        <v>0.10083594566353186</v>
      </c>
    </row>
    <row r="60" spans="2:22" ht="18.600000000000001" thickBot="1" x14ac:dyDescent="0.4">
      <c r="B60" s="1508">
        <v>46275</v>
      </c>
      <c r="C60" s="1509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12">
        <f>SUM(L60:L61)</f>
        <v>86.346000000000004</v>
      </c>
      <c r="O60" s="284"/>
      <c r="P60" s="8"/>
    </row>
    <row r="61" spans="2:22" ht="18.600000000000001" thickBot="1" x14ac:dyDescent="0.4">
      <c r="B61" s="1510"/>
      <c r="C61" s="1511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13"/>
      <c r="O61" s="284"/>
      <c r="P61" s="8"/>
    </row>
    <row r="62" spans="2:22" ht="18.600000000000001" thickBot="1" x14ac:dyDescent="0.4">
      <c r="B62" s="1508">
        <v>46276</v>
      </c>
      <c r="C62" s="1509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12">
        <f>SUM(L62:L63)</f>
        <v>0</v>
      </c>
      <c r="O62" s="284"/>
      <c r="P62" s="8"/>
    </row>
    <row r="63" spans="2:22" ht="18.600000000000001" thickBot="1" x14ac:dyDescent="0.4">
      <c r="B63" s="1510"/>
      <c r="C63" s="1511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13"/>
      <c r="O63" s="284"/>
      <c r="P63" s="8"/>
    </row>
    <row r="64" spans="2:22" ht="18.600000000000001" thickBot="1" x14ac:dyDescent="0.4">
      <c r="B64" s="1508">
        <v>46277</v>
      </c>
      <c r="C64" s="1509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12">
        <f>SUM(L64:L65)</f>
        <v>394.524</v>
      </c>
      <c r="O64" s="284"/>
      <c r="P64" s="8"/>
    </row>
    <row r="65" spans="2:16" ht="18.600000000000001" thickBot="1" x14ac:dyDescent="0.4">
      <c r="B65" s="1510"/>
      <c r="C65" s="1511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13"/>
      <c r="O65" s="284"/>
      <c r="P65" s="8"/>
    </row>
    <row r="66" spans="2:16" ht="18.600000000000001" thickBot="1" x14ac:dyDescent="0.4">
      <c r="B66" s="1508">
        <v>46278</v>
      </c>
      <c r="C66" s="1509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12">
        <f>SUM(L66:L67)</f>
        <v>315.19799999999998</v>
      </c>
      <c r="O66" s="284"/>
      <c r="P66" s="8"/>
    </row>
    <row r="67" spans="2:16" ht="18.600000000000001" thickBot="1" x14ac:dyDescent="0.4">
      <c r="B67" s="1510"/>
      <c r="C67" s="1511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13"/>
      <c r="O67" s="284"/>
      <c r="P67" s="8"/>
    </row>
    <row r="68" spans="2:16" ht="18.600000000000001" hidden="1" thickBot="1" x14ac:dyDescent="0.4">
      <c r="B68" s="1508">
        <v>46279</v>
      </c>
      <c r="C68" s="1509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14">
        <f t="shared" ref="N68" si="31">SUM(L68:L69)</f>
        <v>0</v>
      </c>
      <c r="O68" s="284"/>
      <c r="P68" s="8"/>
    </row>
    <row r="69" spans="2:16" ht="18.600000000000001" hidden="1" thickBot="1" x14ac:dyDescent="0.4">
      <c r="B69" s="1510"/>
      <c r="C69" s="1511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15"/>
      <c r="O69" s="284"/>
      <c r="P69" s="8"/>
    </row>
    <row r="70" spans="2:16" ht="18.600000000000001" hidden="1" thickBot="1" x14ac:dyDescent="0.4">
      <c r="B70" s="1508">
        <v>46280</v>
      </c>
      <c r="C70" s="1509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14">
        <f t="shared" ref="N70" si="32">SUM(L70:L71)</f>
        <v>0</v>
      </c>
      <c r="O70" s="284"/>
      <c r="P70" s="8"/>
    </row>
    <row r="71" spans="2:16" ht="18.600000000000001" hidden="1" thickBot="1" x14ac:dyDescent="0.4">
      <c r="B71" s="1510"/>
      <c r="C71" s="1511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15"/>
      <c r="O71" s="284"/>
      <c r="P71" s="8"/>
    </row>
    <row r="72" spans="2:16" ht="18.600000000000001" hidden="1" thickBot="1" x14ac:dyDescent="0.4">
      <c r="B72" s="1508">
        <v>46281</v>
      </c>
      <c r="C72" s="1509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14">
        <f t="shared" ref="N72" si="33">SUM(L72:L73)</f>
        <v>0</v>
      </c>
      <c r="O72" s="284"/>
      <c r="P72" s="8"/>
    </row>
    <row r="73" spans="2:16" ht="18.600000000000001" hidden="1" thickBot="1" x14ac:dyDescent="0.4">
      <c r="B73" s="1510"/>
      <c r="C73" s="1511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15"/>
      <c r="O73" s="284"/>
      <c r="P73" s="8"/>
    </row>
    <row r="74" spans="2:16" ht="18.600000000000001" hidden="1" thickBot="1" x14ac:dyDescent="0.4">
      <c r="B74" s="1508">
        <v>46282</v>
      </c>
      <c r="C74" s="1509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14">
        <f t="shared" ref="N74" si="34">SUM(L74:L75)</f>
        <v>0</v>
      </c>
      <c r="O74" s="284"/>
      <c r="P74" s="8"/>
    </row>
    <row r="75" spans="2:16" ht="18.600000000000001" hidden="1" thickBot="1" x14ac:dyDescent="0.4">
      <c r="B75" s="1510"/>
      <c r="C75" s="1511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15"/>
      <c r="O75" s="284"/>
      <c r="P75" s="8"/>
    </row>
    <row r="76" spans="2:16" ht="18.600000000000001" thickBot="1" x14ac:dyDescent="0.4">
      <c r="B76" s="1508">
        <v>46283</v>
      </c>
      <c r="C76" s="1509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14">
        <f>SUM(L76:L77)</f>
        <v>241.488</v>
      </c>
      <c r="O76" s="284" t="s">
        <v>637</v>
      </c>
      <c r="P76" s="8"/>
    </row>
    <row r="77" spans="2:16" ht="18.600000000000001" thickBot="1" x14ac:dyDescent="0.4">
      <c r="B77" s="1510"/>
      <c r="C77" s="1511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515"/>
      <c r="O77" s="284" t="s">
        <v>638</v>
      </c>
      <c r="P77" s="8"/>
    </row>
    <row r="78" spans="2:16" ht="18" x14ac:dyDescent="0.35">
      <c r="B78" s="1508">
        <v>46284</v>
      </c>
      <c r="C78" s="1509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12">
        <f>SUM(L78:L80)</f>
        <v>353.78460000000001</v>
      </c>
      <c r="O78" s="284" t="s">
        <v>637</v>
      </c>
      <c r="P78" s="8"/>
    </row>
    <row r="79" spans="2:16" ht="18" x14ac:dyDescent="0.35">
      <c r="B79" s="1528"/>
      <c r="C79" s="1529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12"/>
      <c r="O79" s="284"/>
      <c r="P79" s="8"/>
    </row>
    <row r="80" spans="2:16" ht="18.600000000000001" thickBot="1" x14ac:dyDescent="0.4">
      <c r="B80" s="1510"/>
      <c r="C80" s="1511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513"/>
      <c r="O80" s="284"/>
      <c r="P80" s="8"/>
    </row>
    <row r="81" spans="2:16" ht="18.600000000000001" thickBot="1" x14ac:dyDescent="0.4">
      <c r="B81" s="1508">
        <v>46285</v>
      </c>
      <c r="C81" s="1509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12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28"/>
      <c r="C82" s="1529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512"/>
      <c r="O82" s="284"/>
      <c r="P82" s="8"/>
    </row>
    <row r="83" spans="2:16" ht="18.600000000000001" thickBot="1" x14ac:dyDescent="0.4">
      <c r="B83" s="1510"/>
      <c r="C83" s="1511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13"/>
      <c r="O83" s="284"/>
      <c r="P83" s="8"/>
    </row>
    <row r="84" spans="2:16" ht="18.600000000000001" thickBot="1" x14ac:dyDescent="0.4">
      <c r="B84" s="1508">
        <v>46286</v>
      </c>
      <c r="C84" s="1509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14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10"/>
      <c r="C85" s="1511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15"/>
      <c r="O85" s="284"/>
      <c r="P85" s="8"/>
    </row>
    <row r="86" spans="2:16" ht="18.600000000000001" thickBot="1" x14ac:dyDescent="0.4">
      <c r="B86" s="1508">
        <v>46287</v>
      </c>
      <c r="C86" s="1509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14">
        <f t="shared" ref="N86" si="50">SUM(L86:L87)</f>
        <v>133.38000000000002</v>
      </c>
      <c r="O86" s="284"/>
      <c r="P86" s="8"/>
    </row>
    <row r="87" spans="2:16" ht="18.600000000000001" thickBot="1" x14ac:dyDescent="0.4">
      <c r="B87" s="1510"/>
      <c r="C87" s="1511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15"/>
      <c r="O87" s="284"/>
      <c r="P87" s="8"/>
    </row>
    <row r="88" spans="2:16" ht="18.600000000000001" thickBot="1" x14ac:dyDescent="0.4">
      <c r="B88" s="1508">
        <v>46288</v>
      </c>
      <c r="C88" s="1509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14">
        <f>SUM(L88:L89)</f>
        <v>402.63600000000008</v>
      </c>
      <c r="O88" s="284"/>
      <c r="P88" s="8"/>
    </row>
    <row r="89" spans="2:16" ht="18.600000000000001" thickBot="1" x14ac:dyDescent="0.4">
      <c r="B89" s="1510"/>
      <c r="C89" s="1511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15"/>
      <c r="O89" s="284"/>
      <c r="P89" s="8"/>
    </row>
    <row r="90" spans="2:16" ht="18.600000000000001" thickBot="1" x14ac:dyDescent="0.4">
      <c r="B90" s="1508">
        <v>46289</v>
      </c>
      <c r="C90" s="1509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14">
        <f t="shared" ref="N90" si="59">SUM(L90:L91)</f>
        <v>219.92100000000002</v>
      </c>
      <c r="O90" s="284"/>
      <c r="P90" s="8"/>
    </row>
    <row r="91" spans="2:16" ht="18.600000000000001" thickBot="1" x14ac:dyDescent="0.4">
      <c r="B91" s="1510"/>
      <c r="C91" s="1511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15"/>
      <c r="O91" s="284"/>
      <c r="P91" s="8"/>
    </row>
    <row r="92" spans="2:16" ht="18.600000000000001" thickBot="1" x14ac:dyDescent="0.4">
      <c r="B92" s="1508">
        <v>46290</v>
      </c>
      <c r="C92" s="1509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14">
        <f t="shared" ref="N92" si="64">SUM(L92:L93)</f>
        <v>217.62</v>
      </c>
      <c r="O92" s="284"/>
      <c r="P92" s="8"/>
    </row>
    <row r="93" spans="2:16" ht="18.600000000000001" thickBot="1" x14ac:dyDescent="0.4">
      <c r="B93" s="1510"/>
      <c r="C93" s="1511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15"/>
      <c r="O93" s="284"/>
      <c r="P93" s="8"/>
    </row>
    <row r="94" spans="2:16" ht="18.600000000000001" thickBot="1" x14ac:dyDescent="0.4">
      <c r="B94" s="1508">
        <v>46291</v>
      </c>
      <c r="C94" s="1509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14">
        <f t="shared" ref="N94" si="69">SUM(L94:L95)</f>
        <v>253.77300000000002</v>
      </c>
      <c r="O94" s="284"/>
      <c r="P94" s="8"/>
    </row>
    <row r="95" spans="2:16" ht="18.600000000000001" thickBot="1" x14ac:dyDescent="0.4">
      <c r="B95" s="1510"/>
      <c r="C95" s="1511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15"/>
      <c r="O95" s="284"/>
      <c r="P95" s="8"/>
    </row>
    <row r="96" spans="2:16" ht="18.600000000000001" thickBot="1" x14ac:dyDescent="0.4">
      <c r="B96" s="1508">
        <v>46292</v>
      </c>
      <c r="C96" s="1509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14">
        <f t="shared" ref="N96" si="70">SUM(L96:L97)</f>
        <v>0</v>
      </c>
      <c r="O96" s="284"/>
      <c r="P96" s="8"/>
    </row>
    <row r="97" spans="2:16" ht="18.600000000000001" thickBot="1" x14ac:dyDescent="0.4">
      <c r="B97" s="1510"/>
      <c r="C97" s="1511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15"/>
      <c r="O97" s="284"/>
      <c r="P97" s="8"/>
    </row>
    <row r="98" spans="2:16" ht="18.600000000000001" thickBot="1" x14ac:dyDescent="0.4">
      <c r="B98" s="1508">
        <v>46293</v>
      </c>
      <c r="C98" s="1509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14">
        <f t="shared" ref="N98" si="75">SUM(L98:L99)</f>
        <v>182.988</v>
      </c>
      <c r="O98" s="284"/>
      <c r="P98" s="8"/>
    </row>
    <row r="99" spans="2:16" ht="18.600000000000001" thickBot="1" x14ac:dyDescent="0.4">
      <c r="B99" s="1510"/>
      <c r="C99" s="1511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515"/>
      <c r="O99" s="284"/>
      <c r="P99" s="8"/>
    </row>
    <row r="100" spans="2:16" ht="18.600000000000001" thickBot="1" x14ac:dyDescent="0.4">
      <c r="B100" s="1508">
        <v>46294</v>
      </c>
      <c r="C100" s="1509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14">
        <f t="shared" ref="N100" si="76">SUM(L100:L101)</f>
        <v>0</v>
      </c>
      <c r="O100" s="284"/>
      <c r="P100" s="8"/>
    </row>
    <row r="101" spans="2:16" ht="18.600000000000001" thickBot="1" x14ac:dyDescent="0.4">
      <c r="B101" s="1510"/>
      <c r="C101" s="1511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15"/>
      <c r="O101" s="284"/>
      <c r="P101" s="8"/>
    </row>
    <row r="102" spans="2:16" ht="18.600000000000001" thickBot="1" x14ac:dyDescent="0.4">
      <c r="B102" s="1508">
        <v>46295</v>
      </c>
      <c r="C102" s="1509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14">
        <f>SUM(L102:L103)</f>
        <v>121.485</v>
      </c>
      <c r="O102" s="284"/>
      <c r="P102" s="8"/>
    </row>
    <row r="103" spans="2:16" ht="18.600000000000001" thickBot="1" x14ac:dyDescent="0.4">
      <c r="B103" s="1510"/>
      <c r="C103" s="1511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41"/>
      <c r="O103" s="284"/>
      <c r="P103" s="8"/>
    </row>
    <row r="104" spans="2:16" ht="18.600000000000001" thickBot="1" x14ac:dyDescent="0.4">
      <c r="B104" s="1508">
        <v>46296</v>
      </c>
      <c r="C104" s="1509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14">
        <f>SUM(L104:L105)</f>
        <v>295.03500000000003</v>
      </c>
      <c r="O104" s="284"/>
      <c r="P104" s="8"/>
    </row>
    <row r="105" spans="2:16" ht="18" x14ac:dyDescent="0.35">
      <c r="B105" s="1528"/>
      <c r="C105" s="1529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540"/>
      <c r="O105" s="284"/>
      <c r="P105" s="8"/>
    </row>
    <row r="106" spans="2:16" ht="18" x14ac:dyDescent="0.35">
      <c r="B106" s="1536">
        <v>46297</v>
      </c>
      <c r="C106" s="1536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39">
        <f>SUM(L106:L109)</f>
        <v>241.2345</v>
      </c>
      <c r="O106" s="284"/>
      <c r="P106" s="8"/>
    </row>
    <row r="107" spans="2:16" ht="18" x14ac:dyDescent="0.35">
      <c r="B107" s="1536"/>
      <c r="C107" s="1536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39"/>
      <c r="O107" s="284"/>
      <c r="P107" s="8"/>
    </row>
    <row r="108" spans="2:16" ht="18" x14ac:dyDescent="0.35">
      <c r="B108" s="1536"/>
      <c r="C108" s="1536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539"/>
      <c r="O108" s="284"/>
      <c r="P108" s="8"/>
    </row>
    <row r="109" spans="2:16" ht="18" x14ac:dyDescent="0.35">
      <c r="B109" s="1536"/>
      <c r="C109" s="1536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39"/>
      <c r="O109" s="284"/>
      <c r="P109" s="8"/>
    </row>
    <row r="110" spans="2:16" ht="18" x14ac:dyDescent="0.35">
      <c r="B110" s="1536">
        <v>46298</v>
      </c>
      <c r="C110" s="1536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37">
        <f>SUM(L110:L111)</f>
        <v>464.91899999999998</v>
      </c>
      <c r="O110" s="284"/>
      <c r="P110" s="8"/>
    </row>
    <row r="111" spans="2:16" ht="18" x14ac:dyDescent="0.35">
      <c r="B111" s="1536"/>
      <c r="C111" s="1536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38"/>
      <c r="O111" s="284"/>
      <c r="P111" s="8"/>
    </row>
    <row r="112" spans="2:16" ht="18" x14ac:dyDescent="0.35">
      <c r="B112" s="1536">
        <v>46299</v>
      </c>
      <c r="C112" s="1536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36"/>
      <c r="C113" s="1536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36">
        <v>46300</v>
      </c>
      <c r="C114" s="1536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37">
        <f>SUM(L114:L115)</f>
        <v>19.655999999999999</v>
      </c>
      <c r="O114" s="1189"/>
      <c r="P114" s="8"/>
    </row>
    <row r="115" spans="2:16" ht="18" x14ac:dyDescent="0.35">
      <c r="B115" s="1536"/>
      <c r="C115" s="1536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38"/>
      <c r="O115" s="1189"/>
      <c r="P115" s="8"/>
    </row>
    <row r="116" spans="2:16" ht="18" x14ac:dyDescent="0.35">
      <c r="B116" s="1536">
        <v>46301</v>
      </c>
      <c r="C116" s="1536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37">
        <f>SUM(L116:L117)</f>
        <v>94.77</v>
      </c>
      <c r="O116" s="1189"/>
      <c r="P116" s="8"/>
    </row>
    <row r="117" spans="2:16" ht="18" x14ac:dyDescent="0.35">
      <c r="B117" s="1536"/>
      <c r="C117" s="1536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38"/>
      <c r="O117" s="1189"/>
      <c r="P117" s="8"/>
    </row>
    <row r="118" spans="2:16" ht="18" x14ac:dyDescent="0.35">
      <c r="B118" s="1536">
        <v>46302</v>
      </c>
      <c r="C118" s="1536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37">
        <f>SUM(L118:L119)</f>
        <v>192.62879999999998</v>
      </c>
      <c r="O118" s="1189"/>
      <c r="P118" s="8"/>
    </row>
    <row r="119" spans="2:16" ht="18" x14ac:dyDescent="0.35">
      <c r="B119" s="1536"/>
      <c r="C119" s="1536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538"/>
      <c r="O119" s="1189"/>
      <c r="P119" s="8"/>
    </row>
    <row r="120" spans="2:16" ht="18" x14ac:dyDescent="0.35">
      <c r="B120" s="1536">
        <v>46303</v>
      </c>
      <c r="C120" s="1536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537">
        <f>SUM(L120:L121)</f>
        <v>450.49095</v>
      </c>
      <c r="O120" s="1189"/>
      <c r="P120" s="8"/>
    </row>
    <row r="121" spans="2:16" ht="18" x14ac:dyDescent="0.35">
      <c r="B121" s="1536"/>
      <c r="C121" s="1536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538"/>
      <c r="O121" s="1189"/>
      <c r="P121" s="8"/>
    </row>
    <row r="122" spans="2:16" ht="18" hidden="1" customHeight="1" x14ac:dyDescent="0.35">
      <c r="B122" s="1536">
        <v>46304</v>
      </c>
      <c r="C122" s="1536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37">
        <f t="shared" ref="N122" si="123">SUM(L122:L123)</f>
        <v>0</v>
      </c>
      <c r="O122" s="1189"/>
      <c r="P122" s="8"/>
    </row>
    <row r="123" spans="2:16" ht="18" hidden="1" customHeight="1" x14ac:dyDescent="0.35">
      <c r="B123" s="1536"/>
      <c r="C123" s="1536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38"/>
      <c r="O123" s="1189"/>
      <c r="P123" s="8"/>
    </row>
    <row r="124" spans="2:16" ht="18" x14ac:dyDescent="0.35">
      <c r="B124" s="1536">
        <v>46307</v>
      </c>
      <c r="C124" s="1536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537">
        <f>SUM(L124:L125)</f>
        <v>324.32400000000007</v>
      </c>
      <c r="O124" s="1189"/>
      <c r="P124" s="8"/>
    </row>
    <row r="125" spans="2:16" ht="18" x14ac:dyDescent="0.35">
      <c r="B125" s="1536"/>
      <c r="C125" s="1536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538"/>
      <c r="O125" s="1189"/>
      <c r="P125" s="8"/>
    </row>
    <row r="126" spans="2:16" ht="18" hidden="1" x14ac:dyDescent="0.35">
      <c r="B126" s="1536">
        <v>46306</v>
      </c>
      <c r="C126" s="1536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536"/>
      <c r="C127" s="1536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542">
        <v>46308</v>
      </c>
      <c r="C128" s="1543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545"/>
      <c r="C129" s="1546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542">
        <v>46309</v>
      </c>
      <c r="C130" s="1543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545"/>
      <c r="C131" s="1546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542">
        <v>46310</v>
      </c>
      <c r="C132" s="1543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545"/>
      <c r="C133" s="1546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542">
        <v>46311</v>
      </c>
      <c r="C134" s="1543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537">
        <f>SUM(L134:L135)</f>
        <v>445.94550000000004</v>
      </c>
      <c r="O134" s="1189"/>
      <c r="P134" s="8"/>
    </row>
    <row r="135" spans="2:16" ht="18" x14ac:dyDescent="0.35">
      <c r="B135" s="1545"/>
      <c r="C135" s="1546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538"/>
      <c r="O135" s="1189"/>
      <c r="P135" s="8"/>
    </row>
    <row r="136" spans="2:16" ht="18" x14ac:dyDescent="0.35">
      <c r="B136" s="1542">
        <v>46312</v>
      </c>
      <c r="C136" s="1543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537">
        <f>SUM(M136:M137)</f>
        <v>16.875</v>
      </c>
      <c r="O136" s="1189"/>
      <c r="P136" s="8"/>
    </row>
    <row r="137" spans="2:16" ht="18" x14ac:dyDescent="0.35">
      <c r="B137" s="1545"/>
      <c r="C137" s="1546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538"/>
      <c r="O137" s="1189"/>
      <c r="P137" s="8"/>
    </row>
    <row r="138" spans="2:16" ht="18" x14ac:dyDescent="0.35">
      <c r="B138" s="1542">
        <v>46313</v>
      </c>
      <c r="C138" s="1543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537">
        <f>SUM(L138:L139)</f>
        <v>52.579800000000006</v>
      </c>
      <c r="O138" s="1189"/>
      <c r="P138" s="8"/>
    </row>
    <row r="139" spans="2:16" ht="18" x14ac:dyDescent="0.35">
      <c r="B139" s="1544"/>
      <c r="C139" s="1529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538"/>
      <c r="O139" s="1189"/>
      <c r="P139" s="8"/>
    </row>
    <row r="140" spans="2:16" ht="18" x14ac:dyDescent="0.35">
      <c r="B140" s="1545"/>
      <c r="C140" s="1546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542">
        <v>46314</v>
      </c>
      <c r="C141" s="1543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544"/>
      <c r="C142" s="1529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545"/>
      <c r="C143" s="1546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542">
        <v>46315</v>
      </c>
      <c r="C144" s="1543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544"/>
      <c r="C145" s="1529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545"/>
      <c r="C146" s="1546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542">
        <v>46316</v>
      </c>
      <c r="C147" s="1543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544"/>
      <c r="C148" s="1529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545"/>
      <c r="C149" s="1546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542">
        <v>46317</v>
      </c>
      <c r="C150" s="1543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544"/>
      <c r="C151" s="1529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545"/>
      <c r="C152" s="1546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542">
        <v>46318</v>
      </c>
      <c r="C153" s="1543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544"/>
      <c r="C154" s="1529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545"/>
      <c r="C155" s="1546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542">
        <v>46319</v>
      </c>
      <c r="C156" s="1543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544"/>
      <c r="C157" s="1529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545"/>
      <c r="C158" s="1546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542">
        <v>46320</v>
      </c>
      <c r="C159" s="1543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544"/>
      <c r="C160" s="1529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545"/>
      <c r="C161" s="1546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542">
        <v>46321</v>
      </c>
      <c r="C162" s="1543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544"/>
      <c r="C163" s="1529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545"/>
      <c r="C164" s="1546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542">
        <v>46322</v>
      </c>
      <c r="C165" s="1543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544"/>
      <c r="C166" s="1529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545"/>
      <c r="C167" s="1546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542">
        <v>46323</v>
      </c>
      <c r="C168" s="1543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544"/>
      <c r="C169" s="1529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545"/>
      <c r="C170" s="1546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542">
        <v>46324</v>
      </c>
      <c r="C171" s="1543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544"/>
      <c r="C172" s="1529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545"/>
      <c r="C173" s="1546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542">
        <v>46325</v>
      </c>
      <c r="C174" s="1543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544"/>
      <c r="C175" s="1529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545"/>
      <c r="C176" s="1546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504" t="s">
        <v>16</v>
      </c>
      <c r="C177" s="1505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506" t="s">
        <v>17</v>
      </c>
      <c r="C178" s="1507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8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51" t="s">
        <v>122</v>
      </c>
      <c r="C1" s="1551"/>
      <c r="D1" s="1551"/>
      <c r="E1" s="1551"/>
      <c r="F1" s="1551"/>
      <c r="G1" s="1551"/>
      <c r="H1" s="1551"/>
      <c r="I1" s="1551"/>
      <c r="J1" s="1551"/>
      <c r="K1" s="1551"/>
      <c r="L1" s="1551"/>
    </row>
    <row r="2" spans="1:27" ht="18" x14ac:dyDescent="0.35">
      <c r="F2" s="1557" t="s">
        <v>416</v>
      </c>
      <c r="G2" s="1557"/>
      <c r="H2" s="1557"/>
      <c r="I2" s="1557"/>
      <c r="J2" s="1557"/>
    </row>
    <row r="3" spans="1:27" ht="15" thickBot="1" x14ac:dyDescent="0.35">
      <c r="A3" s="1552" t="s">
        <v>198</v>
      </c>
      <c r="B3" s="1553"/>
      <c r="C3" s="1553"/>
      <c r="D3" s="1553"/>
      <c r="E3" s="1553"/>
      <c r="F3" s="1553"/>
      <c r="G3" s="1554"/>
    </row>
    <row r="4" spans="1:27" ht="15" thickBot="1" x14ac:dyDescent="0.35">
      <c r="A4" s="1555" t="s">
        <v>0</v>
      </c>
      <c r="B4" s="155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47">
        <v>46252</v>
      </c>
      <c r="B6" s="1548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47">
        <v>46253</v>
      </c>
      <c r="B7" s="1548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47">
        <v>46254</v>
      </c>
      <c r="B8" s="1548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49" t="s">
        <v>208</v>
      </c>
      <c r="AA8" s="1550"/>
    </row>
    <row r="9" spans="1:27" x14ac:dyDescent="0.3">
      <c r="A9" s="1547">
        <v>46255</v>
      </c>
      <c r="B9" s="1548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47">
        <v>46256</v>
      </c>
      <c r="B10" s="1548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47">
        <v>46257</v>
      </c>
      <c r="B11" s="1548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47">
        <v>46258</v>
      </c>
      <c r="B12" s="1548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47">
        <v>46259</v>
      </c>
      <c r="B13" s="1548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47">
        <v>46260</v>
      </c>
      <c r="B14" s="1548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47">
        <v>46261</v>
      </c>
      <c r="B15" s="1548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47">
        <v>46262</v>
      </c>
      <c r="B16" s="1548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47">
        <v>46263</v>
      </c>
      <c r="B17" s="1548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47">
        <v>46264</v>
      </c>
      <c r="B18" s="1548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47">
        <v>46265</v>
      </c>
      <c r="B19" s="1548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47">
        <v>46266</v>
      </c>
      <c r="B20" s="1548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47">
        <v>46267</v>
      </c>
      <c r="B21" s="1548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47">
        <v>46268</v>
      </c>
      <c r="B22" s="1548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47">
        <v>46269</v>
      </c>
      <c r="B23" s="1548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47">
        <v>46270</v>
      </c>
      <c r="B24" s="1548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47">
        <v>46271</v>
      </c>
      <c r="B25" s="1548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47">
        <v>46272</v>
      </c>
      <c r="B26" s="1548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47">
        <v>46273</v>
      </c>
      <c r="B27" s="1548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47">
        <v>46274</v>
      </c>
      <c r="B28" s="1548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47">
        <v>46275</v>
      </c>
      <c r="B29" s="1548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47">
        <v>46276</v>
      </c>
      <c r="B30" s="1548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47">
        <v>46277</v>
      </c>
      <c r="B31" s="1548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47">
        <v>46278</v>
      </c>
      <c r="B32" s="1548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47">
        <v>46279</v>
      </c>
      <c r="B33" s="1548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47">
        <v>46280</v>
      </c>
      <c r="B34" s="1548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47">
        <v>46281</v>
      </c>
      <c r="B35" s="1548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47">
        <v>46282</v>
      </c>
      <c r="B36" s="1548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47">
        <v>46283</v>
      </c>
      <c r="B37" s="1548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47">
        <v>46284</v>
      </c>
      <c r="B38" s="1548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47">
        <v>46285</v>
      </c>
      <c r="B39" s="1548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47">
        <v>46286</v>
      </c>
      <c r="B40" s="1548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47">
        <v>46287</v>
      </c>
      <c r="B41" s="1548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47">
        <v>46288</v>
      </c>
      <c r="B42" s="1548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58" t="s">
        <v>599</v>
      </c>
      <c r="C2" s="1559"/>
      <c r="D2" s="1559"/>
      <c r="E2" s="1559"/>
      <c r="F2" s="1559"/>
      <c r="G2" s="1559"/>
      <c r="H2" s="1559"/>
      <c r="I2" s="1559"/>
      <c r="J2" s="1559"/>
      <c r="K2" s="1559"/>
      <c r="L2" s="1559"/>
      <c r="M2" s="1559"/>
      <c r="N2" s="1559"/>
      <c r="O2" s="1559"/>
      <c r="P2" s="1559"/>
      <c r="Q2" s="1559"/>
      <c r="R2" s="1559"/>
      <c r="S2" s="1559"/>
      <c r="T2" s="1560"/>
    </row>
    <row r="3" spans="2:28" x14ac:dyDescent="1.65">
      <c r="B3" s="846"/>
      <c r="C3" s="1559" t="s">
        <v>600</v>
      </c>
      <c r="D3" s="1559"/>
      <c r="E3" s="1559"/>
      <c r="F3" s="1559"/>
      <c r="G3" s="1559"/>
      <c r="H3" s="1559"/>
      <c r="I3" s="1559"/>
      <c r="J3" s="1559"/>
      <c r="K3" s="1559"/>
      <c r="L3" s="1559"/>
      <c r="M3" s="1559"/>
      <c r="N3" s="1559"/>
      <c r="O3" s="1559"/>
      <c r="P3" s="1559"/>
      <c r="Q3" s="1559"/>
      <c r="R3" s="1559"/>
      <c r="S3" s="1559"/>
      <c r="T3" s="1560"/>
    </row>
    <row r="4" spans="2:28" ht="92.4" thickBot="1" x14ac:dyDescent="1.7">
      <c r="B4" s="1561" t="s">
        <v>601</v>
      </c>
      <c r="C4" s="1562"/>
      <c r="D4" s="1562"/>
      <c r="E4" s="1562"/>
      <c r="F4" s="1562"/>
      <c r="G4" s="1562"/>
      <c r="H4" s="1562"/>
      <c r="I4" s="1562"/>
      <c r="J4" s="1562"/>
      <c r="K4" s="1562"/>
      <c r="L4" s="1562"/>
      <c r="M4" s="1562"/>
      <c r="N4" s="1562"/>
      <c r="O4" s="1562"/>
      <c r="P4" s="1562"/>
      <c r="Q4" s="1562"/>
      <c r="R4" s="1562"/>
      <c r="S4" s="1562"/>
      <c r="T4" s="1563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64" t="s">
        <v>620</v>
      </c>
      <c r="C6" s="1565"/>
      <c r="D6" s="1565"/>
      <c r="E6" s="1565"/>
      <c r="F6" s="1565"/>
      <c r="G6" s="1565"/>
      <c r="H6" s="1565"/>
      <c r="I6" s="1565"/>
      <c r="J6" s="1565"/>
      <c r="K6" s="1565"/>
      <c r="L6" s="1565"/>
      <c r="M6" s="1565"/>
      <c r="N6" s="1565"/>
      <c r="O6" s="1565"/>
      <c r="P6" s="1565"/>
      <c r="Q6" s="1565"/>
      <c r="R6" s="1565"/>
      <c r="S6" s="1565"/>
      <c r="T6" s="1566"/>
    </row>
    <row r="7" spans="2:28" ht="92.4" thickBot="1" x14ac:dyDescent="1.7">
      <c r="B7" s="1567"/>
      <c r="C7" s="1568"/>
      <c r="D7" s="1568"/>
      <c r="E7" s="1568"/>
      <c r="F7" s="1568"/>
      <c r="G7" s="1568"/>
      <c r="H7" s="1568"/>
      <c r="I7" s="1568"/>
      <c r="J7" s="1568"/>
      <c r="K7" s="1568"/>
      <c r="L7" s="1568"/>
      <c r="M7" s="1568"/>
      <c r="N7" s="1568"/>
      <c r="O7" s="1568"/>
      <c r="P7" s="1568"/>
      <c r="Q7" s="1568"/>
      <c r="R7" s="1568"/>
      <c r="S7" s="1568"/>
      <c r="T7" s="1569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70" t="s">
        <v>618</v>
      </c>
      <c r="AA13" s="1570"/>
      <c r="AB13" s="1570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36" zoomScale="82" zoomScaleNormal="76" workbookViewId="0">
      <selection activeCell="B255" sqref="B255"/>
    </sheetView>
  </sheetViews>
  <sheetFormatPr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73" t="s">
        <v>456</v>
      </c>
      <c r="C2" s="1473"/>
      <c r="D2" s="1473"/>
      <c r="E2" s="1473"/>
      <c r="F2" s="1473"/>
      <c r="G2" s="1473"/>
      <c r="H2" s="1473"/>
      <c r="T2" s="1583" t="s">
        <v>497</v>
      </c>
      <c r="U2" s="1583"/>
      <c r="V2" s="1583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87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88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88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88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88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88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88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88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88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88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88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89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84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85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85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85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85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85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85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85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86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87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88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88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88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88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88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88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88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88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88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88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89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84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85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85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85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85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85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85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85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85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85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85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86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84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85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85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85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85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85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85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85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86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87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88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88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88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88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89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84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85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85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85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85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85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85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85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86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87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88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88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88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88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88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88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88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88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88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88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89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93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94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94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94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94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94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94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94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94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94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94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95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97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98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98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98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98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98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98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98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98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98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98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98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98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98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98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98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98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98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98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98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99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80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81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81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81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81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81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81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81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82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97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98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98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98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98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98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98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98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98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98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98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98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98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98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98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98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98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99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600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601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601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601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601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73" t="s">
        <v>824</v>
      </c>
      <c r="L152" s="1473"/>
      <c r="M152" s="1473"/>
      <c r="N152" s="1473"/>
      <c r="O152" s="1473"/>
      <c r="P152" s="1473"/>
      <c r="S152" s="1596" t="s">
        <v>824</v>
      </c>
      <c r="T152" s="1596"/>
      <c r="U152" s="1596"/>
      <c r="V152" s="1596"/>
      <c r="W152" s="1596"/>
      <c r="X152" s="1596"/>
    </row>
    <row r="153" spans="2:25" ht="14.4" customHeight="1" x14ac:dyDescent="0.3">
      <c r="B153" s="452">
        <v>150</v>
      </c>
      <c r="C153" s="1601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73" t="s">
        <v>825</v>
      </c>
      <c r="L153" s="1473"/>
      <c r="M153" s="1473"/>
      <c r="N153" s="1473"/>
      <c r="O153" s="1473"/>
      <c r="P153" s="1473"/>
      <c r="S153" s="1596" t="s">
        <v>826</v>
      </c>
      <c r="T153" s="1596"/>
      <c r="U153" s="1596"/>
      <c r="V153" s="1596"/>
      <c r="W153" s="1596"/>
      <c r="X153" s="1596"/>
    </row>
    <row r="154" spans="2:25" ht="14.4" customHeight="1" x14ac:dyDescent="0.3">
      <c r="B154" s="452">
        <v>151</v>
      </c>
      <c r="C154" s="1601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601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601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601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601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601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601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601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602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90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91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91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91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91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91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91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91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91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81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81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81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81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81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81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81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81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82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90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91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91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91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91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91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91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91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91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91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91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92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80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81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81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81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81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81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81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81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82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74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75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75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75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75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75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75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75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76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577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578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578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578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578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578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578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578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578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S219" s="1287">
        <v>65</v>
      </c>
      <c r="T219" s="6"/>
      <c r="U219" s="62"/>
      <c r="V219" s="239"/>
      <c r="W219" s="6"/>
      <c r="X219" s="6"/>
    </row>
    <row r="220" spans="2:24" x14ac:dyDescent="0.3">
      <c r="B220" s="452">
        <v>217</v>
      </c>
      <c r="C220" s="1578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S220" s="1287">
        <v>66</v>
      </c>
      <c r="T220" s="6"/>
      <c r="U220" s="62"/>
      <c r="V220" s="239"/>
      <c r="W220" s="6"/>
      <c r="X220" s="6"/>
    </row>
    <row r="221" spans="2:24" x14ac:dyDescent="0.3">
      <c r="B221" s="452">
        <v>218</v>
      </c>
      <c r="C221" s="1578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S221" s="1287">
        <v>67</v>
      </c>
      <c r="T221" s="6"/>
      <c r="U221" s="62"/>
      <c r="V221" s="239"/>
      <c r="W221" s="6"/>
      <c r="X221" s="6"/>
    </row>
    <row r="222" spans="2:24" x14ac:dyDescent="0.3">
      <c r="B222" s="452">
        <v>219</v>
      </c>
      <c r="C222" s="1578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S222" s="1287">
        <v>68</v>
      </c>
      <c r="T222" s="6"/>
      <c r="U222" s="62"/>
      <c r="V222" s="6"/>
      <c r="W222" s="6"/>
      <c r="X222" s="6"/>
    </row>
    <row r="223" spans="2:24" x14ac:dyDescent="0.3">
      <c r="B223" s="452">
        <v>220</v>
      </c>
      <c r="C223" s="1578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S223" s="1287">
        <v>69</v>
      </c>
      <c r="T223" s="6"/>
      <c r="U223" s="62"/>
      <c r="V223" s="6"/>
      <c r="W223" s="6"/>
      <c r="X223" s="6"/>
    </row>
    <row r="224" spans="2:24" x14ac:dyDescent="0.3">
      <c r="B224" s="452">
        <v>221</v>
      </c>
      <c r="C224" s="1578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S224" s="1287">
        <v>70</v>
      </c>
      <c r="T224" s="6"/>
      <c r="U224" s="62"/>
      <c r="V224" s="6"/>
      <c r="W224" s="6"/>
      <c r="X224" s="6"/>
    </row>
    <row r="225" spans="2:24" x14ac:dyDescent="0.3">
      <c r="B225" s="452">
        <v>222</v>
      </c>
      <c r="C225" s="1578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S225" s="1287">
        <v>71</v>
      </c>
      <c r="T225" s="6"/>
      <c r="U225" s="62"/>
      <c r="V225" s="239"/>
      <c r="W225" s="6"/>
      <c r="X225" s="6"/>
    </row>
    <row r="226" spans="2:24" x14ac:dyDescent="0.3">
      <c r="B226" s="452">
        <v>223</v>
      </c>
      <c r="C226" s="1578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S226" s="1287">
        <v>72</v>
      </c>
      <c r="T226" s="6"/>
      <c r="U226" s="62"/>
      <c r="V226" s="239"/>
      <c r="W226" s="6"/>
      <c r="X226" s="6"/>
    </row>
    <row r="227" spans="2:24" x14ac:dyDescent="0.3">
      <c r="B227" s="452">
        <v>224</v>
      </c>
      <c r="C227" s="1578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S227" s="1287">
        <v>73</v>
      </c>
      <c r="T227" s="6"/>
      <c r="U227" s="62"/>
      <c r="V227" s="239"/>
      <c r="W227" s="6"/>
      <c r="X227" s="6"/>
    </row>
    <row r="228" spans="2:24" x14ac:dyDescent="0.3">
      <c r="B228" s="452">
        <v>225</v>
      </c>
      <c r="C228" s="1578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S228" s="1287">
        <v>74</v>
      </c>
      <c r="T228" s="6"/>
      <c r="U228" s="62"/>
      <c r="V228" s="6"/>
      <c r="W228" s="6"/>
      <c r="X228" s="6"/>
    </row>
    <row r="229" spans="2:24" x14ac:dyDescent="0.3">
      <c r="B229" s="452">
        <v>226</v>
      </c>
      <c r="C229" s="1578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S229" s="1287">
        <v>75</v>
      </c>
      <c r="T229" s="6"/>
      <c r="U229" s="62"/>
      <c r="V229" s="6"/>
      <c r="W229" s="6"/>
      <c r="X229" s="6"/>
    </row>
    <row r="230" spans="2:24" x14ac:dyDescent="0.3">
      <c r="B230" s="452">
        <v>227</v>
      </c>
      <c r="C230" s="1579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S230" s="1287">
        <v>76</v>
      </c>
      <c r="T230" s="6"/>
      <c r="U230" s="62"/>
      <c r="V230" s="6"/>
      <c r="W230" s="6"/>
      <c r="X230" s="6"/>
    </row>
    <row r="231" spans="2:24" ht="14.4" customHeight="1" x14ac:dyDescent="0.3">
      <c r="B231" s="1313">
        <v>228</v>
      </c>
      <c r="C231" s="1571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S231" s="1287">
        <v>77</v>
      </c>
      <c r="T231" s="6"/>
      <c r="U231" s="62"/>
      <c r="V231" s="6"/>
      <c r="W231" s="6"/>
      <c r="X231" s="6"/>
    </row>
    <row r="232" spans="2:24" ht="14.4" customHeight="1" x14ac:dyDescent="0.3">
      <c r="B232" s="1313">
        <v>229</v>
      </c>
      <c r="C232" s="1572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S232" s="1287">
        <v>78</v>
      </c>
      <c r="T232" s="6"/>
      <c r="U232" s="62"/>
      <c r="V232" s="6"/>
      <c r="W232" s="6"/>
      <c r="X232" s="6"/>
    </row>
    <row r="233" spans="2:24" ht="14.4" customHeight="1" x14ac:dyDescent="0.3">
      <c r="B233" s="1313">
        <v>230</v>
      </c>
      <c r="C233" s="1572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S233" s="1287">
        <v>79</v>
      </c>
      <c r="T233" s="6"/>
      <c r="U233" s="62"/>
      <c r="V233" s="6"/>
      <c r="W233" s="6"/>
      <c r="X233" s="6"/>
    </row>
    <row r="234" spans="2:24" ht="14.4" customHeight="1" x14ac:dyDescent="0.3">
      <c r="B234" s="1313">
        <v>231</v>
      </c>
      <c r="C234" s="1572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S234" s="1287">
        <v>80</v>
      </c>
      <c r="T234" s="6"/>
      <c r="U234" s="62"/>
      <c r="V234" s="6"/>
      <c r="W234" s="6"/>
      <c r="X234" s="6"/>
    </row>
    <row r="235" spans="2:24" ht="14.4" customHeight="1" x14ac:dyDescent="0.3">
      <c r="B235" s="1313">
        <v>232</v>
      </c>
      <c r="C235" s="1572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S235" s="1287">
        <v>81</v>
      </c>
      <c r="T235" s="6"/>
      <c r="U235" s="62"/>
      <c r="V235" s="6"/>
      <c r="W235" s="6"/>
      <c r="X235" s="6"/>
    </row>
    <row r="236" spans="2:24" ht="14.4" customHeight="1" x14ac:dyDescent="0.3">
      <c r="B236" s="1313">
        <v>233</v>
      </c>
      <c r="C236" s="1572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S236" s="1287">
        <v>82</v>
      </c>
      <c r="T236" s="6"/>
      <c r="U236" s="62"/>
      <c r="V236" s="6"/>
      <c r="W236" s="6"/>
      <c r="X236" s="6"/>
    </row>
    <row r="237" spans="2:24" ht="14.4" customHeight="1" x14ac:dyDescent="0.3">
      <c r="B237" s="1313">
        <v>234</v>
      </c>
      <c r="C237" s="1572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S237" s="1287">
        <v>83</v>
      </c>
      <c r="T237" s="6"/>
      <c r="U237" s="62"/>
      <c r="V237" s="6"/>
      <c r="W237" s="6"/>
      <c r="X237" s="6"/>
    </row>
    <row r="238" spans="2:24" ht="14.4" customHeight="1" x14ac:dyDescent="0.3">
      <c r="B238" s="1313">
        <v>235</v>
      </c>
      <c r="C238" s="1572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</row>
    <row r="239" spans="2:24" ht="14.4" customHeight="1" x14ac:dyDescent="0.3">
      <c r="B239" s="1313">
        <v>236</v>
      </c>
      <c r="C239" s="1572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</row>
    <row r="240" spans="2:24" ht="14.4" customHeight="1" x14ac:dyDescent="0.3">
      <c r="B240" s="1313">
        <v>237</v>
      </c>
      <c r="C240" s="1572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</row>
    <row r="241" spans="2:8" ht="14.4" customHeight="1" x14ac:dyDescent="0.3">
      <c r="B241" s="1313">
        <v>238</v>
      </c>
      <c r="C241" s="1572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</row>
    <row r="242" spans="2:8" ht="14.4" customHeight="1" x14ac:dyDescent="0.3">
      <c r="B242" s="1313">
        <v>239</v>
      </c>
      <c r="C242" s="1572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</row>
    <row r="243" spans="2:8" ht="14.4" customHeight="1" x14ac:dyDescent="0.3">
      <c r="B243" s="1313">
        <v>240</v>
      </c>
      <c r="C243" s="1572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8" x14ac:dyDescent="0.3">
      <c r="B244" s="1313">
        <v>241</v>
      </c>
      <c r="C244" s="1572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</row>
    <row r="245" spans="2:8" x14ac:dyDescent="0.3">
      <c r="B245" s="1313">
        <v>242</v>
      </c>
      <c r="C245" s="1572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</row>
    <row r="246" spans="2:8" x14ac:dyDescent="0.3">
      <c r="B246" s="1313">
        <v>243</v>
      </c>
      <c r="C246" s="1572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</row>
    <row r="247" spans="2:8" x14ac:dyDescent="0.3">
      <c r="B247" s="1313">
        <v>244</v>
      </c>
      <c r="C247" s="1572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</row>
    <row r="248" spans="2:8" x14ac:dyDescent="0.3">
      <c r="B248" s="1313">
        <v>245</v>
      </c>
      <c r="C248" s="1573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</row>
    <row r="249" spans="2:8" x14ac:dyDescent="0.3">
      <c r="B249" s="451">
        <v>246</v>
      </c>
      <c r="C249" s="1593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</row>
    <row r="250" spans="2:8" x14ac:dyDescent="0.3">
      <c r="B250" s="451">
        <v>247</v>
      </c>
      <c r="C250" s="1594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</row>
    <row r="251" spans="2:8" x14ac:dyDescent="0.3">
      <c r="B251" s="451">
        <v>248</v>
      </c>
      <c r="C251" s="1594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</row>
    <row r="252" spans="2:8" x14ac:dyDescent="0.3">
      <c r="B252" s="451">
        <v>249</v>
      </c>
      <c r="C252" s="1594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</row>
    <row r="253" spans="2:8" x14ac:dyDescent="0.3">
      <c r="B253" s="451">
        <v>250</v>
      </c>
      <c r="C253" s="1594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</row>
    <row r="254" spans="2:8" x14ac:dyDescent="0.3">
      <c r="B254" s="451">
        <v>251</v>
      </c>
      <c r="C254" s="1595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</row>
    <row r="255" spans="2:8" x14ac:dyDescent="0.3">
      <c r="B255" s="6">
        <v>252</v>
      </c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7">
    <mergeCell ref="C249:C254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C231:C248"/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</mergeCells>
  <phoneticPr fontId="108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0"/>
  <sheetViews>
    <sheetView zoomScale="85" zoomScaleNormal="85" workbookViewId="0">
      <pane ySplit="4" topLeftCell="A85" activePane="bottomLeft" state="frozen"/>
      <selection pane="bottomLeft" activeCell="H102" sqref="H10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39" t="s">
        <v>63</v>
      </c>
      <c r="B3" s="1640"/>
      <c r="C3" s="1640"/>
      <c r="D3" s="1640"/>
      <c r="E3" s="1640"/>
      <c r="F3" s="1640"/>
      <c r="G3" s="1640"/>
      <c r="H3" s="1640"/>
      <c r="I3" s="1640"/>
      <c r="J3" s="1640"/>
      <c r="K3" s="1640"/>
      <c r="L3" s="1640"/>
    </row>
    <row r="4" spans="1:36" ht="28.8" x14ac:dyDescent="0.3">
      <c r="A4" s="1644" t="s">
        <v>0</v>
      </c>
      <c r="B4" s="1644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41">
        <v>46265</v>
      </c>
      <c r="B5" s="1642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88">
        <v>1</v>
      </c>
      <c r="J5" s="900">
        <f>(720-G5)/60</f>
        <v>10.433333333333334</v>
      </c>
      <c r="K5" s="901">
        <f>J5/12</f>
        <v>0.86944444444444446</v>
      </c>
      <c r="L5" s="1609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34">
        <v>46265</v>
      </c>
      <c r="B6" s="1445"/>
      <c r="C6" s="769" t="s">
        <v>13</v>
      </c>
      <c r="D6" s="592"/>
      <c r="E6" s="586"/>
      <c r="F6" s="501"/>
      <c r="G6" s="502">
        <f>(F6-E6)*1440</f>
        <v>0</v>
      </c>
      <c r="H6" s="587"/>
      <c r="I6" s="1588"/>
      <c r="J6" s="809">
        <f>(720-G6)/60</f>
        <v>12</v>
      </c>
      <c r="K6" s="812">
        <f t="shared" ref="K6:K8" si="1">J6/12</f>
        <v>1</v>
      </c>
      <c r="L6" s="1609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34">
        <v>46266</v>
      </c>
      <c r="B7" s="1445"/>
      <c r="C7" s="769" t="s">
        <v>12</v>
      </c>
      <c r="D7" s="592"/>
      <c r="E7" s="586"/>
      <c r="F7" s="501"/>
      <c r="G7" s="502">
        <f>(F7-E7)*1440</f>
        <v>0</v>
      </c>
      <c r="H7" s="587"/>
      <c r="I7" s="1588"/>
      <c r="J7" s="809">
        <f>(720-G7)/60</f>
        <v>12</v>
      </c>
      <c r="K7" s="812">
        <f t="shared" si="1"/>
        <v>1</v>
      </c>
      <c r="L7" s="1609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34">
        <v>46266</v>
      </c>
      <c r="B8" s="1445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89"/>
      <c r="J8" s="809">
        <f t="shared" ref="J8:J14" si="5">(720-G8)/60</f>
        <v>10.9</v>
      </c>
      <c r="K8" s="812">
        <f t="shared" si="1"/>
        <v>0.90833333333333333</v>
      </c>
      <c r="L8" s="1609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43">
        <v>46267</v>
      </c>
      <c r="B9" s="1426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84">
        <v>2</v>
      </c>
      <c r="J9" s="810">
        <f t="shared" si="5"/>
        <v>10</v>
      </c>
      <c r="K9" s="813">
        <f>J9/12</f>
        <v>0.83333333333333337</v>
      </c>
      <c r="L9" s="1626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43">
        <v>46267</v>
      </c>
      <c r="B10" s="1426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85"/>
      <c r="J10" s="810">
        <f t="shared" si="5"/>
        <v>12</v>
      </c>
      <c r="K10" s="813">
        <f t="shared" ref="K10:K14" si="6">J10/12</f>
        <v>1</v>
      </c>
      <c r="L10" s="1626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43">
        <v>46268</v>
      </c>
      <c r="B11" s="1426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85"/>
      <c r="J11" s="810">
        <f t="shared" si="5"/>
        <v>12</v>
      </c>
      <c r="K11" s="813">
        <f t="shared" si="6"/>
        <v>1</v>
      </c>
      <c r="L11" s="1626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43">
        <v>46268</v>
      </c>
      <c r="B12" s="1426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85"/>
      <c r="J12" s="810">
        <f t="shared" si="5"/>
        <v>11</v>
      </c>
      <c r="K12" s="813">
        <f t="shared" si="6"/>
        <v>0.91666666666666663</v>
      </c>
      <c r="L12" s="1626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43">
        <v>46269</v>
      </c>
      <c r="B13" s="1426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85"/>
      <c r="J13" s="810">
        <f t="shared" si="5"/>
        <v>0</v>
      </c>
      <c r="K13" s="813">
        <f t="shared" si="6"/>
        <v>0</v>
      </c>
      <c r="L13" s="1626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43">
        <v>46269</v>
      </c>
      <c r="B14" s="1426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86"/>
      <c r="J14" s="810">
        <f t="shared" si="5"/>
        <v>0</v>
      </c>
      <c r="K14" s="813">
        <f t="shared" si="6"/>
        <v>0</v>
      </c>
      <c r="L14" s="1626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34">
        <v>46270</v>
      </c>
      <c r="B15" s="1445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87">
        <v>3</v>
      </c>
      <c r="J15" s="809">
        <f>(720-G15)/60</f>
        <v>0</v>
      </c>
      <c r="K15" s="812">
        <f>J15/12</f>
        <v>0</v>
      </c>
      <c r="L15" s="1609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34">
        <v>46270</v>
      </c>
      <c r="B16" s="1445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88"/>
      <c r="J16" s="809">
        <f t="shared" ref="J16:J19" si="8">(720-G16)/60</f>
        <v>11</v>
      </c>
      <c r="K16" s="812">
        <f t="shared" ref="K16:K19" si="9">J16/12</f>
        <v>0.91666666666666663</v>
      </c>
      <c r="L16" s="1609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34">
        <v>46271</v>
      </c>
      <c r="B17" s="1445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88"/>
      <c r="J17" s="809">
        <f t="shared" si="8"/>
        <v>9.8333333333333339</v>
      </c>
      <c r="K17" s="812">
        <f t="shared" si="9"/>
        <v>0.81944444444444453</v>
      </c>
      <c r="L17" s="1609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34">
        <v>46271</v>
      </c>
      <c r="B18" s="1445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88"/>
      <c r="J18" s="809">
        <f t="shared" si="8"/>
        <v>12</v>
      </c>
      <c r="K18" s="812">
        <f t="shared" si="9"/>
        <v>1</v>
      </c>
      <c r="L18" s="1609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34">
        <v>46272</v>
      </c>
      <c r="B19" s="1445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89"/>
      <c r="J19" s="809">
        <f t="shared" si="8"/>
        <v>11.683333333333334</v>
      </c>
      <c r="K19" s="812">
        <f t="shared" si="9"/>
        <v>0.97361111111111109</v>
      </c>
      <c r="L19" s="1627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43">
        <v>46272</v>
      </c>
      <c r="B20" s="1426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46">
        <v>4</v>
      </c>
      <c r="J20" s="810">
        <f>(720-G20)/60</f>
        <v>10.766666666666667</v>
      </c>
      <c r="K20" s="813">
        <f>J20/12</f>
        <v>0.89722222222222225</v>
      </c>
      <c r="L20" s="1627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43">
        <v>46273</v>
      </c>
      <c r="B21" s="1426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47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26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43">
        <v>46273</v>
      </c>
      <c r="B22" s="1426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47"/>
      <c r="J22" s="810">
        <f t="shared" si="10"/>
        <v>9.4499999999999993</v>
      </c>
      <c r="K22" s="813">
        <f t="shared" si="11"/>
        <v>0.78749999999999998</v>
      </c>
      <c r="L22" s="1626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43">
        <v>46274</v>
      </c>
      <c r="B23" s="1426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48"/>
      <c r="J23" s="810">
        <f t="shared" si="10"/>
        <v>3</v>
      </c>
      <c r="K23" s="813">
        <f t="shared" si="11"/>
        <v>0.25</v>
      </c>
      <c r="L23" s="1626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45">
        <v>46274</v>
      </c>
      <c r="B24" s="1434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26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34">
        <v>46275</v>
      </c>
      <c r="B25" s="1445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49">
        <v>5</v>
      </c>
      <c r="J25" s="809">
        <f>(720-G25)/60</f>
        <v>10.566666666666666</v>
      </c>
      <c r="K25" s="812">
        <f>J25/12</f>
        <v>0.88055555555555554</v>
      </c>
      <c r="L25" s="1609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34">
        <v>46275</v>
      </c>
      <c r="B26" s="1445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50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09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34">
        <v>46276</v>
      </c>
      <c r="B27" s="1445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51"/>
      <c r="J27" s="809">
        <f t="shared" si="13"/>
        <v>10.983333333333333</v>
      </c>
      <c r="K27" s="812">
        <f t="shared" si="14"/>
        <v>0.91527777777777775</v>
      </c>
      <c r="L27" s="1627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56">
        <v>46276</v>
      </c>
      <c r="B28" s="1455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59">
        <v>6</v>
      </c>
      <c r="J28" s="810">
        <f>(720-G28)/60</f>
        <v>2</v>
      </c>
      <c r="K28" s="813">
        <f>J28/12</f>
        <v>0.16666666666666666</v>
      </c>
      <c r="L28" s="1627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52">
        <v>46277</v>
      </c>
      <c r="B29" s="1653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60"/>
      <c r="J29" s="810">
        <f t="shared" ref="J29:J33" si="15">(720-G29)/60</f>
        <v>0</v>
      </c>
      <c r="K29" s="813">
        <f t="shared" ref="K29:K33" si="16">J29/12</f>
        <v>0</v>
      </c>
      <c r="L29" s="1626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54">
        <v>46277</v>
      </c>
      <c r="B30" s="1655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60"/>
      <c r="J30" s="810">
        <f t="shared" si="15"/>
        <v>0</v>
      </c>
      <c r="K30" s="813">
        <f t="shared" si="16"/>
        <v>0</v>
      </c>
      <c r="L30" s="1626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56">
        <v>46278</v>
      </c>
      <c r="B31" s="1455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60"/>
      <c r="J31" s="810">
        <f t="shared" si="15"/>
        <v>0</v>
      </c>
      <c r="K31" s="813">
        <f t="shared" si="16"/>
        <v>0</v>
      </c>
      <c r="L31" s="1626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57">
        <v>46278</v>
      </c>
      <c r="B32" s="1457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60"/>
      <c r="J32" s="810">
        <f t="shared" si="15"/>
        <v>0</v>
      </c>
      <c r="K32" s="813">
        <f t="shared" si="16"/>
        <v>0</v>
      </c>
      <c r="L32" s="1626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58">
        <v>46279</v>
      </c>
      <c r="B33" s="1459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61"/>
      <c r="J33" s="810">
        <f t="shared" si="15"/>
        <v>0</v>
      </c>
      <c r="K33" s="813">
        <f t="shared" si="16"/>
        <v>0</v>
      </c>
      <c r="L33" s="1627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41">
        <v>46279</v>
      </c>
      <c r="B34" s="1642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29">
        <v>7</v>
      </c>
      <c r="J34" s="809">
        <f>(720-G34)/60</f>
        <v>10</v>
      </c>
      <c r="K34" s="812">
        <f>J34/12</f>
        <v>0.83333333333333337</v>
      </c>
      <c r="L34" s="1627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34">
        <v>46280</v>
      </c>
      <c r="B35" s="1445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88"/>
      <c r="J35" s="809">
        <f t="shared" ref="J35:J36" si="20">(720-G35)/60</f>
        <v>12</v>
      </c>
      <c r="K35" s="812">
        <f t="shared" ref="K35:K36" si="21">J35/12</f>
        <v>1</v>
      </c>
      <c r="L35" s="1609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34">
        <v>46280</v>
      </c>
      <c r="B36" s="1445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89"/>
      <c r="J36" s="809">
        <f t="shared" si="20"/>
        <v>12</v>
      </c>
      <c r="K36" s="812">
        <f t="shared" si="21"/>
        <v>1</v>
      </c>
      <c r="L36" s="1609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43">
        <v>46281</v>
      </c>
      <c r="B37" s="1426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30">
        <v>8</v>
      </c>
      <c r="J37" s="810">
        <f>(720-G37)/60</f>
        <v>12</v>
      </c>
      <c r="K37" s="813">
        <f>J37/12</f>
        <v>1</v>
      </c>
      <c r="L37" s="1626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43">
        <v>46281</v>
      </c>
      <c r="B38" s="1426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31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26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43">
        <v>46282</v>
      </c>
      <c r="B39" s="1426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31"/>
      <c r="J39" s="810">
        <f t="shared" si="22"/>
        <v>12</v>
      </c>
      <c r="K39" s="813">
        <f t="shared" si="23"/>
        <v>1</v>
      </c>
      <c r="L39" s="1626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35">
        <v>46282</v>
      </c>
      <c r="B40" s="1636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32"/>
      <c r="J40" s="939">
        <f t="shared" si="22"/>
        <v>12</v>
      </c>
      <c r="K40" s="940">
        <f t="shared" si="23"/>
        <v>1</v>
      </c>
      <c r="L40" s="1626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37">
        <v>46283</v>
      </c>
      <c r="B41" s="1638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06">
        <v>9</v>
      </c>
      <c r="J41" s="994">
        <f t="shared" si="22"/>
        <v>9.0833333333333339</v>
      </c>
      <c r="K41" s="995">
        <f t="shared" si="23"/>
        <v>0.75694444444444453</v>
      </c>
      <c r="L41" s="1628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37">
        <v>46283</v>
      </c>
      <c r="B42" s="1638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07"/>
      <c r="J42" s="994">
        <f t="shared" si="22"/>
        <v>12</v>
      </c>
      <c r="K42" s="995">
        <f t="shared" si="23"/>
        <v>1</v>
      </c>
      <c r="L42" s="1628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37">
        <v>46284</v>
      </c>
      <c r="B43" s="1638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07"/>
      <c r="J43" s="994">
        <f t="shared" si="22"/>
        <v>12</v>
      </c>
      <c r="K43" s="995">
        <f t="shared" si="23"/>
        <v>1</v>
      </c>
      <c r="L43" s="1628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37">
        <v>46284</v>
      </c>
      <c r="B44" s="1638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08"/>
      <c r="J44" s="994">
        <f t="shared" si="22"/>
        <v>6</v>
      </c>
      <c r="K44" s="995">
        <f t="shared" si="23"/>
        <v>0.5</v>
      </c>
      <c r="L44" s="1628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35">
        <v>46285</v>
      </c>
      <c r="B45" s="1636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03">
        <v>10</v>
      </c>
      <c r="J45" s="939">
        <f t="shared" si="22"/>
        <v>0</v>
      </c>
      <c r="K45" s="940">
        <f t="shared" si="23"/>
        <v>0</v>
      </c>
      <c r="L45" s="1619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35">
        <v>46285</v>
      </c>
      <c r="B46" s="1636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04"/>
      <c r="J46" s="939">
        <f t="shared" si="22"/>
        <v>0</v>
      </c>
      <c r="K46" s="940">
        <f t="shared" si="23"/>
        <v>0</v>
      </c>
      <c r="L46" s="1619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35">
        <v>46286</v>
      </c>
      <c r="B47" s="1636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04"/>
      <c r="J47" s="939">
        <f>(720-G47)/60</f>
        <v>2.4166666666666665</v>
      </c>
      <c r="K47" s="940">
        <f t="shared" si="23"/>
        <v>0.20138888888888887</v>
      </c>
      <c r="L47" s="1619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35">
        <v>46286</v>
      </c>
      <c r="B48" s="1636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04"/>
      <c r="J48" s="939">
        <f t="shared" si="22"/>
        <v>11.5</v>
      </c>
      <c r="K48" s="940">
        <f t="shared" si="23"/>
        <v>0.95833333333333337</v>
      </c>
      <c r="L48" s="1619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35">
        <v>46287</v>
      </c>
      <c r="B49" s="1636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04"/>
      <c r="J49" s="939">
        <f t="shared" si="22"/>
        <v>12</v>
      </c>
      <c r="K49" s="940">
        <f t="shared" si="23"/>
        <v>1</v>
      </c>
      <c r="L49" s="1619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35">
        <v>46287</v>
      </c>
      <c r="B50" s="1636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04"/>
      <c r="J50" s="939">
        <f t="shared" si="22"/>
        <v>9.25</v>
      </c>
      <c r="K50" s="940">
        <f t="shared" si="23"/>
        <v>0.77083333333333337</v>
      </c>
      <c r="L50" s="1619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35">
        <v>46288</v>
      </c>
      <c r="B51" s="1636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04"/>
      <c r="J51" s="939">
        <f t="shared" si="22"/>
        <v>7.5</v>
      </c>
      <c r="K51" s="940">
        <f t="shared" si="23"/>
        <v>0.625</v>
      </c>
      <c r="L51" s="1619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35">
        <v>46288</v>
      </c>
      <c r="B52" s="1636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04"/>
      <c r="J52" s="939">
        <f t="shared" si="22"/>
        <v>12</v>
      </c>
      <c r="K52" s="940">
        <f t="shared" si="23"/>
        <v>1</v>
      </c>
      <c r="L52" s="1619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35">
        <v>46289</v>
      </c>
      <c r="B53" s="1636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05"/>
      <c r="J53" s="939">
        <f t="shared" si="22"/>
        <v>12</v>
      </c>
      <c r="K53" s="940">
        <f t="shared" si="23"/>
        <v>1</v>
      </c>
      <c r="L53" s="1619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37">
        <v>46289</v>
      </c>
      <c r="B54" s="1638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06">
        <v>11</v>
      </c>
      <c r="J54" s="994">
        <f t="shared" si="22"/>
        <v>12</v>
      </c>
      <c r="K54" s="995">
        <f t="shared" si="23"/>
        <v>1</v>
      </c>
      <c r="L54" s="1619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37">
        <v>46290</v>
      </c>
      <c r="B55" s="1638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07"/>
      <c r="J55" s="994">
        <f t="shared" si="22"/>
        <v>9.3166666666666664</v>
      </c>
      <c r="K55" s="995">
        <f t="shared" si="23"/>
        <v>0.77638888888888891</v>
      </c>
      <c r="L55" s="1633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37">
        <v>46290</v>
      </c>
      <c r="B56" s="1638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07"/>
      <c r="J56" s="994">
        <f t="shared" si="22"/>
        <v>0</v>
      </c>
      <c r="K56" s="995">
        <f t="shared" si="23"/>
        <v>0</v>
      </c>
      <c r="L56" s="1633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37">
        <v>46291</v>
      </c>
      <c r="B57" s="1638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07"/>
      <c r="J57" s="994">
        <f t="shared" si="22"/>
        <v>0</v>
      </c>
      <c r="K57" s="995">
        <f t="shared" si="23"/>
        <v>0</v>
      </c>
      <c r="L57" s="1633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37">
        <v>46291</v>
      </c>
      <c r="B58" s="1638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08"/>
      <c r="J58" s="994">
        <f t="shared" si="22"/>
        <v>0</v>
      </c>
      <c r="K58" s="995">
        <f t="shared" si="23"/>
        <v>0</v>
      </c>
      <c r="L58" s="1633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35">
        <v>46292</v>
      </c>
      <c r="B59" s="1636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03">
        <v>12</v>
      </c>
      <c r="J59" s="939">
        <f t="shared" si="22"/>
        <v>8</v>
      </c>
      <c r="K59" s="940">
        <f t="shared" si="23"/>
        <v>0.66666666666666663</v>
      </c>
      <c r="L59" s="1618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35">
        <v>46292</v>
      </c>
      <c r="B60" s="1636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04"/>
      <c r="J60" s="939">
        <f t="shared" si="22"/>
        <v>11</v>
      </c>
      <c r="K60" s="940">
        <f t="shared" si="23"/>
        <v>0.91666666666666663</v>
      </c>
      <c r="L60" s="1618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35">
        <v>46293</v>
      </c>
      <c r="B61" s="1636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04"/>
      <c r="J61" s="939">
        <f t="shared" si="22"/>
        <v>12</v>
      </c>
      <c r="K61" s="940">
        <f t="shared" si="23"/>
        <v>1</v>
      </c>
      <c r="L61" s="1618">
        <f>SUM(J61:J62)/24</f>
        <v>1</v>
      </c>
      <c r="M61" s="43"/>
      <c r="Q61" s="10"/>
    </row>
    <row r="62" spans="1:20" ht="28.8" x14ac:dyDescent="0.3">
      <c r="A62" s="1635">
        <v>46293</v>
      </c>
      <c r="B62" s="1636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04"/>
      <c r="J62" s="939">
        <f t="shared" si="22"/>
        <v>12</v>
      </c>
      <c r="K62" s="940">
        <f t="shared" si="23"/>
        <v>1</v>
      </c>
      <c r="L62" s="1618"/>
      <c r="N62" s="10"/>
      <c r="P62" s="10"/>
    </row>
    <row r="63" spans="1:20" x14ac:dyDescent="0.3">
      <c r="A63" s="1635">
        <v>46294</v>
      </c>
      <c r="B63" s="1636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05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45">
        <v>46294</v>
      </c>
      <c r="B64" s="1434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45">
        <v>46295</v>
      </c>
      <c r="B65" s="1434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45">
        <v>46295</v>
      </c>
      <c r="B66" s="1434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635">
        <v>46296</v>
      </c>
      <c r="B67" s="1636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622">
        <f>SUM(J67:J68)/24</f>
        <v>0</v>
      </c>
      <c r="M67" s="29"/>
    </row>
    <row r="68" spans="1:19" x14ac:dyDescent="0.3">
      <c r="A68" s="1635">
        <v>46296</v>
      </c>
      <c r="B68" s="1636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623"/>
      <c r="S68" s="1057" t="s">
        <v>657</v>
      </c>
    </row>
    <row r="69" spans="1:19" x14ac:dyDescent="0.3">
      <c r="A69" s="1635">
        <v>46297</v>
      </c>
      <c r="B69" s="1636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622">
        <f t="shared" ref="L69" si="33">SUM(J69:J70)/24</f>
        <v>0</v>
      </c>
    </row>
    <row r="70" spans="1:19" x14ac:dyDescent="0.3">
      <c r="A70" s="1635">
        <v>46297</v>
      </c>
      <c r="B70" s="1636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23"/>
    </row>
    <row r="71" spans="1:19" x14ac:dyDescent="0.3">
      <c r="A71" s="1635">
        <v>46298</v>
      </c>
      <c r="B71" s="1636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622">
        <f t="shared" ref="L71:L73" si="37">SUM(J71:J72)/24</f>
        <v>0</v>
      </c>
    </row>
    <row r="72" spans="1:19" x14ac:dyDescent="0.3">
      <c r="A72" s="1635">
        <v>46298</v>
      </c>
      <c r="B72" s="1636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623"/>
    </row>
    <row r="73" spans="1:19" x14ac:dyDescent="0.3">
      <c r="A73" s="1637">
        <v>46299</v>
      </c>
      <c r="B73" s="1638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624">
        <f t="shared" si="37"/>
        <v>0.99305555555555569</v>
      </c>
    </row>
    <row r="74" spans="1:19" x14ac:dyDescent="0.3">
      <c r="A74" s="1637">
        <v>46299</v>
      </c>
      <c r="B74" s="1638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606">
        <v>13</v>
      </c>
      <c r="J74" s="994">
        <f t="shared" si="35"/>
        <v>11.833333333333334</v>
      </c>
      <c r="K74" s="995">
        <f t="shared" si="36"/>
        <v>0.98611111111111116</v>
      </c>
      <c r="L74" s="1625"/>
    </row>
    <row r="75" spans="1:19" x14ac:dyDescent="0.3">
      <c r="A75" s="1637">
        <v>46300</v>
      </c>
      <c r="B75" s="1638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607"/>
      <c r="J75" s="994">
        <f t="shared" si="35"/>
        <v>12</v>
      </c>
      <c r="K75" s="995">
        <f t="shared" si="36"/>
        <v>1</v>
      </c>
      <c r="L75" s="1624">
        <f>SUM(J75:J76)/24</f>
        <v>0.5</v>
      </c>
    </row>
    <row r="76" spans="1:19" x14ac:dyDescent="0.3">
      <c r="A76" s="1637">
        <v>46300</v>
      </c>
      <c r="B76" s="1638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607"/>
      <c r="J76" s="994">
        <f t="shared" si="35"/>
        <v>0</v>
      </c>
      <c r="K76" s="995">
        <f t="shared" si="36"/>
        <v>0</v>
      </c>
      <c r="L76" s="1625"/>
    </row>
    <row r="77" spans="1:19" x14ac:dyDescent="0.3">
      <c r="A77" s="1637">
        <v>46301</v>
      </c>
      <c r="B77" s="1638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1" si="38">(F77-E77)*1440</f>
        <v>720</v>
      </c>
      <c r="H77" s="1198" t="s">
        <v>778</v>
      </c>
      <c r="I77" s="1608"/>
      <c r="J77" s="994">
        <f t="shared" ref="J77:J141" si="39">(720-G77)/60</f>
        <v>0</v>
      </c>
      <c r="K77" s="995">
        <f t="shared" ref="K77:K141" si="40">J77/12</f>
        <v>0</v>
      </c>
      <c r="L77" s="1624">
        <f>SUM(J77:J78)/24</f>
        <v>0.16666666666666666</v>
      </c>
    </row>
    <row r="78" spans="1:19" x14ac:dyDescent="0.3">
      <c r="A78" s="1635">
        <v>46301</v>
      </c>
      <c r="B78" s="1636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603">
        <v>14</v>
      </c>
      <c r="J78" s="939">
        <f t="shared" si="39"/>
        <v>4</v>
      </c>
      <c r="K78" s="940">
        <f t="shared" si="40"/>
        <v>0.33333333333333331</v>
      </c>
      <c r="L78" s="1625"/>
    </row>
    <row r="79" spans="1:19" ht="28.8" x14ac:dyDescent="0.3">
      <c r="A79" s="1635">
        <v>46302</v>
      </c>
      <c r="B79" s="1636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604"/>
      <c r="J79" s="939">
        <f t="shared" si="39"/>
        <v>12</v>
      </c>
      <c r="K79" s="940">
        <f t="shared" si="40"/>
        <v>1</v>
      </c>
      <c r="L79" s="1622">
        <f>SUM(J79:J80)/24</f>
        <v>0.98611111111111105</v>
      </c>
    </row>
    <row r="80" spans="1:19" x14ac:dyDescent="0.3">
      <c r="A80" s="1635">
        <v>46302</v>
      </c>
      <c r="B80" s="1636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605"/>
      <c r="J80" s="939">
        <f t="shared" si="39"/>
        <v>11.666666666666666</v>
      </c>
      <c r="K80" s="940">
        <f t="shared" si="40"/>
        <v>0.97222222222222221</v>
      </c>
      <c r="L80" s="1623"/>
    </row>
    <row r="81" spans="1:12" x14ac:dyDescent="0.3">
      <c r="A81" s="1662">
        <v>46303</v>
      </c>
      <c r="B81" s="1663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613">
        <v>15</v>
      </c>
      <c r="J81" s="1219">
        <f t="shared" si="39"/>
        <v>12</v>
      </c>
      <c r="K81" s="1220">
        <f t="shared" si="40"/>
        <v>1</v>
      </c>
      <c r="L81" s="1622">
        <f>SUM(J81:J82)/24</f>
        <v>0.97916666666666663</v>
      </c>
    </row>
    <row r="82" spans="1:12" x14ac:dyDescent="0.3">
      <c r="A82" s="1662">
        <v>46303</v>
      </c>
      <c r="B82" s="1663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614"/>
      <c r="J82" s="1219">
        <f t="shared" si="39"/>
        <v>11.5</v>
      </c>
      <c r="K82" s="1220">
        <f t="shared" si="40"/>
        <v>0.95833333333333337</v>
      </c>
      <c r="L82" s="1623"/>
    </row>
    <row r="83" spans="1:12" x14ac:dyDescent="0.3">
      <c r="A83" s="1662">
        <v>46304</v>
      </c>
      <c r="B83" s="1663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15"/>
      <c r="J83" s="1219">
        <f t="shared" si="39"/>
        <v>10</v>
      </c>
      <c r="K83" s="1220">
        <f t="shared" si="40"/>
        <v>0.83333333333333337</v>
      </c>
      <c r="L83" s="1622">
        <f>SUM(J83:J84)/24</f>
        <v>0.91666666666666663</v>
      </c>
    </row>
    <row r="84" spans="1:12" x14ac:dyDescent="0.3">
      <c r="A84" s="1645">
        <v>46304</v>
      </c>
      <c r="B84" s="1434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623"/>
    </row>
    <row r="85" spans="1:12" ht="28.8" x14ac:dyDescent="0.3">
      <c r="A85" s="1645">
        <v>46305</v>
      </c>
      <c r="B85" s="1434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622">
        <f>SUM(J85:J86)/24</f>
        <v>0.8965277777777777</v>
      </c>
    </row>
    <row r="86" spans="1:12" ht="28.8" x14ac:dyDescent="0.3">
      <c r="A86" s="1635">
        <v>46305</v>
      </c>
      <c r="B86" s="1636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603">
        <v>16</v>
      </c>
      <c r="J86" s="939">
        <f t="shared" si="39"/>
        <v>9.5166666666666675</v>
      </c>
      <c r="K86" s="940">
        <f t="shared" si="40"/>
        <v>0.79305555555555562</v>
      </c>
      <c r="L86" s="1623"/>
    </row>
    <row r="87" spans="1:12" ht="28.8" x14ac:dyDescent="0.3">
      <c r="A87" s="1635">
        <v>46306</v>
      </c>
      <c r="B87" s="1636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604"/>
      <c r="J87" s="939">
        <f t="shared" si="39"/>
        <v>5.0166666666666675</v>
      </c>
      <c r="K87" s="940">
        <f t="shared" si="40"/>
        <v>0.41805555555555562</v>
      </c>
      <c r="L87" s="1622">
        <f>SUM(J87:J88)/24</f>
        <v>0.7090277777777777</v>
      </c>
    </row>
    <row r="88" spans="1:12" x14ac:dyDescent="0.3">
      <c r="A88" s="1635">
        <v>46306</v>
      </c>
      <c r="B88" s="1636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605"/>
      <c r="J88" s="939">
        <f t="shared" si="39"/>
        <v>12</v>
      </c>
      <c r="K88" s="940">
        <f t="shared" si="40"/>
        <v>1</v>
      </c>
      <c r="L88" s="1623"/>
    </row>
    <row r="89" spans="1:12" x14ac:dyDescent="0.3">
      <c r="A89" s="1664">
        <v>46307</v>
      </c>
      <c r="B89" s="1665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610">
        <v>17</v>
      </c>
      <c r="J89" s="1252">
        <f t="shared" si="39"/>
        <v>12</v>
      </c>
      <c r="K89" s="1271">
        <f t="shared" si="40"/>
        <v>1</v>
      </c>
      <c r="L89" s="1622">
        <f>SUM(J89:J90)/24</f>
        <v>1</v>
      </c>
    </row>
    <row r="90" spans="1:12" x14ac:dyDescent="0.3">
      <c r="A90" s="1664">
        <v>46307</v>
      </c>
      <c r="B90" s="1665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611"/>
      <c r="J90" s="1252">
        <f t="shared" si="39"/>
        <v>12</v>
      </c>
      <c r="K90" s="1271">
        <f t="shared" si="40"/>
        <v>1</v>
      </c>
      <c r="L90" s="1623"/>
    </row>
    <row r="91" spans="1:12" ht="28.2" customHeight="1" x14ac:dyDescent="0.3">
      <c r="A91" s="1664">
        <v>46308</v>
      </c>
      <c r="B91" s="1665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612"/>
      <c r="J91" s="1252">
        <f t="shared" si="39"/>
        <v>5.666666666666667</v>
      </c>
      <c r="K91" s="1271">
        <f t="shared" si="40"/>
        <v>0.47222222222222227</v>
      </c>
      <c r="L91" s="1620">
        <f>SUM(J91:J92)/24</f>
        <v>0.73611111111111116</v>
      </c>
    </row>
    <row r="92" spans="1:12" x14ac:dyDescent="0.3">
      <c r="A92" s="1635">
        <v>46308</v>
      </c>
      <c r="B92" s="1636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603">
        <v>18</v>
      </c>
      <c r="J92" s="939">
        <f t="shared" si="39"/>
        <v>12</v>
      </c>
      <c r="K92" s="940">
        <f t="shared" si="40"/>
        <v>1</v>
      </c>
      <c r="L92" s="1621"/>
    </row>
    <row r="93" spans="1:12" s="951" customFormat="1" x14ac:dyDescent="0.3">
      <c r="A93" s="1635">
        <v>46309</v>
      </c>
      <c r="B93" s="1636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604"/>
      <c r="J93" s="939">
        <f t="shared" si="39"/>
        <v>12</v>
      </c>
      <c r="K93" s="940">
        <f t="shared" si="40"/>
        <v>1</v>
      </c>
      <c r="L93" s="1620">
        <f>SUM(J93:J94)/24</f>
        <v>1</v>
      </c>
    </row>
    <row r="94" spans="1:12" s="951" customFormat="1" ht="28.8" x14ac:dyDescent="0.3">
      <c r="A94" s="1635">
        <v>46309</v>
      </c>
      <c r="B94" s="1636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605"/>
      <c r="J94" s="939">
        <f t="shared" si="39"/>
        <v>12</v>
      </c>
      <c r="K94" s="940">
        <f t="shared" si="40"/>
        <v>1</v>
      </c>
      <c r="L94" s="1621"/>
    </row>
    <row r="95" spans="1:12" x14ac:dyDescent="0.3">
      <c r="A95" s="1664">
        <v>46310</v>
      </c>
      <c r="B95" s="1665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610">
        <v>19</v>
      </c>
      <c r="J95" s="1252">
        <f t="shared" si="39"/>
        <v>12</v>
      </c>
      <c r="K95" s="1271">
        <f t="shared" si="40"/>
        <v>1</v>
      </c>
      <c r="L95" s="1616">
        <f>SUM(J95:J96)/24</f>
        <v>1</v>
      </c>
    </row>
    <row r="96" spans="1:12" ht="28.8" x14ac:dyDescent="0.3">
      <c r="A96" s="1664">
        <v>46310</v>
      </c>
      <c r="B96" s="1665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611"/>
      <c r="J96" s="1252">
        <f t="shared" si="39"/>
        <v>12</v>
      </c>
      <c r="K96" s="1271">
        <f t="shared" si="40"/>
        <v>1</v>
      </c>
      <c r="L96" s="1617"/>
    </row>
    <row r="97" spans="1:12" x14ac:dyDescent="0.3">
      <c r="A97" s="1664">
        <v>46311</v>
      </c>
      <c r="B97" s="1665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612"/>
      <c r="J97" s="1252">
        <f t="shared" si="39"/>
        <v>12</v>
      </c>
      <c r="K97" s="1271">
        <f t="shared" si="40"/>
        <v>1</v>
      </c>
      <c r="L97" s="1616">
        <f>SUM(J97:J98)/24</f>
        <v>1</v>
      </c>
    </row>
    <row r="98" spans="1:12" s="951" customFormat="1" x14ac:dyDescent="0.3">
      <c r="A98" s="1635">
        <v>46311</v>
      </c>
      <c r="B98" s="1636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603">
        <v>20</v>
      </c>
      <c r="J98" s="939">
        <f t="shared" si="39"/>
        <v>12</v>
      </c>
      <c r="K98" s="940">
        <f t="shared" si="40"/>
        <v>1</v>
      </c>
      <c r="L98" s="1617"/>
    </row>
    <row r="99" spans="1:12" x14ac:dyDescent="0.3">
      <c r="A99" s="1635">
        <v>46312</v>
      </c>
      <c r="B99" s="1636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604"/>
      <c r="J99" s="939">
        <f t="shared" si="39"/>
        <v>12</v>
      </c>
      <c r="K99" s="940">
        <f t="shared" si="40"/>
        <v>1</v>
      </c>
      <c r="L99" s="1620">
        <f>SUM(J99:J100)/24</f>
        <v>1</v>
      </c>
    </row>
    <row r="100" spans="1:12" x14ac:dyDescent="0.3">
      <c r="A100" s="1635">
        <v>46312</v>
      </c>
      <c r="B100" s="1636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605"/>
      <c r="J100" s="939">
        <f t="shared" si="39"/>
        <v>12</v>
      </c>
      <c r="K100" s="940">
        <f t="shared" si="40"/>
        <v>1</v>
      </c>
      <c r="L100" s="1621"/>
    </row>
    <row r="101" spans="1:12" s="1340" customFormat="1" x14ac:dyDescent="0.3">
      <c r="A101" s="1664">
        <v>46313</v>
      </c>
      <c r="B101" s="1665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821">
        <v>21</v>
      </c>
      <c r="J101" s="1252">
        <f t="shared" si="39"/>
        <v>10.916666666666666</v>
      </c>
      <c r="K101" s="1271">
        <f t="shared" si="40"/>
        <v>0.90972222222222221</v>
      </c>
      <c r="L101" s="1620">
        <f>SUM(J101:J102)/24</f>
        <v>0.67013888888888884</v>
      </c>
    </row>
    <row r="102" spans="1:12" s="1340" customFormat="1" ht="28.8" x14ac:dyDescent="0.3">
      <c r="A102" s="1664">
        <v>46313</v>
      </c>
      <c r="B102" s="1665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822"/>
      <c r="J102" s="1252">
        <f t="shared" si="39"/>
        <v>5.166666666666667</v>
      </c>
      <c r="K102" s="1271">
        <f t="shared" si="40"/>
        <v>0.43055555555555558</v>
      </c>
      <c r="L102" s="1621"/>
    </row>
    <row r="103" spans="1:12" x14ac:dyDescent="0.3">
      <c r="A103" s="1664">
        <v>46314</v>
      </c>
      <c r="B103" s="1665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822"/>
      <c r="J103" s="1252">
        <f t="shared" si="39"/>
        <v>10.516666666666667</v>
      </c>
      <c r="K103" s="1271">
        <f t="shared" si="40"/>
        <v>0.87638888888888899</v>
      </c>
      <c r="L103" s="1620">
        <f>SUM(J103:J104)/24</f>
        <v>0.93819444444444444</v>
      </c>
    </row>
    <row r="104" spans="1:12" s="1340" customFormat="1" x14ac:dyDescent="0.3">
      <c r="A104" s="1664">
        <v>46314</v>
      </c>
      <c r="B104" s="1665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820" t="s">
        <v>933</v>
      </c>
      <c r="I104" s="1823"/>
      <c r="J104" s="1252">
        <f t="shared" si="39"/>
        <v>12</v>
      </c>
      <c r="K104" s="1271">
        <f t="shared" si="40"/>
        <v>1</v>
      </c>
      <c r="L104" s="1621"/>
    </row>
    <row r="105" spans="1:12" s="951" customFormat="1" ht="31.2" x14ac:dyDescent="0.3">
      <c r="A105" s="1824">
        <v>46314</v>
      </c>
      <c r="B105" s="1825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826" t="s">
        <v>934</v>
      </c>
      <c r="I105" s="1827">
        <v>22</v>
      </c>
      <c r="J105" s="939">
        <f t="shared" si="39"/>
        <v>12</v>
      </c>
      <c r="K105" s="940">
        <f t="shared" si="40"/>
        <v>1</v>
      </c>
      <c r="L105" s="1620">
        <f>SUM(J105:J106)/24</f>
        <v>1</v>
      </c>
    </row>
    <row r="106" spans="1:12" x14ac:dyDescent="0.3">
      <c r="A106" s="1645">
        <v>46315</v>
      </c>
      <c r="B106" s="1434"/>
      <c r="C106" s="36" t="s">
        <v>12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1621"/>
    </row>
    <row r="107" spans="1:12" x14ac:dyDescent="0.3">
      <c r="A107" s="1645">
        <v>46315</v>
      </c>
      <c r="B107" s="1434"/>
      <c r="C107" s="36" t="s">
        <v>13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645">
        <v>46316</v>
      </c>
      <c r="B108" s="1434"/>
      <c r="C108" s="36" t="s">
        <v>12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645">
        <v>46316</v>
      </c>
      <c r="B109" s="1434"/>
      <c r="C109" s="36" t="s">
        <v>13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645">
        <v>46317</v>
      </c>
      <c r="B110" s="1434"/>
      <c r="C110" s="36" t="s">
        <v>12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645">
        <v>46317</v>
      </c>
      <c r="B111" s="1434"/>
      <c r="C111" s="36" t="s">
        <v>13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645">
        <v>46318</v>
      </c>
      <c r="B112" s="1434"/>
      <c r="C112" s="36" t="s">
        <v>12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645">
        <v>46318</v>
      </c>
      <c r="B113" s="1434"/>
      <c r="C113" s="36" t="s">
        <v>13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645">
        <v>46319</v>
      </c>
      <c r="B114" s="1434"/>
      <c r="C114" s="36" t="s">
        <v>12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645">
        <v>46319</v>
      </c>
      <c r="B115" s="1434"/>
      <c r="C115" s="36" t="s">
        <v>13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645">
        <v>46320</v>
      </c>
      <c r="B116" s="1434"/>
      <c r="C116" s="36" t="s">
        <v>12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645">
        <v>46320</v>
      </c>
      <c r="B117" s="1434"/>
      <c r="C117" s="36" t="s">
        <v>13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645">
        <v>46321</v>
      </c>
      <c r="B118" s="1434"/>
      <c r="C118" s="36" t="s">
        <v>12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645">
        <v>46321</v>
      </c>
      <c r="B119" s="1434"/>
      <c r="C119" s="36" t="s">
        <v>13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645">
        <v>46322</v>
      </c>
      <c r="B120" s="1434"/>
      <c r="C120" s="36" t="s">
        <v>12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645">
        <v>46322</v>
      </c>
      <c r="B121" s="1434"/>
      <c r="C121" s="36" t="s">
        <v>13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645">
        <v>46323</v>
      </c>
      <c r="B122" s="1434"/>
      <c r="C122" s="36" t="s">
        <v>12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645">
        <v>46323</v>
      </c>
      <c r="B123" s="1434"/>
      <c r="C123" s="36" t="s">
        <v>13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645">
        <v>46324</v>
      </c>
      <c r="B124" s="1434"/>
      <c r="C124" s="36" t="s">
        <v>12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645">
        <v>46324</v>
      </c>
      <c r="B125" s="1434"/>
      <c r="C125" s="36" t="s">
        <v>13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645">
        <v>46325</v>
      </c>
      <c r="B126" s="1434"/>
      <c r="C126" s="36" t="s">
        <v>12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645">
        <v>46325</v>
      </c>
      <c r="B127" s="1434"/>
      <c r="C127" s="36" t="s">
        <v>13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45">
        <v>46351</v>
      </c>
      <c r="B128" s="1434"/>
      <c r="C128" s="36" t="s">
        <v>12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45">
        <v>46352</v>
      </c>
      <c r="B129" s="1434"/>
      <c r="C129" s="36" t="s">
        <v>13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45">
        <v>46353</v>
      </c>
      <c r="B130" s="1434"/>
      <c r="C130" s="36" t="s">
        <v>12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45">
        <v>46354</v>
      </c>
      <c r="B131" s="1434"/>
      <c r="C131" s="36" t="s">
        <v>13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45">
        <v>46355</v>
      </c>
      <c r="B132" s="1434"/>
      <c r="C132" s="36" t="s">
        <v>12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45">
        <v>46356</v>
      </c>
      <c r="B133" s="1434"/>
      <c r="C133" s="36" t="s">
        <v>13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45">
        <v>46357</v>
      </c>
      <c r="B134" s="1434"/>
      <c r="C134" s="36" t="s">
        <v>12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45">
        <v>46358</v>
      </c>
      <c r="B135" s="1434"/>
      <c r="C135" s="36" t="s">
        <v>13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45">
        <v>46359</v>
      </c>
      <c r="B136" s="1434"/>
      <c r="C136" s="36" t="s">
        <v>12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45">
        <v>46360</v>
      </c>
      <c r="B137" s="1434"/>
      <c r="C137" s="36" t="s">
        <v>13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45">
        <v>46361</v>
      </c>
      <c r="B138" s="1434"/>
      <c r="C138" s="36" t="s">
        <v>12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45">
        <v>46362</v>
      </c>
      <c r="B139" s="1434"/>
      <c r="C139" s="36" t="s">
        <v>13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45">
        <v>46363</v>
      </c>
      <c r="B140" s="1434"/>
      <c r="C140" s="36" t="s">
        <v>12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45">
        <v>46364</v>
      </c>
      <c r="B141" s="1434"/>
      <c r="C141" s="36" t="s">
        <v>13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645">
        <v>46365</v>
      </c>
      <c r="B142" s="1434"/>
      <c r="C142" s="36" t="s">
        <v>12</v>
      </c>
      <c r="D142" s="65"/>
      <c r="E142" s="67"/>
      <c r="F142" s="67"/>
      <c r="G142" s="496">
        <f t="shared" ref="G142:G180" si="41">(F142-E142)*1440</f>
        <v>0</v>
      </c>
      <c r="H142" s="436"/>
      <c r="I142" s="417"/>
      <c r="J142" s="418">
        <f t="shared" ref="J142:J180" si="42">(720-G142)/60</f>
        <v>12</v>
      </c>
      <c r="K142" s="811">
        <f t="shared" ref="K142:K180" si="43">J142/12</f>
        <v>1</v>
      </c>
      <c r="L142" s="6"/>
    </row>
    <row r="143" spans="1:12" x14ac:dyDescent="0.3">
      <c r="A143" s="1645">
        <v>46366</v>
      </c>
      <c r="B143" s="1434"/>
      <c r="C143" s="36" t="s">
        <v>13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645">
        <v>46367</v>
      </c>
      <c r="B144" s="1434"/>
      <c r="C144" s="36" t="s">
        <v>12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645">
        <v>46368</v>
      </c>
      <c r="B145" s="1434"/>
      <c r="C145" s="36" t="s">
        <v>13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645">
        <v>46369</v>
      </c>
      <c r="B146" s="1434"/>
      <c r="C146" s="36" t="s">
        <v>12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645">
        <v>46370</v>
      </c>
      <c r="B147" s="1434"/>
      <c r="C147" s="36" t="s">
        <v>13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645">
        <v>46371</v>
      </c>
      <c r="B148" s="1434"/>
      <c r="C148" s="36" t="s">
        <v>12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645">
        <v>46372</v>
      </c>
      <c r="B149" s="1434"/>
      <c r="C149" s="36" t="s">
        <v>13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645">
        <v>46373</v>
      </c>
      <c r="B150" s="1434"/>
      <c r="C150" s="36" t="s">
        <v>12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645">
        <v>46374</v>
      </c>
      <c r="B151" s="1434"/>
      <c r="C151" s="36" t="s">
        <v>13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645">
        <v>46375</v>
      </c>
      <c r="B152" s="1434"/>
      <c r="C152" s="36" t="s">
        <v>12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645">
        <v>46376</v>
      </c>
      <c r="B153" s="1434"/>
      <c r="C153" s="36" t="s">
        <v>13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645">
        <v>46377</v>
      </c>
      <c r="B154" s="1434"/>
      <c r="C154" s="36" t="s">
        <v>12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645">
        <v>46378</v>
      </c>
      <c r="B155" s="1434"/>
      <c r="C155" s="36" t="s">
        <v>13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645">
        <v>46379</v>
      </c>
      <c r="B156" s="1434"/>
      <c r="C156" s="36" t="s">
        <v>12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645">
        <v>46380</v>
      </c>
      <c r="B157" s="1434"/>
      <c r="C157" s="36" t="s">
        <v>13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645">
        <v>46381</v>
      </c>
      <c r="B158" s="1434"/>
      <c r="C158" s="36" t="s">
        <v>12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645">
        <v>46382</v>
      </c>
      <c r="B159" s="1434"/>
      <c r="C159" s="36" t="s">
        <v>13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645">
        <v>46383</v>
      </c>
      <c r="B160" s="1434"/>
      <c r="C160" s="36" t="s">
        <v>12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645">
        <v>46384</v>
      </c>
      <c r="B161" s="1434"/>
      <c r="C161" s="36" t="s">
        <v>13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645">
        <v>46385</v>
      </c>
      <c r="B162" s="1434"/>
      <c r="C162" s="36" t="s">
        <v>12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645">
        <v>46386</v>
      </c>
      <c r="B163" s="1434"/>
      <c r="C163" s="36" t="s">
        <v>13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645">
        <v>46387</v>
      </c>
      <c r="B164" s="1434"/>
      <c r="C164" s="36" t="s">
        <v>12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645">
        <v>46388</v>
      </c>
      <c r="B165" s="1434"/>
      <c r="C165" s="36" t="s">
        <v>13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645">
        <v>46389</v>
      </c>
      <c r="B166" s="1434"/>
      <c r="C166" s="36" t="s">
        <v>12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645">
        <v>46390</v>
      </c>
      <c r="B167" s="1434"/>
      <c r="C167" s="36" t="s">
        <v>13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645">
        <v>46391</v>
      </c>
      <c r="B168" s="1434"/>
      <c r="C168" s="36" t="s">
        <v>12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645">
        <v>46392</v>
      </c>
      <c r="B169" s="1434"/>
      <c r="C169" s="36" t="s">
        <v>13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645">
        <v>46393</v>
      </c>
      <c r="B170" s="1434"/>
      <c r="C170" s="36" t="s">
        <v>12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645">
        <v>46394</v>
      </c>
      <c r="B171" s="1434"/>
      <c r="C171" s="36" t="s">
        <v>13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645">
        <v>46395</v>
      </c>
      <c r="B172" s="1434"/>
      <c r="C172" s="36" t="s">
        <v>12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645">
        <v>46396</v>
      </c>
      <c r="B173" s="1434"/>
      <c r="C173" s="36" t="s">
        <v>13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645">
        <v>46397</v>
      </c>
      <c r="B174" s="1434"/>
      <c r="C174" s="36" t="s">
        <v>12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645">
        <v>46398</v>
      </c>
      <c r="B175" s="1434"/>
      <c r="C175" s="36" t="s">
        <v>13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645">
        <v>46399</v>
      </c>
      <c r="B176" s="1434"/>
      <c r="C176" s="36" t="s">
        <v>12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645">
        <v>46400</v>
      </c>
      <c r="B177" s="1434"/>
      <c r="C177" s="36" t="s">
        <v>13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645">
        <v>46401</v>
      </c>
      <c r="B178" s="1434"/>
      <c r="C178" s="36" t="s">
        <v>12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645">
        <v>46402</v>
      </c>
      <c r="B179" s="1434"/>
      <c r="C179" s="36" t="s">
        <v>13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  <row r="180" spans="1:12" x14ac:dyDescent="0.3">
      <c r="A180" s="1645">
        <v>46403</v>
      </c>
      <c r="B180" s="1434"/>
      <c r="C180" s="36" t="s">
        <v>12</v>
      </c>
      <c r="D180" s="65"/>
      <c r="E180" s="67"/>
      <c r="F180" s="67"/>
      <c r="G180" s="496">
        <f t="shared" si="41"/>
        <v>0</v>
      </c>
      <c r="H180" s="436"/>
      <c r="I180" s="417"/>
      <c r="J180" s="418">
        <f t="shared" si="42"/>
        <v>12</v>
      </c>
      <c r="K180" s="811">
        <f t="shared" si="43"/>
        <v>1</v>
      </c>
      <c r="L180" s="6"/>
    </row>
  </sheetData>
  <mergeCells count="248">
    <mergeCell ref="I101:I104"/>
    <mergeCell ref="A105:B105"/>
    <mergeCell ref="L103:L104"/>
    <mergeCell ref="L105:L106"/>
    <mergeCell ref="L101:L102"/>
    <mergeCell ref="L99:L100"/>
    <mergeCell ref="A179:B179"/>
    <mergeCell ref="A180:B180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52:B152"/>
    <mergeCell ref="A160:B160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39:B139"/>
    <mergeCell ref="A140:B140"/>
    <mergeCell ref="A141:B141"/>
    <mergeCell ref="A142:B142"/>
    <mergeCell ref="A155:B155"/>
    <mergeCell ref="A156:B156"/>
    <mergeCell ref="A157:B157"/>
    <mergeCell ref="A158:B158"/>
    <mergeCell ref="A159:B159"/>
    <mergeCell ref="A153:B153"/>
    <mergeCell ref="A154:B154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1:B111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</mergeCells>
  <phoneticPr fontId="108" type="noConversion"/>
  <dataValidations count="2">
    <dataValidation type="list" allowBlank="1" showInputMessage="1" showErrorMessage="1" sqref="C14:C180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06" zoomScale="85" zoomScaleNormal="85" workbookViewId="0">
      <selection activeCell="O128" sqref="O128:T133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69" t="s">
        <v>70</v>
      </c>
      <c r="C3" s="1669" t="s">
        <v>287</v>
      </c>
      <c r="D3" s="1669" t="s">
        <v>288</v>
      </c>
      <c r="E3" s="220" t="s">
        <v>291</v>
      </c>
      <c r="F3" s="220" t="s">
        <v>292</v>
      </c>
      <c r="G3" s="1501" t="s">
        <v>251</v>
      </c>
      <c r="H3" s="1502"/>
      <c r="I3" s="1502"/>
      <c r="J3" s="1503"/>
      <c r="K3" s="1672" t="s">
        <v>258</v>
      </c>
    </row>
    <row r="4" spans="2:20" x14ac:dyDescent="0.3">
      <c r="B4" s="1670"/>
      <c r="C4" s="1670"/>
      <c r="D4" s="1670"/>
      <c r="E4" s="221" t="s">
        <v>54</v>
      </c>
      <c r="F4" s="221" t="s">
        <v>293</v>
      </c>
      <c r="G4" s="1501" t="s">
        <v>264</v>
      </c>
      <c r="H4" s="1502"/>
      <c r="I4" s="1503"/>
      <c r="J4" s="131" t="s">
        <v>257</v>
      </c>
      <c r="K4" s="1672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71"/>
      <c r="C5" s="1671"/>
      <c r="D5" s="1671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72"/>
      <c r="O5" s="482" t="s">
        <v>478</v>
      </c>
      <c r="P5" s="1587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88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88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89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84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85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85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86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87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88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88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88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88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89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84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85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85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85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85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85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"/>
      <c r="H25" s="13"/>
      <c r="I25" s="13"/>
      <c r="J25" s="13"/>
      <c r="K25" s="6"/>
      <c r="O25" s="487" t="s">
        <v>531</v>
      </c>
      <c r="P25" s="1585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85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86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587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588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588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88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88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89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84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85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85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85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85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85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85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85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86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03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04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04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04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04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05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87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88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88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88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88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88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88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88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89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03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04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04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04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04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04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04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04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04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05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87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88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88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88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88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88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88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88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88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88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88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89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03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04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04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04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04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04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04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04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04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04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04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04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04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04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04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04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04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04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04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04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05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87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88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88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88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88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89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03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04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04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04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04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04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673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88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88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88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88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88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04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04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04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07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07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07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07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607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608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577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78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78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78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78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579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666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67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67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67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667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667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667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667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67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67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68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600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601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601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601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601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601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601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601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601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601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601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601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601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602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x14ac:dyDescent="0.3">
      <c r="O159" s="451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5"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  <mergeCell ref="P101:P106"/>
    <mergeCell ref="P107:P112"/>
    <mergeCell ref="P80:P100"/>
    <mergeCell ref="P68:P79"/>
    <mergeCell ref="P58:P67"/>
    <mergeCell ref="P134:P144"/>
    <mergeCell ref="P128:P133"/>
    <mergeCell ref="P122:P127"/>
    <mergeCell ref="P113:P118"/>
    <mergeCell ref="P119:P121"/>
  </mergeCells>
  <phoneticPr fontId="108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53" zoomScale="89" workbookViewId="0">
      <selection activeCell="P70" sqref="P7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73" t="s">
        <v>560</v>
      </c>
      <c r="C2" s="1473"/>
      <c r="D2" s="1473"/>
      <c r="E2" s="1473"/>
      <c r="F2" s="1473"/>
      <c r="G2" s="1473"/>
      <c r="H2" s="1473"/>
      <c r="J2" s="1473" t="s">
        <v>561</v>
      </c>
      <c r="K2" s="1473"/>
      <c r="L2" s="1473"/>
      <c r="M2" s="1473"/>
      <c r="N2" s="1473"/>
      <c r="O2" s="1473"/>
      <c r="P2" s="1473"/>
      <c r="R2" s="1674" t="s">
        <v>562</v>
      </c>
      <c r="S2" s="1676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74" t="s">
        <v>565</v>
      </c>
      <c r="S10" s="1675"/>
      <c r="T10" s="1676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77">
        <f>SUM(P4:P234,H4:H233)</f>
        <v>6269.4599999999982</v>
      </c>
      <c r="S11" s="1678"/>
      <c r="T11" s="1679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81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81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81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81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80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80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80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80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80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80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80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80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80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80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80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70" si="19">N64*(1-O64)</f>
        <v>67.2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23" zoomScale="87" zoomScaleNormal="55" workbookViewId="0">
      <selection activeCell="H45" sqref="H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82" t="s">
        <v>662</v>
      </c>
      <c r="C2" s="1683"/>
      <c r="D2" s="1683"/>
      <c r="E2" s="1683"/>
      <c r="F2" s="1683"/>
      <c r="G2" s="1683"/>
      <c r="H2" s="1683"/>
      <c r="I2" s="1683"/>
      <c r="J2" s="1683"/>
      <c r="K2" s="1683"/>
      <c r="L2" s="1683"/>
      <c r="M2" s="1684"/>
      <c r="AE2" s="935">
        <v>2</v>
      </c>
      <c r="AF2" s="6">
        <v>7.5999999999999998E-2</v>
      </c>
    </row>
    <row r="3" spans="2:32" ht="15" thickBot="1" x14ac:dyDescent="0.35">
      <c r="B3" s="1682" t="s">
        <v>197</v>
      </c>
      <c r="C3" s="1683"/>
      <c r="D3" s="1683"/>
      <c r="E3" s="1683"/>
      <c r="F3" s="1683"/>
      <c r="G3" s="1683"/>
      <c r="H3" s="1683"/>
      <c r="I3" s="1683"/>
      <c r="J3" s="1683"/>
      <c r="K3" s="1683"/>
      <c r="L3" s="1683"/>
      <c r="M3" s="1684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73" t="s">
        <v>335</v>
      </c>
      <c r="R7" s="1473"/>
      <c r="S7" s="1473"/>
      <c r="T7" s="1473"/>
      <c r="U7" s="1473"/>
      <c r="V7" s="1473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85"/>
      <c r="AI42" s="1461"/>
      <c r="AJ42" s="1461"/>
      <c r="AK42" s="1461"/>
      <c r="AL42" s="1461"/>
      <c r="AM42" s="1686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87" t="s">
        <v>420</v>
      </c>
      <c r="C114" s="1687"/>
      <c r="D114" s="1687"/>
      <c r="E114" s="1687"/>
      <c r="F114" s="1687"/>
      <c r="G114" s="1687"/>
      <c r="H114" s="1687"/>
      <c r="I114" s="1687"/>
      <c r="J114" s="1687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87"/>
      <c r="C115" s="1687"/>
      <c r="D115" s="1687"/>
      <c r="E115" s="1687"/>
      <c r="F115" s="1687"/>
      <c r="G115" s="1687"/>
      <c r="H115" s="1687"/>
      <c r="I115" s="1687"/>
      <c r="J115" s="1687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08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303:AF1048576">
    <cfRule type="cellIs" dxfId="9" priority="12" operator="lessThan">
      <formula>0.85</formula>
    </cfRule>
    <cfRule type="cellIs" dxfId="8" priority="14" operator="lessThan">
      <formula>0.756</formula>
    </cfRule>
    <cfRule type="cellIs" dxfId="7" priority="15" operator="lessThan">
      <formula>0.6</formula>
    </cfRule>
    <cfRule type="cellIs" dxfId="6" priority="16" operator="lessThan">
      <formula>0.3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</conditionalFormatting>
  <conditionalFormatting sqref="AF1:AF302">
    <cfRule type="cellIs" dxfId="3" priority="1" operator="greaterThan">
      <formula>2</formula>
    </cfRule>
    <cfRule type="cellIs" dxfId="2" priority="2" operator="greaterThan">
      <formula>2.3</formula>
    </cfRule>
    <cfRule type="cellIs" dxfId="1" priority="3" operator="lessThan">
      <formula>1</formula>
    </cfRule>
    <cfRule type="cellIs" dxfId="0" priority="4" operator="greaterThan">
      <formula>2.5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5"/>
  <sheetViews>
    <sheetView topLeftCell="E1" zoomScale="65" zoomScaleNormal="50" workbookViewId="0">
      <pane ySplit="4" topLeftCell="A77" activePane="bottomLeft" state="frozen"/>
      <selection pane="bottomLeft" activeCell="T118" sqref="T118:T120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61" t="s">
        <v>32</v>
      </c>
      <c r="I2" s="1461"/>
      <c r="J2" s="1461"/>
      <c r="K2" s="1461"/>
    </row>
    <row r="3" spans="1:92" ht="15" thickBot="1" x14ac:dyDescent="0.35"/>
    <row r="4" spans="1:92" ht="29.4" thickBot="1" x14ac:dyDescent="0.35">
      <c r="A4" s="585" t="s">
        <v>542</v>
      </c>
      <c r="B4" s="1462" t="s">
        <v>0</v>
      </c>
      <c r="C4" s="1463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447">
        <v>1</v>
      </c>
      <c r="B5" s="1445">
        <v>46265</v>
      </c>
      <c r="C5" s="1445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421">
        <f>SUM(M5:M6)</f>
        <v>95.90021999999999</v>
      </c>
      <c r="O5" s="553">
        <f t="shared" ref="O5:O11" si="1">M5/((720-R5)/60)</f>
        <v>2.8865657961661344</v>
      </c>
      <c r="P5" s="1421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33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09" t="s">
        <v>38</v>
      </c>
      <c r="AH5" s="1410"/>
      <c r="AI5" s="1410"/>
      <c r="AJ5" s="1411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447"/>
      <c r="B6" s="1445"/>
      <c r="C6" s="1445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421"/>
      <c r="O6" s="553">
        <f t="shared" si="1"/>
        <v>5.4819764049999984</v>
      </c>
      <c r="P6" s="1421"/>
      <c r="Q6" s="553">
        <f t="shared" si="2"/>
        <v>720</v>
      </c>
      <c r="R6" s="553">
        <f>'Milling Down Time Hours'!G6</f>
        <v>0</v>
      </c>
      <c r="S6" s="1433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1215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447"/>
      <c r="B7" s="1445">
        <v>46266</v>
      </c>
      <c r="C7" s="1445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421">
        <f>SUM(M7:M8)</f>
        <v>196.41338000000002</v>
      </c>
      <c r="O7" s="553">
        <f t="shared" si="1"/>
        <v>6.5721821250000003</v>
      </c>
      <c r="P7" s="1421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33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47"/>
      <c r="B8" s="1445"/>
      <c r="C8" s="1445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421"/>
      <c r="O8" s="553">
        <f t="shared" si="1"/>
        <v>10.78414628440367</v>
      </c>
      <c r="P8" s="1421"/>
      <c r="Q8" s="553">
        <f t="shared" si="2"/>
        <v>654</v>
      </c>
      <c r="R8" s="553">
        <f>'Milling Down Time Hours'!G8</f>
        <v>66</v>
      </c>
      <c r="S8" s="1433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1.2150000000000001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50">
        <v>2</v>
      </c>
      <c r="B9" s="1426">
        <v>46267</v>
      </c>
      <c r="C9" s="1426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451">
        <f>SUM(M9:M10)</f>
        <v>209.804</v>
      </c>
      <c r="O9" s="485">
        <f t="shared" si="1"/>
        <v>10.565099999999999</v>
      </c>
      <c r="P9" s="1451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427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50"/>
      <c r="B10" s="1426"/>
      <c r="C10" s="1426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451"/>
      <c r="O10" s="485">
        <f t="shared" si="1"/>
        <v>8.6794166666666666</v>
      </c>
      <c r="P10" s="1451"/>
      <c r="Q10" s="485">
        <f t="shared" si="2"/>
        <v>720</v>
      </c>
      <c r="R10" s="931">
        <f>'Milling Down Time Hours'!G10</f>
        <v>0</v>
      </c>
      <c r="S10" s="1427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50"/>
      <c r="B11" s="1426">
        <v>46268</v>
      </c>
      <c r="C11" s="1426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451">
        <f>SUM(M11:M12)</f>
        <v>90.338150000000013</v>
      </c>
      <c r="O11" s="485">
        <f t="shared" si="1"/>
        <v>7.5281791666666678</v>
      </c>
      <c r="P11" s="1451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427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0.33782267115600462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50"/>
      <c r="B12" s="1455"/>
      <c r="C12" s="1455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443"/>
      <c r="O12" s="554"/>
      <c r="P12" s="1443"/>
      <c r="Q12" s="554">
        <f t="shared" si="2"/>
        <v>660</v>
      </c>
      <c r="R12" s="957">
        <f>'Milling Down Time Hours'!G12</f>
        <v>60.000000000000007</v>
      </c>
      <c r="S12" s="1418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410.45454545454561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70"/>
      <c r="B13" s="1456">
        <v>46269</v>
      </c>
      <c r="C13" s="1457"/>
      <c r="D13" s="1468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453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804.54545454545439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470"/>
      <c r="B14" s="1458"/>
      <c r="C14" s="1459"/>
      <c r="D14" s="1469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54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446">
        <v>46270</v>
      </c>
      <c r="C15" s="1446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447">
        <v>3</v>
      </c>
      <c r="B16" s="1445">
        <v>46270</v>
      </c>
      <c r="C16" s="1445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3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447"/>
      <c r="B17" s="1445">
        <v>46271</v>
      </c>
      <c r="C17" s="1445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421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48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447"/>
      <c r="B18" s="1445"/>
      <c r="C18" s="1445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421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48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447"/>
      <c r="B19" s="1445">
        <v>46272</v>
      </c>
      <c r="C19" s="1445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449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48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450">
        <v>4</v>
      </c>
      <c r="B20" s="1426">
        <v>46272</v>
      </c>
      <c r="C20" s="1426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422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27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450"/>
      <c r="B21" s="1426">
        <v>46273</v>
      </c>
      <c r="C21" s="1426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45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27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450"/>
      <c r="B22" s="1426"/>
      <c r="C22" s="1426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452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27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450"/>
      <c r="B23" s="1426">
        <v>46274</v>
      </c>
      <c r="C23" s="1426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27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434">
        <v>46274</v>
      </c>
      <c r="C24" s="1434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447">
        <v>5</v>
      </c>
      <c r="B25" s="1445">
        <v>46275</v>
      </c>
      <c r="C25" s="1445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421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33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447"/>
      <c r="B26" s="1445"/>
      <c r="C26" s="1445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422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3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447"/>
      <c r="B27" s="1445">
        <v>46276</v>
      </c>
      <c r="C27" s="1445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421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3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426">
        <v>46276</v>
      </c>
      <c r="C28" s="1426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421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27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450">
        <v>6</v>
      </c>
      <c r="B29" s="1426">
        <v>46276</v>
      </c>
      <c r="C29" s="1426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27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450"/>
      <c r="B30" s="1426">
        <v>46277</v>
      </c>
      <c r="C30" s="1426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45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27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450"/>
      <c r="B31" s="1426"/>
      <c r="C31" s="1426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451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27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464"/>
      <c r="B32" s="1434">
        <v>46278</v>
      </c>
      <c r="C32" s="1434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465"/>
      <c r="B33" s="1434">
        <v>46278</v>
      </c>
      <c r="C33" s="1434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439">
        <v>46279</v>
      </c>
      <c r="C34" s="1440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467">
        <v>7</v>
      </c>
      <c r="B35" s="1441">
        <v>46279</v>
      </c>
      <c r="C35" s="1442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23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467"/>
      <c r="B36" s="1435">
        <v>46280</v>
      </c>
      <c r="C36" s="1436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421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24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67"/>
      <c r="B37" s="1437"/>
      <c r="C37" s="1438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421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25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66">
        <v>8</v>
      </c>
      <c r="B38" s="1428">
        <v>46281</v>
      </c>
      <c r="C38" s="1429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418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418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66"/>
      <c r="B39" s="1430"/>
      <c r="C39" s="1431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420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19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466"/>
      <c r="B40" s="1428">
        <v>46282</v>
      </c>
      <c r="C40" s="1429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443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419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466"/>
      <c r="B41" s="1430"/>
      <c r="C41" s="1431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444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420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60">
        <v>9</v>
      </c>
      <c r="B42" s="1382">
        <v>46283</v>
      </c>
      <c r="C42" s="1383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377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377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460"/>
      <c r="B43" s="1384"/>
      <c r="C43" s="1385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432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375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460"/>
      <c r="B44" s="1382">
        <v>46284</v>
      </c>
      <c r="C44" s="1383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377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375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460"/>
      <c r="B45" s="1384"/>
      <c r="C45" s="1385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432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376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372">
        <v>10</v>
      </c>
      <c r="B46" s="1361">
        <v>46285</v>
      </c>
      <c r="C46" s="1362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372"/>
      <c r="B47" s="1363"/>
      <c r="C47" s="1364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372"/>
      <c r="B48" s="1361">
        <v>46286</v>
      </c>
      <c r="C48" s="1362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355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355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72"/>
      <c r="B49" s="1363"/>
      <c r="C49" s="1364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387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356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72"/>
      <c r="B50" s="1361">
        <v>46287</v>
      </c>
      <c r="C50" s="1362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355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356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372"/>
      <c r="B51" s="1363"/>
      <c r="C51" s="1364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387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356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372"/>
      <c r="B52" s="1361">
        <v>46288</v>
      </c>
      <c r="C52" s="1362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355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356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372"/>
      <c r="B53" s="1363"/>
      <c r="C53" s="1364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387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356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351">
        <v>46289</v>
      </c>
      <c r="C54" s="1352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355">
        <f>SUM(M54:M56)</f>
        <v>299.60957198599993</v>
      </c>
      <c r="O54" s="1355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357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471"/>
      <c r="C55" s="1472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356"/>
      <c r="O55" s="1356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460">
        <v>11</v>
      </c>
      <c r="B56" s="1353"/>
      <c r="C56" s="1354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387"/>
      <c r="O56" s="1357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377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460"/>
      <c r="B57" s="1382">
        <v>46290</v>
      </c>
      <c r="C57" s="1383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377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375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460"/>
      <c r="B58" s="1384"/>
      <c r="C58" s="1385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432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376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372">
        <v>12</v>
      </c>
      <c r="B59" s="1361">
        <v>46291</v>
      </c>
      <c r="C59" s="1362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372"/>
      <c r="B60" s="1363"/>
      <c r="C60" s="1364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372"/>
      <c r="B61" s="1361">
        <v>46292</v>
      </c>
      <c r="C61" s="1362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355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402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372"/>
      <c r="B62" s="1363"/>
      <c r="C62" s="1364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387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403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372"/>
      <c r="B63" s="1361">
        <v>46293</v>
      </c>
      <c r="C63" s="1362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355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403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372"/>
      <c r="B64" s="1363"/>
      <c r="C64" s="1364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387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403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382">
        <v>46294</v>
      </c>
      <c r="C65" s="1383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377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404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384"/>
      <c r="C66" s="1385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376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351">
        <v>46295</v>
      </c>
      <c r="C67" s="1352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353"/>
      <c r="C68" s="1354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407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351">
        <v>46296</v>
      </c>
      <c r="C69" s="1352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408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353"/>
      <c r="C70" s="1354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407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351">
        <v>46297</v>
      </c>
      <c r="C71" s="1352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408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353"/>
      <c r="C72" s="1354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407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351">
        <v>46298</v>
      </c>
      <c r="C73" s="1352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408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353"/>
      <c r="C74" s="1354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373">
        <v>13</v>
      </c>
      <c r="B75" s="1382">
        <v>46299</v>
      </c>
      <c r="C75" s="1383"/>
      <c r="D75" s="667" t="s">
        <v>792</v>
      </c>
      <c r="E75" s="1374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377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377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373"/>
      <c r="B76" s="1384"/>
      <c r="C76" s="1385"/>
      <c r="D76" s="667" t="s">
        <v>792</v>
      </c>
      <c r="E76" s="1375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376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375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373"/>
      <c r="B77" s="1382">
        <v>46300</v>
      </c>
      <c r="C77" s="1383"/>
      <c r="D77" s="667" t="s">
        <v>792</v>
      </c>
      <c r="E77" s="1375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377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375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373"/>
      <c r="B78" s="1384"/>
      <c r="C78" s="1385"/>
      <c r="D78" s="667" t="s">
        <v>792</v>
      </c>
      <c r="E78" s="1376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376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376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372">
        <v>14</v>
      </c>
      <c r="B79" s="1361">
        <v>46301</v>
      </c>
      <c r="C79" s="1362"/>
      <c r="D79" s="451" t="s">
        <v>792</v>
      </c>
      <c r="E79" s="1399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355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372"/>
      <c r="B80" s="1412"/>
      <c r="C80" s="1413"/>
      <c r="D80" s="451" t="s">
        <v>792</v>
      </c>
      <c r="E80" s="1386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386"/>
      <c r="O80" s="1134"/>
      <c r="P80" s="1356">
        <f>'Milling Down Time Hours'!Q43</f>
        <v>23.5</v>
      </c>
      <c r="Q80" s="1195"/>
      <c r="R80" s="1356">
        <f>'Milling Down Time Hours'!L85</f>
        <v>0.8965277777777777</v>
      </c>
      <c r="S80" s="451"/>
      <c r="T80" s="1414">
        <v>0.35699999999999998</v>
      </c>
      <c r="U80" s="1414">
        <v>1.056</v>
      </c>
      <c r="V80" s="1416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372"/>
      <c r="B81" s="1412"/>
      <c r="C81" s="1413"/>
      <c r="D81" s="451" t="s">
        <v>792</v>
      </c>
      <c r="E81" s="1386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386"/>
      <c r="O81" s="1134"/>
      <c r="P81" s="1395"/>
      <c r="Q81" s="1201"/>
      <c r="R81" s="1395"/>
      <c r="S81" s="451"/>
      <c r="T81" s="1415"/>
      <c r="U81" s="1415"/>
      <c r="V81" s="1417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372"/>
      <c r="B82" s="1412"/>
      <c r="C82" s="1413"/>
      <c r="D82" s="451" t="s">
        <v>792</v>
      </c>
      <c r="E82" s="1386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386"/>
      <c r="O82" s="1134"/>
      <c r="P82" s="1394">
        <f>'Milling Down Time Hours'!M87</f>
        <v>0</v>
      </c>
      <c r="Q82" s="1204"/>
      <c r="R82" s="1394">
        <f>'Milling Down Time Hours'!L87</f>
        <v>0.7090277777777777</v>
      </c>
      <c r="S82" s="451"/>
      <c r="T82" s="1392" t="e">
        <f>SUM(#REF!)</f>
        <v>#REF!</v>
      </c>
      <c r="U82" s="1392" t="e">
        <f t="shared" ref="U82:V82" si="68">SUM(T82:T84)</f>
        <v>#REF!</v>
      </c>
      <c r="V82" s="1390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372"/>
      <c r="B83" s="1412"/>
      <c r="C83" s="1413"/>
      <c r="D83" s="451" t="s">
        <v>792</v>
      </c>
      <c r="E83" s="1386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386"/>
      <c r="O83" s="1134"/>
      <c r="P83" s="1395"/>
      <c r="Q83" s="1201"/>
      <c r="R83" s="1395"/>
      <c r="S83" s="451"/>
      <c r="T83" s="1393"/>
      <c r="U83" s="1393"/>
      <c r="V83" s="1391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372"/>
      <c r="B84" s="1412"/>
      <c r="C84" s="1413"/>
      <c r="D84" s="451" t="s">
        <v>792</v>
      </c>
      <c r="E84" s="1386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386"/>
      <c r="O84" s="1134"/>
      <c r="P84" s="1394">
        <f>'Milling Down Time Hours'!M89</f>
        <v>0</v>
      </c>
      <c r="Q84" s="1204"/>
      <c r="R84" s="1394">
        <f>'Milling Down Time Hours'!L89</f>
        <v>1</v>
      </c>
      <c r="S84" s="451"/>
      <c r="T84" s="1392" t="e">
        <f>SUM(#REF!)</f>
        <v>#REF!</v>
      </c>
      <c r="U84" s="1392" t="e">
        <f t="shared" ref="U84:V84" si="69">SUM(T84:T86)</f>
        <v>#REF!</v>
      </c>
      <c r="V84" s="1390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372"/>
      <c r="B85" s="1412"/>
      <c r="C85" s="1413"/>
      <c r="D85" s="451" t="s">
        <v>792</v>
      </c>
      <c r="E85" s="1386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386"/>
      <c r="O85" s="1134"/>
      <c r="P85" s="1395"/>
      <c r="Q85" s="1201"/>
      <c r="R85" s="1395"/>
      <c r="S85" s="451"/>
      <c r="T85" s="1393"/>
      <c r="U85" s="1393"/>
      <c r="V85" s="1391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372"/>
      <c r="B86" s="1412"/>
      <c r="C86" s="1413"/>
      <c r="D86" s="451" t="s">
        <v>792</v>
      </c>
      <c r="E86" s="1386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386"/>
      <c r="O86" s="1134"/>
      <c r="P86" s="1394">
        <f>'Milling Down Time Hours'!M91</f>
        <v>0</v>
      </c>
      <c r="Q86" s="1204"/>
      <c r="R86" s="1394">
        <f>'Milling Down Time Hours'!L91</f>
        <v>0.73611111111111116</v>
      </c>
      <c r="S86" s="451"/>
      <c r="T86" s="1392" t="e">
        <f>SUM(#REF!)</f>
        <v>#REF!</v>
      </c>
      <c r="U86" s="1392" t="e">
        <f t="shared" ref="U86:V86" si="70">SUM(T86:T88)</f>
        <v>#REF!</v>
      </c>
      <c r="V86" s="1390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372"/>
      <c r="B87" s="1412"/>
      <c r="C87" s="1413"/>
      <c r="D87" s="451" t="s">
        <v>792</v>
      </c>
      <c r="E87" s="1386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386"/>
      <c r="O87" s="1134"/>
      <c r="P87" s="1395"/>
      <c r="Q87" s="1201"/>
      <c r="R87" s="1395"/>
      <c r="S87" s="451"/>
      <c r="T87" s="1393"/>
      <c r="U87" s="1393"/>
      <c r="V87" s="1391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372"/>
      <c r="B88" s="1412"/>
      <c r="C88" s="1413"/>
      <c r="D88" s="451" t="s">
        <v>792</v>
      </c>
      <c r="E88" s="1386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386"/>
      <c r="O88" s="1134"/>
      <c r="P88" s="1394">
        <f>'Milling Down Time Hours'!M93</f>
        <v>0</v>
      </c>
      <c r="Q88" s="1204"/>
      <c r="R88" s="1394">
        <f>'Milling Down Time Hours'!L93</f>
        <v>1</v>
      </c>
      <c r="S88" s="451"/>
      <c r="T88" s="1392" t="e">
        <f>SUM(#REF!)</f>
        <v>#REF!</v>
      </c>
      <c r="U88" s="1392" t="e">
        <f t="shared" ref="U88:V88" si="71">SUM(T88:T90)</f>
        <v>#REF!</v>
      </c>
      <c r="V88" s="1390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372"/>
      <c r="B89" s="1412"/>
      <c r="C89" s="1413"/>
      <c r="D89" s="451" t="s">
        <v>792</v>
      </c>
      <c r="E89" s="1386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386"/>
      <c r="O89" s="1134"/>
      <c r="P89" s="1395"/>
      <c r="Q89" s="1201"/>
      <c r="R89" s="1395"/>
      <c r="S89" s="451"/>
      <c r="T89" s="1393"/>
      <c r="U89" s="1393"/>
      <c r="V89" s="1391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372"/>
      <c r="B90" s="1412"/>
      <c r="C90" s="1413"/>
      <c r="D90" s="451" t="s">
        <v>792</v>
      </c>
      <c r="E90" s="1386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386"/>
      <c r="O90" s="1134"/>
      <c r="P90" s="1394">
        <f>'Milling Down Time Hours'!M95</f>
        <v>0</v>
      </c>
      <c r="Q90" s="1204"/>
      <c r="R90" s="1394">
        <f>'Milling Down Time Hours'!L95</f>
        <v>1</v>
      </c>
      <c r="S90" s="451"/>
      <c r="T90" s="1392" t="e">
        <f>SUM(#REF!)</f>
        <v>#REF!</v>
      </c>
      <c r="U90" s="1392" t="e">
        <f t="shared" ref="U90:V90" si="72">SUM(T90:T92)</f>
        <v>#REF!</v>
      </c>
      <c r="V90" s="1390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372"/>
      <c r="B91" s="1412"/>
      <c r="C91" s="1413"/>
      <c r="D91" s="451" t="s">
        <v>792</v>
      </c>
      <c r="E91" s="1386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386"/>
      <c r="O91" s="1134"/>
      <c r="P91" s="1395"/>
      <c r="Q91" s="1201"/>
      <c r="R91" s="1395"/>
      <c r="S91" s="451"/>
      <c r="T91" s="1393"/>
      <c r="U91" s="1393"/>
      <c r="V91" s="1391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372"/>
      <c r="B92" s="1412"/>
      <c r="C92" s="1413"/>
      <c r="D92" s="451" t="s">
        <v>792</v>
      </c>
      <c r="E92" s="1386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386"/>
      <c r="O92" s="1134"/>
      <c r="P92" s="1394">
        <f>'Milling Down Time Hours'!M97</f>
        <v>0</v>
      </c>
      <c r="Q92" s="1204"/>
      <c r="R92" s="1394">
        <f>'Milling Down Time Hours'!L97</f>
        <v>1</v>
      </c>
      <c r="S92" s="451"/>
      <c r="T92" s="1392" t="e">
        <f>SUM(#REF!)</f>
        <v>#REF!</v>
      </c>
      <c r="U92" s="1392" t="e">
        <f t="shared" ref="U92:V92" si="73">SUM(T92:T94)</f>
        <v>#REF!</v>
      </c>
      <c r="V92" s="1390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372"/>
      <c r="B93" s="1412"/>
      <c r="C93" s="1413"/>
      <c r="D93" s="451" t="s">
        <v>792</v>
      </c>
      <c r="E93" s="1386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386"/>
      <c r="O93" s="1134"/>
      <c r="P93" s="1395"/>
      <c r="Q93" s="1201"/>
      <c r="R93" s="1395"/>
      <c r="S93" s="451"/>
      <c r="T93" s="1393"/>
      <c r="U93" s="1393"/>
      <c r="V93" s="1391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372"/>
      <c r="B94" s="1412"/>
      <c r="C94" s="1413"/>
      <c r="D94" s="451" t="s">
        <v>792</v>
      </c>
      <c r="E94" s="1386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386"/>
      <c r="O94" s="1134"/>
      <c r="P94" s="1394">
        <f>'Milling Down Time Hours'!M99</f>
        <v>0</v>
      </c>
      <c r="Q94" s="1204"/>
      <c r="R94" s="1394">
        <f>'Milling Down Time Hours'!L99</f>
        <v>1</v>
      </c>
      <c r="S94" s="451"/>
      <c r="T94" s="1392" t="e">
        <f>SUM(#REF!)</f>
        <v>#REF!</v>
      </c>
      <c r="U94" s="1392" t="e">
        <f t="shared" ref="U94:V94" si="74">SUM(T94:T96)</f>
        <v>#REF!</v>
      </c>
      <c r="V94" s="1390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372"/>
      <c r="B95" s="1412"/>
      <c r="C95" s="1413"/>
      <c r="D95" s="451" t="s">
        <v>792</v>
      </c>
      <c r="E95" s="1386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386"/>
      <c r="O95" s="1134"/>
      <c r="P95" s="1395"/>
      <c r="Q95" s="1201"/>
      <c r="R95" s="1395"/>
      <c r="S95" s="451"/>
      <c r="T95" s="1393"/>
      <c r="U95" s="1393"/>
      <c r="V95" s="1391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372"/>
      <c r="B96" s="1412"/>
      <c r="C96" s="1413"/>
      <c r="D96" s="451" t="s">
        <v>792</v>
      </c>
      <c r="E96" s="1386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386"/>
      <c r="O96" s="1134"/>
      <c r="P96" s="1394">
        <f>'Milling Down Time Hours'!M101</f>
        <v>0</v>
      </c>
      <c r="Q96" s="1204"/>
      <c r="R96" s="1394">
        <f>'Milling Down Time Hours'!L101</f>
        <v>0.67013888888888884</v>
      </c>
      <c r="S96" s="451"/>
      <c r="T96" s="1392" t="e">
        <f>SUM(#REF!)</f>
        <v>#REF!</v>
      </c>
      <c r="U96" s="1392" t="e">
        <f>SUM(T96:T132)</f>
        <v>#REF!</v>
      </c>
      <c r="V96" s="1390" t="e">
        <f>SUM(U96:U132)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372"/>
      <c r="B97" s="1412"/>
      <c r="C97" s="1413"/>
      <c r="D97" s="451" t="s">
        <v>792</v>
      </c>
      <c r="E97" s="1386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386"/>
      <c r="O97" s="1207"/>
      <c r="P97" s="1356"/>
      <c r="Q97" s="1195"/>
      <c r="R97" s="1357"/>
      <c r="S97" s="1205"/>
      <c r="T97" s="1405"/>
      <c r="U97" s="1405"/>
      <c r="V97" s="1406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372"/>
      <c r="B98" s="1363"/>
      <c r="C98" s="1364"/>
      <c r="D98" s="451" t="s">
        <v>792</v>
      </c>
      <c r="E98" s="1387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387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355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372"/>
      <c r="B99" s="1361">
        <v>46302</v>
      </c>
      <c r="C99" s="1362"/>
      <c r="D99" s="451" t="s">
        <v>792</v>
      </c>
      <c r="E99" s="1399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355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386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372"/>
      <c r="B100" s="1363"/>
      <c r="C100" s="1364"/>
      <c r="D100" s="451" t="s">
        <v>792</v>
      </c>
      <c r="E100" s="1387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357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386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372"/>
      <c r="B101" s="1400">
        <v>46303</v>
      </c>
      <c r="C101" s="1401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355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387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373">
        <v>15</v>
      </c>
      <c r="B102" s="1378">
        <v>46303</v>
      </c>
      <c r="C102" s="1379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357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388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373"/>
      <c r="B103" s="1378">
        <v>46304</v>
      </c>
      <c r="C103" s="1379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388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398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373"/>
      <c r="B104" s="1380"/>
      <c r="C104" s="1381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389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398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351">
        <v>46305</v>
      </c>
      <c r="C105" s="1352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388">
        <f>SUM(M105:M106)</f>
        <v>68.344232784000013</v>
      </c>
      <c r="O105" s="154"/>
      <c r="P105" s="154"/>
      <c r="Q105" s="154"/>
      <c r="R105" s="154"/>
      <c r="S105" s="1389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372">
        <v>16</v>
      </c>
      <c r="B106" s="1361">
        <v>46305</v>
      </c>
      <c r="C106" s="1362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389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355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372"/>
      <c r="B107" s="1361">
        <v>46306</v>
      </c>
      <c r="C107" s="1362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355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356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372"/>
      <c r="B108" s="1363"/>
      <c r="C108" s="1364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357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356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372"/>
      <c r="B109" s="1361">
        <v>46307</v>
      </c>
      <c r="C109" s="1362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355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357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359">
        <v>17</v>
      </c>
      <c r="B110" s="1365">
        <v>46307</v>
      </c>
      <c r="C110" s="1366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357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396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360"/>
      <c r="B111" s="1365">
        <v>46308</v>
      </c>
      <c r="C111" s="1366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355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397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358">
        <v>18</v>
      </c>
      <c r="B112" s="1361">
        <v>46308</v>
      </c>
      <c r="C112" s="1362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357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355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358"/>
      <c r="B113" s="1361">
        <v>46309</v>
      </c>
      <c r="C113" s="1362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355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356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0" ht="15" thickBot="1" x14ac:dyDescent="0.35">
      <c r="A114" s="1358"/>
      <c r="B114" s="1363"/>
      <c r="C114" s="1364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357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357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0" ht="15" customHeight="1" thickBot="1" x14ac:dyDescent="0.35">
      <c r="A115" s="1369">
        <v>19</v>
      </c>
      <c r="B115" s="1365">
        <v>46310</v>
      </c>
      <c r="C115" s="1366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348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348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1.2*8.1</f>
        <v>9.7199999999999989</v>
      </c>
      <c r="AB115" s="925">
        <f t="shared" si="65"/>
        <v>130136101.95239998</v>
      </c>
      <c r="AD115" s="1">
        <f>(1.2*4)+0.6</f>
        <v>5.3999999999999995</v>
      </c>
    </row>
    <row r="116" spans="1:30" ht="15" customHeight="1" thickBot="1" x14ac:dyDescent="0.35">
      <c r="A116" s="1369"/>
      <c r="B116" s="1367"/>
      <c r="C116" s="1368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350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349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0" ht="15" thickBot="1" x14ac:dyDescent="0.35">
      <c r="A117" s="1369"/>
      <c r="B117" s="1365">
        <v>46311</v>
      </c>
      <c r="C117" s="1366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348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350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0" ht="15" thickBot="1" x14ac:dyDescent="0.35">
      <c r="A118" s="1370">
        <v>20</v>
      </c>
      <c r="B118" s="1361">
        <v>46311</v>
      </c>
      <c r="C118" s="1362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350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355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0" ht="15" thickBot="1" x14ac:dyDescent="0.35">
      <c r="A119" s="1370"/>
      <c r="B119" s="1361">
        <v>46312</v>
      </c>
      <c r="C119" s="1362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355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356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0" ht="15" thickBot="1" x14ac:dyDescent="0.35">
      <c r="A120" s="1370"/>
      <c r="B120" s="1363"/>
      <c r="C120" s="1364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357"/>
      <c r="O120" s="931">
        <f>M120/P120</f>
        <v>10.280761213499998</v>
      </c>
      <c r="P120" s="931">
        <f>Q120/60</f>
        <v>12</v>
      </c>
      <c r="Q120" s="931">
        <f t="shared" si="147"/>
        <v>720</v>
      </c>
      <c r="R120" s="931">
        <f>'Milling Down Time Hours'!G100</f>
        <v>0</v>
      </c>
      <c r="S120" s="1357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5">T120*M120</f>
        <v>91.120442787493189</v>
      </c>
      <c r="X120" s="931">
        <f t="shared" ref="X120" si="156">M120*U120</f>
        <v>67.606285739975988</v>
      </c>
      <c r="Y120" s="931">
        <f t="shared" ref="Y120" si="157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0" ht="15" customHeight="1" thickBot="1" x14ac:dyDescent="0.35">
      <c r="A121" s="1371">
        <v>21</v>
      </c>
      <c r="B121" s="1365">
        <v>46313</v>
      </c>
      <c r="C121" s="1366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>H121/P121</f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348">
        <f>SUM(M121:M122)</f>
        <v>155.19602602800001</v>
      </c>
      <c r="O121" s="1250">
        <f>M121/P121</f>
        <v>12.922893528549617</v>
      </c>
      <c r="P121" s="1250">
        <f>Q121/60</f>
        <v>10.916666666666666</v>
      </c>
      <c r="Q121" s="1250">
        <f t="shared" ref="Q121" si="158">(720-R121)</f>
        <v>655</v>
      </c>
      <c r="R121" s="1250">
        <f>'Milling Down Time Hours'!G101</f>
        <v>65</v>
      </c>
      <c r="S121" s="1348">
        <f>SUM(M121:M124)</f>
        <v>346.36971112799989</v>
      </c>
      <c r="T121" s="1279">
        <f>AVERAGE('LF Ball Mill'!F249:F254)</f>
        <v>0.4995</v>
      </c>
      <c r="U121" s="1279">
        <f>AVERAGE('LF Ball Mill'!G249:G254)</f>
        <v>0.54666666666666652</v>
      </c>
      <c r="V121" s="1279">
        <f>AVERAGE('LF Ball Mill'!H249:H254)</f>
        <v>10.753333333333336</v>
      </c>
      <c r="W121" s="1253">
        <f t="shared" ref="W121" si="159">T121*M121</f>
        <v>70.466923049489992</v>
      </c>
      <c r="X121" s="1250">
        <f t="shared" ref="X121" si="160">M121*U121</f>
        <v>77.120956824266628</v>
      </c>
      <c r="Y121" s="1250">
        <f t="shared" ref="Y121" si="161">M121*V121</f>
        <v>1517.0256507017334</v>
      </c>
      <c r="Z121" s="1254">
        <v>4</v>
      </c>
      <c r="AA121" s="446">
        <f>(1.2*3)+0.4</f>
        <v>3.9999999999999996</v>
      </c>
      <c r="AB121" s="925">
        <f t="shared" si="65"/>
        <v>176167307.62372497</v>
      </c>
    </row>
    <row r="122" spans="1:30" ht="15" customHeight="1" thickBot="1" x14ac:dyDescent="0.35">
      <c r="A122" s="1371"/>
      <c r="B122" s="1367"/>
      <c r="C122" s="1368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>H122/P122</f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350"/>
      <c r="O122" s="1250">
        <f>M122/P122</f>
        <v>2.7331170983225861</v>
      </c>
      <c r="P122" s="1250">
        <f>Q122/60</f>
        <v>5.166666666666667</v>
      </c>
      <c r="Q122" s="1250">
        <f t="shared" si="147"/>
        <v>310</v>
      </c>
      <c r="R122" s="1250">
        <f>'Milling Down Time Hours'!G102</f>
        <v>410</v>
      </c>
      <c r="S122" s="1349"/>
      <c r="T122" s="1250"/>
      <c r="U122" s="1250"/>
      <c r="V122" s="1252"/>
      <c r="W122" s="1253">
        <f t="shared" ref="W122" si="162">T122*M122</f>
        <v>0</v>
      </c>
      <c r="X122" s="1250">
        <f t="shared" ref="X122" si="163">M122*U122</f>
        <v>0</v>
      </c>
      <c r="Y122" s="1250">
        <f t="shared" ref="Y122" si="164">M122*V122</f>
        <v>0</v>
      </c>
      <c r="Z122" s="1254">
        <v>5.4</v>
      </c>
      <c r="AA122" s="446"/>
      <c r="AB122" s="1248"/>
    </row>
    <row r="123" spans="1:30" ht="15" thickBot="1" x14ac:dyDescent="0.35">
      <c r="A123" s="1371"/>
      <c r="B123" s="1365">
        <v>46314</v>
      </c>
      <c r="C123" s="1366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>H123/P123</f>
        <v>12.818888272583191</v>
      </c>
      <c r="J123" s="1250">
        <f t="shared" ref="J123" si="165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348">
        <f>SUM(M123:M124)</f>
        <v>191.17368509999989</v>
      </c>
      <c r="O123" s="1250">
        <f>M123/P123</f>
        <v>9.8341383271949265</v>
      </c>
      <c r="P123" s="1250">
        <f>Q123/60</f>
        <v>10.516666666666667</v>
      </c>
      <c r="Q123" s="1250">
        <f t="shared" ref="Q123:Q124" si="166">(720-R123)</f>
        <v>631</v>
      </c>
      <c r="R123" s="1250">
        <f>'Milling Down Time Hours'!G103</f>
        <v>89</v>
      </c>
      <c r="S123" s="1349"/>
      <c r="T123" s="1250"/>
      <c r="U123" s="1250"/>
      <c r="V123" s="1252"/>
      <c r="W123" s="1253"/>
      <c r="X123" s="1250"/>
      <c r="Y123" s="1250"/>
      <c r="Z123" s="1254">
        <f>(1.2*5)+0.9</f>
        <v>6.9</v>
      </c>
      <c r="AA123" s="446"/>
      <c r="AB123" s="1248"/>
    </row>
    <row r="124" spans="1:30" ht="15" thickBot="1" x14ac:dyDescent="0.35">
      <c r="A124" s="1371"/>
      <c r="B124" s="1367"/>
      <c r="C124" s="1368"/>
      <c r="D124" s="1247" t="s">
        <v>792</v>
      </c>
      <c r="E124" s="1247" t="s">
        <v>932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>H124/P124</f>
        <v>53.912254999999988</v>
      </c>
      <c r="J124" s="1250">
        <f>3.14*Z124*((10.7/2)^2)</f>
        <v>754.94705999999985</v>
      </c>
      <c r="K124" s="1261">
        <v>1.24</v>
      </c>
      <c r="L124" s="1257">
        <v>0.8</v>
      </c>
      <c r="M124" s="1251">
        <f>J124*K124*G124-SUM(M121:M123)</f>
        <v>87.751330358999894</v>
      </c>
      <c r="N124" s="1350"/>
      <c r="O124" s="1250">
        <f>M124/P124</f>
        <v>7.3126108632499909</v>
      </c>
      <c r="P124" s="1250">
        <f>Q124/60</f>
        <v>12</v>
      </c>
      <c r="Q124" s="1250">
        <f t="shared" si="166"/>
        <v>720</v>
      </c>
      <c r="R124" s="1250">
        <f>'Milling Down Time Hours'!G105</f>
        <v>0</v>
      </c>
      <c r="S124" s="1350"/>
      <c r="T124" s="1250"/>
      <c r="U124" s="1250"/>
      <c r="V124" s="1252"/>
      <c r="W124" s="1253">
        <f t="shared" ref="W124" si="167">T124*M124</f>
        <v>0</v>
      </c>
      <c r="X124" s="1250">
        <f t="shared" ref="X124" si="168">M124*U124</f>
        <v>0</v>
      </c>
      <c r="Y124" s="1250">
        <f t="shared" ref="Y124" si="169">M124*V124</f>
        <v>0</v>
      </c>
      <c r="Z124" s="1254">
        <v>8.4</v>
      </c>
      <c r="AA124" s="446"/>
      <c r="AB124" s="1248"/>
    </row>
    <row r="125" spans="1:30" s="951" customFormat="1" ht="30" customHeight="1" thickBot="1" x14ac:dyDescent="0.35">
      <c r="A125" s="1832">
        <v>22</v>
      </c>
      <c r="B125" s="1830">
        <v>46314</v>
      </c>
      <c r="C125" s="1831"/>
      <c r="D125" s="450" t="s">
        <v>792</v>
      </c>
      <c r="E125" s="451" t="s">
        <v>935</v>
      </c>
      <c r="F125" s="944" t="s">
        <v>13</v>
      </c>
      <c r="G125" s="934">
        <v>0.33</v>
      </c>
      <c r="H125" s="1258">
        <f>J125-'Au Cal Leaching Tank'!$T$26</f>
        <v>197.57380999999998</v>
      </c>
      <c r="I125" s="931"/>
      <c r="J125" s="931">
        <f>3.14*Z125*((10.7/2)^2)</f>
        <v>305.57380999999998</v>
      </c>
      <c r="K125" s="450">
        <v>1.21</v>
      </c>
      <c r="L125" s="934">
        <v>0.8</v>
      </c>
      <c r="M125" s="1031">
        <f>J125*K125*G125</f>
        <v>122.015622333</v>
      </c>
      <c r="N125" s="1032"/>
      <c r="O125" s="931">
        <f>M125/P125</f>
        <v>10.16796852775</v>
      </c>
      <c r="P125" s="931">
        <f>Q125/60</f>
        <v>12</v>
      </c>
      <c r="Q125" s="931">
        <f t="shared" ref="Q125" si="170">(720-R125)</f>
        <v>720</v>
      </c>
      <c r="R125" s="931">
        <f>'Milling Down Time Hours'!G106</f>
        <v>0</v>
      </c>
      <c r="S125" s="1032">
        <f>SUM(M125)</f>
        <v>122.015622333</v>
      </c>
      <c r="T125" s="931"/>
      <c r="U125" s="931"/>
      <c r="V125" s="939"/>
      <c r="W125" s="976"/>
      <c r="X125" s="931"/>
      <c r="Y125" s="931"/>
      <c r="Z125" s="977">
        <v>3.4</v>
      </c>
      <c r="AA125" s="1828"/>
      <c r="AB125" s="1829"/>
    </row>
    <row r="126" spans="1:30" ht="15" thickBot="1" x14ac:dyDescent="0.35">
      <c r="B126" s="1351">
        <v>46315</v>
      </c>
      <c r="C126" s="1352"/>
      <c r="D126" s="13"/>
      <c r="E126" s="13"/>
      <c r="F126" s="914" t="s">
        <v>12</v>
      </c>
      <c r="G126" s="879"/>
      <c r="H126" s="13"/>
      <c r="I126" s="233"/>
      <c r="J126" s="154"/>
      <c r="K126" s="233"/>
      <c r="L126" s="879"/>
      <c r="M126" s="882"/>
      <c r="N126" s="879"/>
      <c r="O126" s="871"/>
      <c r="P126" s="154"/>
      <c r="Q126" s="154"/>
      <c r="R126" s="154"/>
      <c r="S126" s="13"/>
      <c r="T126" s="154"/>
      <c r="U126" s="154"/>
      <c r="V126" s="418"/>
      <c r="W126" s="159"/>
      <c r="X126" s="154"/>
      <c r="Y126" s="154"/>
      <c r="Z126" s="745"/>
      <c r="AA126" s="446"/>
      <c r="AB126" s="1248"/>
    </row>
    <row r="127" spans="1:30" ht="15" thickBot="1" x14ac:dyDescent="0.35">
      <c r="B127" s="1353"/>
      <c r="C127" s="1354"/>
      <c r="D127" s="13"/>
      <c r="E127" s="13"/>
      <c r="F127" s="905" t="s">
        <v>13</v>
      </c>
      <c r="G127" s="233"/>
      <c r="H127" s="13"/>
      <c r="I127" s="233"/>
      <c r="J127" s="154"/>
      <c r="K127" s="233"/>
      <c r="L127" s="233"/>
      <c r="M127" s="882">
        <f t="shared" ref="M127" si="171">H127*K127*G127</f>
        <v>0</v>
      </c>
      <c r="N127" s="233"/>
      <c r="O127" s="871"/>
      <c r="P127" s="154"/>
      <c r="Q127" s="154"/>
      <c r="R127" s="154"/>
      <c r="S127" s="13"/>
      <c r="T127" s="154"/>
      <c r="U127" s="154"/>
      <c r="V127" s="418"/>
      <c r="W127" s="159">
        <f t="shared" ref="W127" si="172">T127*M127</f>
        <v>0</v>
      </c>
      <c r="X127" s="154">
        <f t="shared" ref="X127" si="173">M127*U127</f>
        <v>0</v>
      </c>
      <c r="Y127" s="154">
        <f t="shared" ref="Y127" si="174">M127*V127</f>
        <v>0</v>
      </c>
      <c r="Z127" s="745"/>
      <c r="AA127" s="446"/>
      <c r="AB127" s="1248"/>
    </row>
    <row r="128" spans="1:30" ht="15" thickBot="1" x14ac:dyDescent="0.35">
      <c r="B128" s="1351">
        <v>46316</v>
      </c>
      <c r="C128" s="1352"/>
      <c r="D128" s="13"/>
      <c r="E128" s="13"/>
      <c r="F128" s="914" t="s">
        <v>12</v>
      </c>
      <c r="G128" s="879"/>
      <c r="H128" s="13"/>
      <c r="I128" s="233"/>
      <c r="J128" s="154"/>
      <c r="K128" s="233"/>
      <c r="L128" s="879"/>
      <c r="M128" s="882"/>
      <c r="N128" s="879"/>
      <c r="O128" s="871"/>
      <c r="P128" s="154"/>
      <c r="Q128" s="154"/>
      <c r="R128" s="154"/>
      <c r="S128" s="13"/>
      <c r="T128" s="154"/>
      <c r="U128" s="154"/>
      <c r="V128" s="418"/>
      <c r="W128" s="159"/>
      <c r="X128" s="154"/>
      <c r="Y128" s="154"/>
      <c r="Z128" s="745"/>
      <c r="AA128" s="446"/>
      <c r="AB128" s="1248"/>
    </row>
    <row r="129" spans="2:28" ht="15" thickBot="1" x14ac:dyDescent="0.35">
      <c r="B129" s="1353"/>
      <c r="C129" s="1354"/>
      <c r="D129" s="13"/>
      <c r="E129" s="13"/>
      <c r="F129" s="905" t="s">
        <v>13</v>
      </c>
      <c r="G129" s="233"/>
      <c r="H129" s="13"/>
      <c r="I129" s="233"/>
      <c r="J129" s="154"/>
      <c r="K129" s="233"/>
      <c r="L129" s="233"/>
      <c r="M129" s="882">
        <f t="shared" ref="M129" si="175">H129*K129*G129</f>
        <v>0</v>
      </c>
      <c r="N129" s="233"/>
      <c r="O129" s="871"/>
      <c r="P129" s="154"/>
      <c r="Q129" s="154"/>
      <c r="R129" s="154"/>
      <c r="S129" s="13"/>
      <c r="T129" s="154"/>
      <c r="U129" s="154"/>
      <c r="V129" s="418"/>
      <c r="W129" s="159">
        <f t="shared" ref="W129" si="176">T129*M129</f>
        <v>0</v>
      </c>
      <c r="X129" s="154">
        <f t="shared" ref="X129" si="177">M129*U129</f>
        <v>0</v>
      </c>
      <c r="Y129" s="154">
        <f t="shared" ref="Y129" si="178">M129*V129</f>
        <v>0</v>
      </c>
      <c r="Z129" s="745"/>
      <c r="AA129" s="446"/>
      <c r="AB129" s="1248"/>
    </row>
    <row r="130" spans="2:28" ht="15" thickBot="1" x14ac:dyDescent="0.35">
      <c r="B130" s="1351">
        <v>46317</v>
      </c>
      <c r="C130" s="1352"/>
      <c r="D130" s="13"/>
      <c r="E130" s="13"/>
      <c r="F130" s="914" t="s">
        <v>12</v>
      </c>
      <c r="G130" s="879"/>
      <c r="H130" s="13"/>
      <c r="I130" s="233"/>
      <c r="J130" s="154"/>
      <c r="K130" s="233"/>
      <c r="L130" s="879"/>
      <c r="M130" s="882"/>
      <c r="N130" s="879"/>
      <c r="O130" s="871"/>
      <c r="P130" s="154"/>
      <c r="Q130" s="154"/>
      <c r="R130" s="154"/>
      <c r="S130" s="13"/>
      <c r="T130" s="154"/>
      <c r="U130" s="154"/>
      <c r="V130" s="418"/>
      <c r="W130" s="159"/>
      <c r="X130" s="154"/>
      <c r="Y130" s="154"/>
      <c r="Z130" s="745"/>
      <c r="AA130" s="446"/>
      <c r="AB130" s="1248"/>
    </row>
    <row r="131" spans="2:28" ht="15" thickBot="1" x14ac:dyDescent="0.35">
      <c r="B131" s="1353"/>
      <c r="C131" s="1354"/>
      <c r="D131" s="13"/>
      <c r="E131" s="13"/>
      <c r="F131" s="905" t="s">
        <v>13</v>
      </c>
      <c r="G131" s="233"/>
      <c r="H131" s="13"/>
      <c r="I131" s="233"/>
      <c r="J131" s="154"/>
      <c r="K131" s="233"/>
      <c r="L131" s="233"/>
      <c r="M131" s="882">
        <f t="shared" ref="M131" si="179">H131*K131*G131</f>
        <v>0</v>
      </c>
      <c r="N131" s="233"/>
      <c r="O131" s="871"/>
      <c r="P131" s="154"/>
      <c r="Q131" s="154"/>
      <c r="R131" s="154"/>
      <c r="S131" s="13"/>
      <c r="T131" s="154"/>
      <c r="U131" s="154"/>
      <c r="V131" s="418"/>
      <c r="W131" s="159">
        <f t="shared" ref="W131" si="180">T131*M131</f>
        <v>0</v>
      </c>
      <c r="X131" s="154">
        <f t="shared" ref="X131" si="181">M131*U131</f>
        <v>0</v>
      </c>
      <c r="Y131" s="154">
        <f t="shared" ref="Y131" si="182">M131*V131</f>
        <v>0</v>
      </c>
      <c r="Z131" s="745"/>
      <c r="AA131" s="446"/>
      <c r="AB131" s="1248"/>
    </row>
    <row r="132" spans="2:28" ht="18" x14ac:dyDescent="0.35">
      <c r="B132" s="125" t="s">
        <v>121</v>
      </c>
      <c r="C132" s="126"/>
      <c r="D132" s="465"/>
      <c r="E132" s="465"/>
      <c r="F132" s="872"/>
      <c r="G132" s="872"/>
      <c r="H132" s="465"/>
      <c r="I132" s="930">
        <f>AVERAGE(I75:I127)</f>
        <v>24.165477807254735</v>
      </c>
      <c r="J132" s="872"/>
      <c r="K132" s="872"/>
      <c r="L132" s="880">
        <f>AVERAGE(L5:L104)</f>
        <v>0.72694915254237302</v>
      </c>
      <c r="M132" s="883">
        <f>SUM(M5:M127)</f>
        <v>7195.1236668702477</v>
      </c>
      <c r="N132" s="880"/>
      <c r="O132" s="930" t="e">
        <f>AVERAGE(O5:O106)</f>
        <v>#DIV/0!</v>
      </c>
      <c r="P132" s="930">
        <f>SUM(P5:P106)</f>
        <v>632.40138888888885</v>
      </c>
      <c r="Q132" s="930">
        <f>SUM(Q5:Q106)</f>
        <v>36534.083333333328</v>
      </c>
      <c r="R132" s="930">
        <f>SUM(R5:R106)</f>
        <v>13936.574305555552</v>
      </c>
      <c r="S132" s="1093">
        <f>SUM(S5:S106)</f>
        <v>5375.3734428672497</v>
      </c>
      <c r="T132" s="118">
        <f>AVERAGE(T5:T43)</f>
        <v>0.65487096774193554</v>
      </c>
      <c r="U132" s="118">
        <f>AVERAGE(U5:U43)</f>
        <v>0.6632580645161289</v>
      </c>
      <c r="V132" s="118">
        <f>AVERAGE(V5:V43)</f>
        <v>8.9542903225806452</v>
      </c>
      <c r="W132" s="119" t="e">
        <f>SUM(W5:W102)</f>
        <v>#VALUE!</v>
      </c>
      <c r="X132" s="119">
        <f>SUM(X5:X16)</f>
        <v>421.51466277143334</v>
      </c>
      <c r="Y132" s="119">
        <f>SUM(Y5:Y16)</f>
        <v>5120.844159414587</v>
      </c>
      <c r="Z132" s="745"/>
      <c r="AB132" s="1213"/>
    </row>
    <row r="133" spans="2:28" x14ac:dyDescent="0.3">
      <c r="M133" s="884"/>
    </row>
    <row r="134" spans="2:28" x14ac:dyDescent="0.3">
      <c r="Z134" s="584" t="s">
        <v>202</v>
      </c>
      <c r="AA134" s="1">
        <f>MIN(Z5:Z102)</f>
        <v>0</v>
      </c>
    </row>
    <row r="135" spans="2:28" x14ac:dyDescent="0.3">
      <c r="L135" s="332"/>
      <c r="M135" s="884"/>
      <c r="N135" s="332"/>
      <c r="O135" s="432"/>
      <c r="P135" s="332"/>
      <c r="Q135" s="432"/>
      <c r="R135" s="12"/>
      <c r="S135" s="1"/>
      <c r="T135" s="1">
        <v>0.52966666666666662</v>
      </c>
      <c r="W135" s="12"/>
      <c r="Y135" s="584" t="s">
        <v>201</v>
      </c>
      <c r="Z135" s="136">
        <f>MAX(Z5:Z102)</f>
        <v>11.3</v>
      </c>
      <c r="AA135" s="921"/>
      <c r="AB135" s="1"/>
    </row>
    <row r="136" spans="2:28" x14ac:dyDescent="0.3">
      <c r="L136" s="332"/>
      <c r="M136" s="884"/>
      <c r="N136" s="332"/>
      <c r="O136" s="432"/>
      <c r="P136" s="332"/>
      <c r="Q136" s="432"/>
      <c r="R136" s="12"/>
      <c r="S136" s="1"/>
      <c r="T136" s="1">
        <v>0.38100000000000001</v>
      </c>
      <c r="V136" s="29">
        <f>_xlfn.STDEV.P(T135:T156)</f>
        <v>9.7206466218263274E-2</v>
      </c>
      <c r="W136" s="12"/>
      <c r="Y136" s="584"/>
      <c r="Z136" s="1"/>
      <c r="AA136" s="921"/>
      <c r="AB136" s="1"/>
    </row>
    <row r="137" spans="2:28" x14ac:dyDescent="0.3">
      <c r="L137" s="332"/>
      <c r="M137" s="432"/>
      <c r="N137" s="332"/>
      <c r="O137" s="432"/>
      <c r="P137" s="332"/>
      <c r="Q137" s="432"/>
      <c r="R137" s="12"/>
      <c r="S137" s="1"/>
      <c r="T137" s="1">
        <v>0.64166666666666672</v>
      </c>
      <c r="W137" s="12"/>
      <c r="Y137" s="584"/>
      <c r="Z137" s="1"/>
      <c r="AA137" s="921"/>
      <c r="AB137" s="1"/>
    </row>
    <row r="138" spans="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0.54266666666666674</v>
      </c>
      <c r="W138" s="12"/>
      <c r="Y138" s="584"/>
      <c r="Z138" s="1"/>
      <c r="AA138" s="921"/>
      <c r="AB138" s="1"/>
    </row>
    <row r="139" spans="2:28" x14ac:dyDescent="0.3">
      <c r="L139" s="332"/>
      <c r="M139" s="432"/>
      <c r="N139" s="332"/>
      <c r="O139" s="432"/>
      <c r="P139" s="332">
        <v>82</v>
      </c>
      <c r="Q139" s="432"/>
      <c r="R139" s="12"/>
      <c r="S139" s="1"/>
      <c r="T139" s="1">
        <v>0.54266666666666674</v>
      </c>
      <c r="W139" s="12"/>
      <c r="Y139" s="584"/>
      <c r="Z139" s="1"/>
      <c r="AA139" s="921"/>
      <c r="AB139" s="1"/>
    </row>
    <row r="140" spans="2:28" x14ac:dyDescent="0.3">
      <c r="L140" s="332"/>
      <c r="M140" s="432"/>
      <c r="N140" s="332"/>
      <c r="O140" s="432"/>
      <c r="P140" s="332">
        <v>84</v>
      </c>
      <c r="Q140" s="432"/>
      <c r="R140" s="12"/>
      <c r="S140" s="1"/>
      <c r="T140" s="1">
        <v>0.32100000000000001</v>
      </c>
      <c r="W140" s="12"/>
      <c r="Y140" s="584"/>
      <c r="Z140" s="1"/>
      <c r="AA140" s="921"/>
      <c r="AB140" s="1"/>
    </row>
    <row r="141" spans="2:28" x14ac:dyDescent="0.3">
      <c r="L141" s="332"/>
      <c r="M141" s="432"/>
      <c r="N141" s="332"/>
      <c r="O141" s="432"/>
      <c r="P141" s="332">
        <v>84</v>
      </c>
      <c r="Q141" s="432"/>
      <c r="R141" s="12"/>
      <c r="S141" s="1"/>
      <c r="T141" s="1">
        <v>0.47433333333333333</v>
      </c>
      <c r="W141" s="12"/>
      <c r="Y141" s="584"/>
      <c r="Z141" s="1"/>
      <c r="AA141" s="921"/>
      <c r="AB141" s="1"/>
    </row>
    <row r="142" spans="2:28" x14ac:dyDescent="0.3">
      <c r="L142" s="332"/>
      <c r="M142" s="432">
        <v>81</v>
      </c>
      <c r="N142" s="332"/>
      <c r="O142" s="432"/>
      <c r="P142" s="332">
        <v>83</v>
      </c>
      <c r="Q142" s="432"/>
      <c r="R142" s="12"/>
      <c r="S142" s="1"/>
      <c r="T142" s="1">
        <v>0.4326666666666667</v>
      </c>
      <c r="W142" s="12"/>
      <c r="Y142" s="584"/>
      <c r="Z142" s="1"/>
      <c r="AA142" s="921"/>
      <c r="AB142" s="1"/>
    </row>
    <row r="143" spans="2:28" x14ac:dyDescent="0.3">
      <c r="L143" s="332"/>
      <c r="M143" s="432">
        <v>76</v>
      </c>
      <c r="N143" s="332"/>
      <c r="O143" s="432"/>
      <c r="P143" s="332">
        <v>80</v>
      </c>
      <c r="Q143" s="432"/>
      <c r="R143" s="12"/>
      <c r="S143" s="1"/>
      <c r="T143" s="1">
        <v>0.39733333333333337</v>
      </c>
      <c r="W143" s="12"/>
      <c r="Y143" s="584"/>
      <c r="Z143" s="1"/>
      <c r="AA143" s="921"/>
      <c r="AB143" s="1"/>
    </row>
    <row r="144" spans="2:28" x14ac:dyDescent="0.3">
      <c r="L144" s="332"/>
      <c r="M144" s="432">
        <v>76</v>
      </c>
      <c r="N144" s="332"/>
      <c r="O144" s="432"/>
      <c r="P144" s="332">
        <v>86</v>
      </c>
      <c r="Q144" s="432"/>
      <c r="R144" s="12"/>
      <c r="S144" s="1"/>
      <c r="T144" s="1">
        <v>0.373</v>
      </c>
      <c r="W144" s="12"/>
      <c r="Y144" s="584"/>
      <c r="Z144" s="1"/>
      <c r="AA144" s="921"/>
      <c r="AB144" s="1"/>
    </row>
    <row r="145" spans="12:28" x14ac:dyDescent="0.3">
      <c r="L145" s="332"/>
      <c r="M145" s="432">
        <v>78</v>
      </c>
      <c r="N145" s="332"/>
      <c r="O145" s="432"/>
      <c r="P145" s="332">
        <v>83</v>
      </c>
      <c r="Q145" s="432"/>
      <c r="R145" s="12"/>
      <c r="S145" s="1"/>
      <c r="T145" s="1">
        <v>0.373</v>
      </c>
      <c r="W145" s="12"/>
      <c r="Y145" s="584"/>
      <c r="Z145" s="1"/>
      <c r="AA145" s="921"/>
      <c r="AB145" s="1"/>
    </row>
    <row r="146" spans="12:28" x14ac:dyDescent="0.3">
      <c r="L146" s="332"/>
      <c r="M146" s="432">
        <v>76</v>
      </c>
      <c r="N146" s="332"/>
      <c r="O146" s="432"/>
      <c r="P146" s="332">
        <v>82</v>
      </c>
      <c r="Q146" s="432"/>
      <c r="R146" s="12"/>
      <c r="S146" s="1"/>
      <c r="T146" s="1">
        <v>0.52566666666666673</v>
      </c>
      <c r="W146" s="12"/>
      <c r="Y146" s="584"/>
      <c r="Z146" s="1"/>
      <c r="AA146" s="921"/>
      <c r="AB146" s="1"/>
    </row>
    <row r="147" spans="12:28" x14ac:dyDescent="0.3">
      <c r="L147" s="332"/>
      <c r="M147" s="432">
        <v>79</v>
      </c>
      <c r="N147" s="332"/>
      <c r="O147" s="432"/>
      <c r="P147" s="332">
        <v>80</v>
      </c>
      <c r="Q147" s="432"/>
      <c r="R147" s="12"/>
      <c r="S147" s="1"/>
      <c r="T147" s="1">
        <v>0.41</v>
      </c>
      <c r="W147" s="12"/>
      <c r="Y147" s="584"/>
      <c r="Z147" s="1"/>
      <c r="AA147" s="921"/>
      <c r="AB147" s="1"/>
    </row>
    <row r="148" spans="12:28" x14ac:dyDescent="0.3">
      <c r="L148" s="332"/>
      <c r="M148" s="432">
        <v>85</v>
      </c>
      <c r="N148" s="332"/>
      <c r="O148" s="432"/>
      <c r="P148" s="332">
        <v>82</v>
      </c>
      <c r="Q148" s="432"/>
      <c r="R148" s="12"/>
      <c r="S148" s="1"/>
      <c r="T148" s="1">
        <v>0.65566666666666673</v>
      </c>
      <c r="W148" s="12"/>
      <c r="Y148" s="584"/>
      <c r="Z148" s="1"/>
      <c r="AA148" s="921"/>
      <c r="AB148" s="1"/>
    </row>
    <row r="149" spans="12:28" x14ac:dyDescent="0.3">
      <c r="L149" s="332"/>
      <c r="M149" s="432">
        <v>78</v>
      </c>
      <c r="N149" s="332"/>
      <c r="O149" s="432"/>
      <c r="P149" s="332">
        <v>83</v>
      </c>
      <c r="Q149" s="432"/>
      <c r="R149" s="12"/>
      <c r="S149" s="1"/>
      <c r="T149" s="1">
        <v>0.35966666666666663</v>
      </c>
      <c r="W149" s="12"/>
      <c r="Y149" s="584"/>
      <c r="Z149" s="1"/>
      <c r="AA149" s="921"/>
      <c r="AB149" s="1"/>
    </row>
    <row r="150" spans="12:28" x14ac:dyDescent="0.3">
      <c r="L150" s="332"/>
      <c r="M150" s="432">
        <v>81</v>
      </c>
      <c r="N150" s="332"/>
      <c r="O150" s="432"/>
      <c r="P150" s="332">
        <v>72</v>
      </c>
      <c r="Q150" s="432"/>
      <c r="R150" s="12"/>
      <c r="S150" s="1"/>
      <c r="T150" s="1">
        <v>0.34266666666666667</v>
      </c>
      <c r="W150" s="12"/>
      <c r="Y150" s="584"/>
      <c r="Z150" s="1"/>
      <c r="AA150" s="921"/>
      <c r="AB150" s="1"/>
    </row>
    <row r="151" spans="12:28" x14ac:dyDescent="0.3">
      <c r="L151" s="332"/>
      <c r="M151" s="432">
        <v>76</v>
      </c>
      <c r="N151" s="332"/>
      <c r="O151" s="432"/>
      <c r="P151" s="332">
        <v>82</v>
      </c>
      <c r="Q151" s="432"/>
      <c r="R151" s="12"/>
      <c r="S151" s="1"/>
      <c r="T151" s="1">
        <v>0.39900000000000002</v>
      </c>
      <c r="W151" s="12"/>
      <c r="Y151" s="584"/>
      <c r="Z151" s="1"/>
      <c r="AA151" s="921"/>
      <c r="AB151" s="1"/>
    </row>
    <row r="152" spans="12:28" x14ac:dyDescent="0.3">
      <c r="L152" s="332"/>
      <c r="M152" s="432">
        <v>88</v>
      </c>
      <c r="N152" s="332"/>
      <c r="O152" s="432"/>
      <c r="P152" s="332">
        <v>82</v>
      </c>
      <c r="Q152" s="432"/>
      <c r="R152" s="12"/>
      <c r="S152" s="1"/>
      <c r="T152" s="1">
        <v>0.39900000000000002</v>
      </c>
      <c r="W152" s="12"/>
      <c r="Y152" s="584"/>
      <c r="Z152" s="1"/>
      <c r="AA152" s="921"/>
      <c r="AB152" s="1"/>
    </row>
    <row r="153" spans="12:28" x14ac:dyDescent="0.3">
      <c r="L153" s="332"/>
      <c r="M153" s="432">
        <v>82</v>
      </c>
      <c r="N153" s="332"/>
      <c r="O153" s="432"/>
      <c r="P153" s="332">
        <v>84</v>
      </c>
      <c r="Q153" s="432"/>
      <c r="R153" s="12"/>
      <c r="S153" s="1"/>
      <c r="T153" s="1">
        <v>0.35066666666666668</v>
      </c>
      <c r="W153" s="12"/>
      <c r="Y153" s="584"/>
      <c r="Z153" s="1"/>
      <c r="AA153" s="921"/>
      <c r="AB153" s="1"/>
    </row>
    <row r="154" spans="12:28" x14ac:dyDescent="0.3">
      <c r="L154" s="332"/>
      <c r="M154" s="432">
        <v>78</v>
      </c>
      <c r="N154" s="332"/>
      <c r="O154" s="432"/>
      <c r="P154" s="332">
        <v>85</v>
      </c>
      <c r="Q154" s="432"/>
      <c r="R154" s="12"/>
      <c r="S154" s="1"/>
      <c r="T154" s="1">
        <v>0.43533333333333335</v>
      </c>
      <c r="W154" s="12"/>
      <c r="Y154" s="584"/>
      <c r="Z154" s="1"/>
      <c r="AA154" s="921"/>
      <c r="AB154" s="1"/>
    </row>
    <row r="155" spans="12:28" x14ac:dyDescent="0.3">
      <c r="L155" s="332"/>
      <c r="M155" s="432">
        <v>76</v>
      </c>
      <c r="N155" s="332"/>
      <c r="O155" s="432"/>
      <c r="P155" s="332">
        <v>82</v>
      </c>
      <c r="Q155" s="432"/>
      <c r="R155" s="12"/>
      <c r="S155" s="1"/>
      <c r="T155" s="1">
        <v>0.28733333333333333</v>
      </c>
      <c r="W155" s="12"/>
      <c r="Y155" s="584"/>
      <c r="Z155" s="1"/>
      <c r="AA155" s="921"/>
      <c r="AB155" s="1"/>
    </row>
    <row r="156" spans="12:28" x14ac:dyDescent="0.3">
      <c r="L156" s="332"/>
      <c r="M156" s="432">
        <v>84</v>
      </c>
      <c r="N156" s="332"/>
      <c r="O156" s="432"/>
      <c r="P156" s="332">
        <v>78</v>
      </c>
      <c r="Q156" s="432"/>
      <c r="R156" s="12"/>
      <c r="S156" s="1"/>
      <c r="T156" s="1">
        <v>0.37828571428571428</v>
      </c>
      <c r="W156" s="12"/>
      <c r="Y156" s="584"/>
      <c r="Z156" s="1"/>
      <c r="AA156" s="921"/>
      <c r="AB156" s="1"/>
    </row>
    <row r="157" spans="12:28" x14ac:dyDescent="0.3">
      <c r="L157" s="332"/>
      <c r="M157" s="432">
        <v>84</v>
      </c>
      <c r="N157" s="332"/>
      <c r="O157" s="432"/>
      <c r="P157" s="332">
        <v>72</v>
      </c>
      <c r="Q157" s="432"/>
      <c r="R157" s="12"/>
      <c r="S157" s="1"/>
      <c r="W157" s="12"/>
      <c r="Y157" s="584"/>
      <c r="Z157" s="1"/>
      <c r="AA157" s="921"/>
      <c r="AB157" s="1"/>
    </row>
    <row r="158" spans="12:28" x14ac:dyDescent="0.3">
      <c r="M158" s="332">
        <v>76</v>
      </c>
      <c r="Q158" s="332">
        <v>72</v>
      </c>
    </row>
    <row r="159" spans="12:28" x14ac:dyDescent="0.3">
      <c r="M159" s="332">
        <v>84</v>
      </c>
      <c r="Q159" s="332">
        <v>75</v>
      </c>
    </row>
    <row r="160" spans="12:28" x14ac:dyDescent="0.3">
      <c r="M160" s="332">
        <v>80</v>
      </c>
      <c r="Q160" s="332">
        <v>72</v>
      </c>
    </row>
    <row r="161" spans="13:17" x14ac:dyDescent="0.3">
      <c r="M161" s="332">
        <v>84</v>
      </c>
      <c r="Q161" s="332">
        <v>60</v>
      </c>
    </row>
    <row r="162" spans="13:17" x14ac:dyDescent="0.3">
      <c r="M162" s="332">
        <v>84</v>
      </c>
    </row>
    <row r="163" spans="13:17" x14ac:dyDescent="0.3">
      <c r="M163" s="332">
        <v>74</v>
      </c>
    </row>
    <row r="164" spans="13:17" x14ac:dyDescent="0.3">
      <c r="M164" s="332">
        <v>80</v>
      </c>
    </row>
    <row r="165" spans="13:17" x14ac:dyDescent="0.3">
      <c r="M165" s="332">
        <v>80</v>
      </c>
    </row>
  </sheetData>
  <mergeCells count="209">
    <mergeCell ref="S121:S124"/>
    <mergeCell ref="B125:C125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18:A120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21:A124"/>
    <mergeCell ref="B128:C129"/>
    <mergeCell ref="B130:C131"/>
    <mergeCell ref="S112:S114"/>
    <mergeCell ref="A112:A114"/>
    <mergeCell ref="A110:A111"/>
    <mergeCell ref="B119:C120"/>
    <mergeCell ref="B121:C122"/>
    <mergeCell ref="B123:C124"/>
    <mergeCell ref="B126:C127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</mergeCells>
  <phoneticPr fontId="108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52" t="s">
        <v>269</v>
      </c>
      <c r="B3" s="1553"/>
      <c r="C3" s="1553"/>
      <c r="D3" s="1553"/>
      <c r="E3" s="1553"/>
      <c r="F3" s="1553"/>
      <c r="G3" s="1554"/>
      <c r="I3" s="1">
        <f>I2/2</f>
        <v>720</v>
      </c>
    </row>
    <row r="4" spans="1:14" ht="15" thickBot="1" x14ac:dyDescent="0.35">
      <c r="A4" s="1555" t="s">
        <v>0</v>
      </c>
      <c r="B4" s="155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688">
        <v>46268</v>
      </c>
      <c r="B5" s="1548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688">
        <v>46269</v>
      </c>
      <c r="B6" s="1548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88">
        <v>46270</v>
      </c>
      <c r="B7" s="1548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88">
        <v>46271</v>
      </c>
      <c r="B8" s="1548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88">
        <v>46272</v>
      </c>
      <c r="B9" s="1548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88">
        <v>46273</v>
      </c>
      <c r="B10" s="1548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88">
        <v>46274</v>
      </c>
      <c r="B11" s="1548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88">
        <v>46275</v>
      </c>
      <c r="B12" s="1548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88">
        <v>46276</v>
      </c>
      <c r="B13" s="1548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88">
        <v>46277</v>
      </c>
      <c r="B14" s="1548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88">
        <v>46278</v>
      </c>
      <c r="B15" s="1548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88">
        <v>46279</v>
      </c>
      <c r="B16" s="1548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88">
        <v>46280</v>
      </c>
      <c r="B17" s="1548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88">
        <v>46281</v>
      </c>
      <c r="B18" s="1548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88">
        <v>46282</v>
      </c>
      <c r="B19" s="1548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88">
        <v>46283</v>
      </c>
      <c r="B20" s="1548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88">
        <v>46284</v>
      </c>
      <c r="B21" s="1548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88">
        <v>46285</v>
      </c>
      <c r="B22" s="1548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88">
        <v>46286</v>
      </c>
      <c r="B23" s="1548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88">
        <v>46287</v>
      </c>
      <c r="B24" s="1548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88">
        <v>46288</v>
      </c>
      <c r="B25" s="1548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88">
        <v>46289</v>
      </c>
      <c r="B26" s="1548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88">
        <v>46290</v>
      </c>
      <c r="B27" s="1548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88">
        <v>46291</v>
      </c>
      <c r="B28" s="1548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88">
        <v>46292</v>
      </c>
      <c r="B29" s="1548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88">
        <v>46293</v>
      </c>
      <c r="B30" s="1548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88">
        <v>46294</v>
      </c>
      <c r="B31" s="1548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88">
        <v>46295</v>
      </c>
      <c r="B32" s="1548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88">
        <v>46296</v>
      </c>
      <c r="B33" s="1548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88">
        <v>46297</v>
      </c>
      <c r="B34" s="1548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88">
        <v>46298</v>
      </c>
      <c r="B35" s="1548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88">
        <v>46299</v>
      </c>
      <c r="B36" s="1548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88">
        <v>46300</v>
      </c>
      <c r="B37" s="1548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88">
        <v>46301</v>
      </c>
      <c r="B38" s="1548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88">
        <v>46302</v>
      </c>
      <c r="B39" s="1548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88">
        <v>46303</v>
      </c>
      <c r="B40" s="1548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88">
        <v>46304</v>
      </c>
      <c r="B41" s="1548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88">
        <v>46305</v>
      </c>
      <c r="B42" s="1548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88">
        <v>46306</v>
      </c>
      <c r="B43" s="1548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88">
        <v>46307</v>
      </c>
      <c r="B44" s="1548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88">
        <v>46308</v>
      </c>
      <c r="B45" s="1548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88">
        <v>46309</v>
      </c>
      <c r="B46" s="1548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88">
        <v>46310</v>
      </c>
      <c r="B47" s="1548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88">
        <v>46311</v>
      </c>
      <c r="B48" s="1548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88">
        <v>46312</v>
      </c>
      <c r="B49" s="1548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88">
        <v>46313</v>
      </c>
      <c r="B50" s="1548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88">
        <v>46314</v>
      </c>
      <c r="B51" s="1548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88">
        <v>46315</v>
      </c>
      <c r="B52" s="1548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88">
        <v>46316</v>
      </c>
      <c r="B53" s="1548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88">
        <v>46317</v>
      </c>
      <c r="B54" s="1548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88">
        <v>46318</v>
      </c>
      <c r="B55" s="1548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88">
        <v>46319</v>
      </c>
      <c r="B56" s="1548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88">
        <v>46320</v>
      </c>
      <c r="B57" s="1548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88">
        <v>46321</v>
      </c>
      <c r="B58" s="1548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88">
        <v>46322</v>
      </c>
      <c r="B59" s="1548"/>
      <c r="C59" s="64"/>
      <c r="D59" s="67"/>
      <c r="E59" s="67"/>
      <c r="F59" s="61">
        <f t="shared" si="5"/>
        <v>0</v>
      </c>
      <c r="G59" s="65"/>
    </row>
    <row r="60" spans="1:18" x14ac:dyDescent="0.3">
      <c r="A60" s="1688">
        <v>46323</v>
      </c>
      <c r="B60" s="1548"/>
      <c r="C60" s="64"/>
      <c r="D60" s="67"/>
      <c r="E60" s="67"/>
      <c r="F60" s="61">
        <f t="shared" si="5"/>
        <v>0</v>
      </c>
      <c r="G60" s="65"/>
    </row>
    <row r="61" spans="1:18" x14ac:dyDescent="0.3">
      <c r="A61" s="1688">
        <v>46324</v>
      </c>
      <c r="B61" s="1548"/>
      <c r="C61" s="64"/>
      <c r="D61" s="67"/>
      <c r="E61" s="67"/>
      <c r="F61" s="61">
        <f t="shared" si="5"/>
        <v>0</v>
      </c>
      <c r="G61" s="65"/>
    </row>
    <row r="62" spans="1:18" x14ac:dyDescent="0.3">
      <c r="A62" s="1688">
        <v>46325</v>
      </c>
      <c r="B62" s="1548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abSelected="1" topLeftCell="A6" zoomScale="88" zoomScaleNormal="50" workbookViewId="0">
      <pane xSplit="2" topLeftCell="C1" activePane="topRight" state="frozen"/>
      <selection pane="topRight" activeCell="I28" sqref="I28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705" t="s">
        <v>242</v>
      </c>
      <c r="F2" s="1706"/>
      <c r="G2" s="1706"/>
      <c r="H2" s="1706"/>
      <c r="I2" s="1706"/>
      <c r="J2" s="1706"/>
      <c r="K2" s="1706"/>
      <c r="L2" s="1706"/>
      <c r="M2" s="1706"/>
      <c r="N2" s="1706"/>
      <c r="O2" s="1706"/>
      <c r="P2" s="1706"/>
      <c r="Q2" s="1706"/>
      <c r="R2" s="1706"/>
      <c r="S2" s="1706"/>
      <c r="T2" s="1706"/>
      <c r="U2" s="1706"/>
      <c r="V2" s="1706"/>
      <c r="W2" s="1706"/>
      <c r="X2" s="1706"/>
      <c r="Y2" s="1706"/>
      <c r="Z2" s="1706"/>
      <c r="AA2" s="1706"/>
      <c r="AB2" s="1706"/>
      <c r="AC2" s="1706"/>
      <c r="AD2" s="1706"/>
      <c r="AE2" s="1706"/>
      <c r="AF2" s="1707"/>
    </row>
    <row r="3" spans="1:68" ht="24" thickBot="1" x14ac:dyDescent="0.5">
      <c r="E3" s="1705" t="s">
        <v>197</v>
      </c>
      <c r="F3" s="1706"/>
      <c r="G3" s="1706"/>
      <c r="H3" s="1706"/>
      <c r="I3" s="1706"/>
      <c r="J3" s="1706"/>
      <c r="K3" s="1706"/>
      <c r="L3" s="1706"/>
      <c r="M3" s="1706"/>
      <c r="N3" s="1706"/>
      <c r="O3" s="1706"/>
      <c r="P3" s="1706"/>
      <c r="Q3" s="1706"/>
      <c r="R3" s="1706"/>
      <c r="S3" s="1706"/>
      <c r="T3" s="1706"/>
      <c r="U3" s="1706"/>
      <c r="V3" s="1706"/>
      <c r="W3" s="1706"/>
      <c r="X3" s="1706"/>
      <c r="Y3" s="1706"/>
      <c r="Z3" s="1706"/>
      <c r="AA3" s="1706"/>
      <c r="AB3" s="1706"/>
      <c r="AC3" s="1706"/>
      <c r="AD3" s="1706"/>
      <c r="AE3" s="1706"/>
      <c r="AF3" s="1707"/>
      <c r="AJ3" s="136"/>
      <c r="AO3" s="2"/>
    </row>
    <row r="4" spans="1:68" ht="24" thickBot="1" x14ac:dyDescent="0.5">
      <c r="E4" s="1709" t="s">
        <v>535</v>
      </c>
      <c r="F4" s="1710"/>
      <c r="G4" s="1710"/>
      <c r="H4" s="1710"/>
      <c r="I4" s="1710"/>
      <c r="J4" s="1710"/>
      <c r="K4" s="1710"/>
      <c r="L4" s="1710"/>
      <c r="M4" s="1710"/>
      <c r="N4" s="1710"/>
      <c r="O4" s="1710"/>
      <c r="P4" s="1710"/>
      <c r="Q4" s="1710"/>
      <c r="R4" s="1710"/>
      <c r="S4" s="1710"/>
      <c r="T4" s="1710"/>
      <c r="U4" s="1710"/>
      <c r="V4" s="1710"/>
      <c r="W4" s="1710"/>
      <c r="X4" s="1710"/>
      <c r="Y4" s="1710"/>
      <c r="Z4" s="1710"/>
      <c r="AA4" s="1710"/>
      <c r="AB4" s="1710"/>
      <c r="AC4" s="1710"/>
      <c r="AD4" s="1710"/>
      <c r="AE4" s="1710"/>
      <c r="AF4" s="1711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15" t="s">
        <v>843</v>
      </c>
      <c r="G6" s="1715"/>
      <c r="H6" s="1715" t="s">
        <v>844</v>
      </c>
      <c r="I6" s="1715"/>
      <c r="K6" s="244"/>
      <c r="L6" s="244"/>
      <c r="O6" s="29"/>
      <c r="V6" s="946"/>
      <c r="W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672" t="s">
        <v>258</v>
      </c>
      <c r="C7" s="205" t="s">
        <v>324</v>
      </c>
      <c r="D7" s="205" t="s">
        <v>704</v>
      </c>
      <c r="E7" s="1672" t="s">
        <v>243</v>
      </c>
      <c r="F7" s="1672" t="s">
        <v>244</v>
      </c>
      <c r="G7" s="1672" t="s">
        <v>245</v>
      </c>
      <c r="H7" s="1672" t="s">
        <v>246</v>
      </c>
      <c r="I7" s="1672" t="s">
        <v>247</v>
      </c>
      <c r="J7" s="1708" t="s">
        <v>144</v>
      </c>
      <c r="K7" s="1712" t="s">
        <v>678</v>
      </c>
      <c r="L7" s="1712" t="s">
        <v>936</v>
      </c>
      <c r="M7" s="1672" t="s">
        <v>249</v>
      </c>
      <c r="N7" s="1669" t="s">
        <v>248</v>
      </c>
      <c r="O7" s="224" t="s">
        <v>248</v>
      </c>
      <c r="P7" s="1669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72" t="s">
        <v>250</v>
      </c>
      <c r="W7" s="205" t="s">
        <v>302</v>
      </c>
      <c r="X7" s="1672" t="s">
        <v>259</v>
      </c>
      <c r="Y7" s="1672"/>
      <c r="Z7" s="1672"/>
      <c r="AA7" s="1689" t="s">
        <v>261</v>
      </c>
      <c r="AB7" s="1689"/>
      <c r="AC7" s="1689"/>
      <c r="AD7" s="1672" t="s">
        <v>268</v>
      </c>
      <c r="AE7" s="1672" t="s">
        <v>289</v>
      </c>
      <c r="AF7" s="1689" t="s">
        <v>255</v>
      </c>
      <c r="AG7" s="1689"/>
      <c r="AH7" s="1689"/>
      <c r="AI7" s="1689"/>
      <c r="AJ7" s="1689"/>
      <c r="AK7" s="1689"/>
      <c r="AL7" s="1689" t="s">
        <v>265</v>
      </c>
      <c r="AM7" s="1689"/>
      <c r="AN7" s="1689"/>
      <c r="AO7" s="1689" t="s">
        <v>266</v>
      </c>
      <c r="AP7" s="1689"/>
      <c r="AQ7" s="1689"/>
      <c r="AR7" s="131"/>
      <c r="AS7" s="247" t="s">
        <v>329</v>
      </c>
      <c r="AT7" s="1696" t="s">
        <v>272</v>
      </c>
      <c r="AU7" s="1697"/>
      <c r="AV7" s="1698"/>
      <c r="AW7" s="1702" t="s">
        <v>299</v>
      </c>
      <c r="AX7" s="1148"/>
      <c r="AY7" s="1669" t="s">
        <v>300</v>
      </c>
      <c r="AZ7" s="1689" t="s">
        <v>659</v>
      </c>
      <c r="BA7" s="1689"/>
      <c r="BB7" s="1689"/>
      <c r="BC7" s="131" t="s">
        <v>292</v>
      </c>
      <c r="BD7" s="1689" t="s">
        <v>276</v>
      </c>
      <c r="BE7" s="1689"/>
      <c r="BF7" s="1689"/>
      <c r="BG7" s="1689" t="s">
        <v>759</v>
      </c>
      <c r="BH7" s="1689"/>
      <c r="BI7" s="1689"/>
      <c r="BJ7" s="1689" t="s">
        <v>761</v>
      </c>
      <c r="BK7" s="1689"/>
      <c r="BL7" s="1689"/>
    </row>
    <row r="8" spans="1:68" x14ac:dyDescent="0.3">
      <c r="B8" s="1672"/>
      <c r="C8" s="205" t="s">
        <v>295</v>
      </c>
      <c r="D8" s="205" t="s">
        <v>36</v>
      </c>
      <c r="E8" s="1672"/>
      <c r="F8" s="1672"/>
      <c r="G8" s="1672"/>
      <c r="H8" s="1672"/>
      <c r="I8" s="1672"/>
      <c r="J8" s="1708"/>
      <c r="K8" s="1713"/>
      <c r="L8" s="1713"/>
      <c r="M8" s="1672"/>
      <c r="N8" s="1670"/>
      <c r="O8" s="225" t="s">
        <v>315</v>
      </c>
      <c r="P8" s="1670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72"/>
      <c r="W8" s="205" t="s">
        <v>184</v>
      </c>
      <c r="X8" s="1672" t="s">
        <v>260</v>
      </c>
      <c r="Y8" s="1672"/>
      <c r="Z8" s="1672"/>
      <c r="AA8" s="1689" t="s">
        <v>464</v>
      </c>
      <c r="AB8" s="1689"/>
      <c r="AC8" s="1689"/>
      <c r="AD8" s="1672"/>
      <c r="AE8" s="1672"/>
      <c r="AF8" s="1689" t="s">
        <v>262</v>
      </c>
      <c r="AG8" s="1689"/>
      <c r="AH8" s="1689"/>
      <c r="AI8" s="1689" t="s">
        <v>263</v>
      </c>
      <c r="AJ8" s="1689"/>
      <c r="AK8" s="1689"/>
      <c r="AL8" s="1689" t="s">
        <v>264</v>
      </c>
      <c r="AM8" s="1689"/>
      <c r="AN8" s="1689"/>
      <c r="AO8" s="1689" t="s">
        <v>256</v>
      </c>
      <c r="AP8" s="1689"/>
      <c r="AQ8" s="1689"/>
      <c r="AR8" s="131" t="s">
        <v>257</v>
      </c>
      <c r="AS8" s="248" t="s">
        <v>293</v>
      </c>
      <c r="AT8" s="1699"/>
      <c r="AU8" s="1700"/>
      <c r="AV8" s="1701"/>
      <c r="AW8" s="1703"/>
      <c r="AX8" s="1149"/>
      <c r="AY8" s="1671"/>
      <c r="AZ8" s="1689" t="s">
        <v>260</v>
      </c>
      <c r="BA8" s="1689"/>
      <c r="BB8" s="1689"/>
      <c r="BC8" s="131" t="s">
        <v>293</v>
      </c>
      <c r="BD8" s="1689" t="s">
        <v>40</v>
      </c>
      <c r="BE8" s="1689"/>
      <c r="BF8" s="1689"/>
      <c r="BG8" s="1689" t="s">
        <v>760</v>
      </c>
      <c r="BH8" s="1689"/>
      <c r="BI8" s="1689"/>
      <c r="BJ8" s="1689" t="s">
        <v>40</v>
      </c>
      <c r="BK8" s="1689"/>
      <c r="BL8" s="1689"/>
    </row>
    <row r="9" spans="1:68" x14ac:dyDescent="0.3">
      <c r="B9" s="1672"/>
      <c r="C9" s="205" t="s">
        <v>296</v>
      </c>
      <c r="D9" s="205" t="s">
        <v>741</v>
      </c>
      <c r="E9" s="1672"/>
      <c r="F9" s="1672"/>
      <c r="G9" s="1672"/>
      <c r="H9" s="1672"/>
      <c r="I9" s="1672"/>
      <c r="J9" s="1708"/>
      <c r="K9" s="1714"/>
      <c r="L9" s="1714"/>
      <c r="M9" s="1672"/>
      <c r="N9" s="1671"/>
      <c r="O9" s="204" t="s">
        <v>314</v>
      </c>
      <c r="P9" s="1671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72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72"/>
      <c r="AE9" s="1672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04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8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9">$O25*X25</f>
        <v>149.52931023551497</v>
      </c>
      <c r="AM25" s="39">
        <f t="shared" ref="AM25" si="90">$O25*Y25</f>
        <v>146.13149744526666</v>
      </c>
      <c r="AN25" s="39">
        <f t="shared" ref="AN25" si="91">$O25*AC25</f>
        <v>4010.7627711657942</v>
      </c>
      <c r="AO25" s="39">
        <f t="shared" ref="AO25" si="92">AF25*$O25</f>
        <v>39.240905607679991</v>
      </c>
      <c r="AP25" s="39">
        <f t="shared" ref="AP25" si="93">AG25*$O25</f>
        <v>66.423407929666652</v>
      </c>
      <c r="AQ25" s="39">
        <f t="shared" ref="AQ25" si="94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>M26*J26*P26</f>
        <v>357.97239999999999</v>
      </c>
      <c r="O26" s="673">
        <f t="shared" si="88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5">$O26*X26</f>
        <v>114.86977833333334</v>
      </c>
      <c r="AM26" s="673">
        <f t="shared" ref="AM26:AM59" si="96">$O26*Y26</f>
        <v>127.002092</v>
      </c>
      <c r="AN26" s="673">
        <f t="shared" ref="AN26:AN59" si="97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>M27*J27*P27</f>
        <v>389.26080000000002</v>
      </c>
      <c r="O27" s="39">
        <f t="shared" si="88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8">AF27*$O27</f>
        <v>19.070945775000006</v>
      </c>
      <c r="AP27" s="39">
        <f t="shared" si="98"/>
        <v>55.785759749999997</v>
      </c>
      <c r="AQ27" s="39">
        <f t="shared" si="98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>M28*J28*P28</f>
        <v>385.2432</v>
      </c>
      <c r="O28" s="673">
        <f t="shared" si="88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98"/>
        <v>54.072841050000001</v>
      </c>
      <c r="AP28" s="673">
        <f t="shared" si="98"/>
        <v>73.254514499999999</v>
      </c>
      <c r="AQ28" s="673">
        <f t="shared" si="98"/>
        <v>3636.8960985000003</v>
      </c>
      <c r="AR28" s="673">
        <f t="shared" si="81"/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>O29/C29</f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0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 t="shared" si="87"/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819">
        <f>((X29-AA29)/(X29+AA29)/2)</f>
        <v>3.8786901804691389E-3</v>
      </c>
      <c r="AF29" s="6"/>
      <c r="AG29" s="6"/>
      <c r="AH29" s="6"/>
      <c r="AI29" s="6"/>
      <c r="AJ29" s="6"/>
      <c r="AK29" s="6"/>
      <c r="AL29" s="39">
        <f t="shared" si="95"/>
        <v>243.55674471999998</v>
      </c>
      <c r="AM29" s="39">
        <f t="shared" si="96"/>
        <v>195.42962080000001</v>
      </c>
      <c r="AN29" s="39">
        <f t="shared" si="97"/>
        <v>3016.7353588349956</v>
      </c>
      <c r="AO29" s="39">
        <f t="shared" si="78"/>
        <v>0</v>
      </c>
      <c r="AP29" s="39">
        <f t="shared" si="79"/>
        <v>0</v>
      </c>
      <c r="AQ29" s="39">
        <f t="shared" si="80"/>
        <v>0</v>
      </c>
      <c r="AR29" s="39">
        <f t="shared" si="81"/>
        <v>0</v>
      </c>
      <c r="AS29" s="39">
        <v>20</v>
      </c>
      <c r="AT29" s="38">
        <f t="shared" si="26"/>
        <v>1</v>
      </c>
      <c r="AU29" s="38">
        <f t="shared" si="27"/>
        <v>1</v>
      </c>
      <c r="AV29" s="38">
        <f t="shared" si="28"/>
        <v>1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 t="shared" si="83"/>
        <v>243.55674471999998</v>
      </c>
      <c r="BE29" s="39">
        <f t="shared" si="69"/>
        <v>195.42962080000001</v>
      </c>
      <c r="BF29" s="39">
        <f t="shared" si="86"/>
        <v>3016.7353588349956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>O30/C30</f>
        <v>8.9238036809815959</v>
      </c>
      <c r="E30" s="451">
        <v>2</v>
      </c>
      <c r="F30" s="1137">
        <v>46314</v>
      </c>
      <c r="G30" s="1138">
        <v>1.3888888888888888E-2</v>
      </c>
      <c r="H30" s="451"/>
      <c r="I30" s="452"/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 t="shared" si="0"/>
        <v>337.03200000000004</v>
      </c>
      <c r="O30" s="673">
        <f>N30-U28</f>
        <v>290.91600000000005</v>
      </c>
      <c r="P30" s="451">
        <v>1.24</v>
      </c>
      <c r="Q30" s="451">
        <v>2</v>
      </c>
      <c r="R30" s="451"/>
      <c r="S30" s="451"/>
      <c r="T30" s="451">
        <v>108</v>
      </c>
      <c r="U30" s="452"/>
      <c r="V30" s="673">
        <f>IFERROR(N30*((1-M30)/M30),"")</f>
        <v>599.16800000000012</v>
      </c>
      <c r="W30" s="673">
        <f>W29+N30</f>
        <v>7064.7804803100007</v>
      </c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5"/>
        <v>0</v>
      </c>
      <c r="AM30" s="673">
        <f t="shared" si="96"/>
        <v>0</v>
      </c>
      <c r="AN30" s="673">
        <f t="shared" si="97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0</v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0</v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5"/>
        <v>0</v>
      </c>
      <c r="AM31" s="39">
        <f t="shared" si="96"/>
        <v>0</v>
      </c>
      <c r="AN31" s="39">
        <f t="shared" si="97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 t="str">
        <f t="shared" si="81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 t="str">
        <f t="shared" si="83"/>
        <v/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5"/>
        <v>0</v>
      </c>
      <c r="AM32" s="673">
        <f t="shared" si="96"/>
        <v>0</v>
      </c>
      <c r="AN32" s="673">
        <f t="shared" si="97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5"/>
        <v>0</v>
      </c>
      <c r="AM33" s="39">
        <f t="shared" si="96"/>
        <v>0</v>
      </c>
      <c r="AN33" s="39">
        <f t="shared" si="97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5"/>
        <v>0</v>
      </c>
      <c r="AM34" s="673">
        <f t="shared" si="96"/>
        <v>0</v>
      </c>
      <c r="AN34" s="673">
        <f t="shared" si="97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5"/>
        <v>0</v>
      </c>
      <c r="AM35" s="39">
        <f t="shared" si="96"/>
        <v>0</v>
      </c>
      <c r="AN35" s="39">
        <f t="shared" si="97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5"/>
        <v>0</v>
      </c>
      <c r="AM36" s="673">
        <f t="shared" si="96"/>
        <v>0</v>
      </c>
      <c r="AN36" s="673">
        <f t="shared" si="97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5"/>
        <v>0</v>
      </c>
      <c r="AM37" s="39">
        <f t="shared" si="96"/>
        <v>0</v>
      </c>
      <c r="AN37" s="39">
        <f t="shared" si="97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5"/>
        <v>0</v>
      </c>
      <c r="AM38" s="673">
        <f t="shared" si="96"/>
        <v>0</v>
      </c>
      <c r="AN38" s="673">
        <f t="shared" si="97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5"/>
        <v>0</v>
      </c>
      <c r="AM39" s="39">
        <f t="shared" si="96"/>
        <v>0</v>
      </c>
      <c r="AN39" s="39">
        <f t="shared" si="97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5"/>
        <v>0</v>
      </c>
      <c r="AM40" s="673">
        <f t="shared" si="96"/>
        <v>0</v>
      </c>
      <c r="AN40" s="673">
        <f t="shared" si="97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5"/>
        <v>0</v>
      </c>
      <c r="AM41" s="39">
        <f t="shared" si="96"/>
        <v>0</v>
      </c>
      <c r="AN41" s="39">
        <f t="shared" si="97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5"/>
        <v>0</v>
      </c>
      <c r="AM42" s="673">
        <f t="shared" si="96"/>
        <v>0</v>
      </c>
      <c r="AN42" s="673">
        <f t="shared" si="97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5"/>
        <v>0</v>
      </c>
      <c r="AM43" s="39">
        <f t="shared" si="96"/>
        <v>0</v>
      </c>
      <c r="AN43" s="39">
        <f t="shared" si="97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5"/>
        <v>0</v>
      </c>
      <c r="AM44" s="39">
        <f t="shared" si="96"/>
        <v>0</v>
      </c>
      <c r="AN44" s="39">
        <f t="shared" si="97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5"/>
        <v>0</v>
      </c>
      <c r="AM45" s="39">
        <f t="shared" si="96"/>
        <v>0</v>
      </c>
      <c r="AN45" s="39">
        <f t="shared" si="97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5"/>
        <v>0</v>
      </c>
      <c r="AM46" s="39">
        <f t="shared" si="96"/>
        <v>0</v>
      </c>
      <c r="AN46" s="39">
        <f t="shared" si="97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5"/>
        <v>0</v>
      </c>
      <c r="AM47" s="39">
        <f t="shared" si="96"/>
        <v>0</v>
      </c>
      <c r="AN47" s="39">
        <f t="shared" si="97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5"/>
        <v>0</v>
      </c>
      <c r="AM48" s="39">
        <f t="shared" si="96"/>
        <v>0</v>
      </c>
      <c r="AN48" s="39">
        <f t="shared" si="97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5"/>
        <v>0</v>
      </c>
      <c r="AM49" s="39">
        <f t="shared" si="96"/>
        <v>0</v>
      </c>
      <c r="AN49" s="39">
        <f t="shared" si="97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5"/>
        <v>0</v>
      </c>
      <c r="AM50" s="39">
        <f t="shared" si="96"/>
        <v>0</v>
      </c>
      <c r="AN50" s="39">
        <f t="shared" si="97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5"/>
        <v>0</v>
      </c>
      <c r="AM51" s="39">
        <f t="shared" si="96"/>
        <v>0</v>
      </c>
      <c r="AN51" s="39">
        <f t="shared" si="97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5"/>
        <v>0</v>
      </c>
      <c r="AM52" s="39">
        <f t="shared" si="96"/>
        <v>0</v>
      </c>
      <c r="AN52" s="39">
        <f t="shared" si="97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5"/>
        <v>0</v>
      </c>
      <c r="AM53" s="39">
        <f t="shared" si="96"/>
        <v>0</v>
      </c>
      <c r="AN53" s="39">
        <f t="shared" si="97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5"/>
        <v>0</v>
      </c>
      <c r="AM54" s="39">
        <f t="shared" si="96"/>
        <v>0</v>
      </c>
      <c r="AN54" s="39">
        <f t="shared" si="97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5"/>
        <v>0</v>
      </c>
      <c r="AM55" s="39">
        <f t="shared" si="96"/>
        <v>0</v>
      </c>
      <c r="AN55" s="39">
        <f t="shared" si="97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5"/>
        <v>0</v>
      </c>
      <c r="AM56" s="39">
        <f t="shared" si="96"/>
        <v>0</v>
      </c>
      <c r="AN56" s="39">
        <f t="shared" si="97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5"/>
        <v>0</v>
      </c>
      <c r="AM57" s="39">
        <f t="shared" si="96"/>
        <v>0</v>
      </c>
      <c r="AN57" s="39">
        <f t="shared" si="97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5"/>
        <v>0</v>
      </c>
      <c r="AM58" s="39">
        <f t="shared" si="96"/>
        <v>0</v>
      </c>
      <c r="AN58" s="39">
        <f t="shared" si="97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5"/>
        <v>0</v>
      </c>
      <c r="AM59" s="39">
        <f t="shared" si="96"/>
        <v>0</v>
      </c>
      <c r="AN59" s="39">
        <f t="shared" si="97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37.104761904761901</v>
      </c>
      <c r="D60" s="135">
        <f>AVERAGE(D10:D59)</f>
        <v>9.4103736133057332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156.6490836012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0.59797400793650779</v>
      </c>
      <c r="Y60" s="207">
        <f>AVERAGE(Y10:Y59)</f>
        <v>0.75617698412698409</v>
      </c>
      <c r="Z60" s="207">
        <f>AVERAGE(Z10:Z59)</f>
        <v>11.619769642857143</v>
      </c>
      <c r="AA60" s="207">
        <f>AVERAGE(AA10:AA59)</f>
        <v>0.58757576033164183</v>
      </c>
      <c r="AB60" s="207">
        <f t="shared" ref="AB60:AC60" si="99">AVERAGE(AB10:AB59)</f>
        <v>0.79838806732958556</v>
      </c>
      <c r="AC60" s="207">
        <f t="shared" si="99"/>
        <v>11.519675732148421</v>
      </c>
      <c r="AD60" s="134"/>
      <c r="AE60" s="134"/>
      <c r="AF60" s="207">
        <f>AVERAGE(AF10:AF59)</f>
        <v>0.10379210526315789</v>
      </c>
      <c r="AG60" s="207">
        <f t="shared" ref="AG60:AI60" si="100">AVERAGE(AG10:AG59)</f>
        <v>0.32507309941520462</v>
      </c>
      <c r="AH60" s="207">
        <f t="shared" si="100"/>
        <v>10.119220760233917</v>
      </c>
      <c r="AI60" s="207">
        <f t="shared" si="100"/>
        <v>2.8263157894736844E-2</v>
      </c>
      <c r="AJ60" s="134"/>
      <c r="AK60" s="134"/>
      <c r="AL60" s="135">
        <f>SUM(AL10:AL59)</f>
        <v>4028.7123186912872</v>
      </c>
      <c r="AM60" s="135">
        <f t="shared" ref="AM60:AN60" si="101">SUM(AM10:AM59)</f>
        <v>5341.4841614421011</v>
      </c>
      <c r="AN60" s="135">
        <f t="shared" si="101"/>
        <v>80547.895375828026</v>
      </c>
      <c r="AO60" s="135">
        <f>SUM(AO10:AO59)</f>
        <v>668.49313158891607</v>
      </c>
      <c r="AP60" s="135">
        <f t="shared" ref="AP60:AR60" si="102">SUM(AP10:AP59)</f>
        <v>2155.9041001502223</v>
      </c>
      <c r="AQ60" s="135">
        <f t="shared" si="102"/>
        <v>66517.330398938691</v>
      </c>
      <c r="AR60" s="135">
        <f t="shared" si="102"/>
        <v>349.83446341889999</v>
      </c>
      <c r="AS60" s="134"/>
      <c r="AT60" s="232">
        <f>AVERAGE(AT10:AT59)</f>
        <v>0.71517697414403425</v>
      </c>
      <c r="AU60" s="232">
        <f t="shared" ref="AU60:AV60" si="103">AVERAGE(AU10:AU59)</f>
        <v>0.56689804734440741</v>
      </c>
      <c r="AV60" s="232">
        <f t="shared" si="103"/>
        <v>0.18296158923954225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779.19999999999993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7018.6644803100007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3010.3847236834708</v>
      </c>
      <c r="BE61" s="981">
        <f>SUM(BE10:BE59)</f>
        <v>3185.5800612918792</v>
      </c>
      <c r="BF61" s="981">
        <f>SUM(BF10:BF59)</f>
        <v>14030.564976889336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0.58608333333333329</v>
      </c>
      <c r="Y62" s="244">
        <f t="shared" ref="Y62:Z62" si="104">MEDIAN(Y10:Y59)</f>
        <v>0.62361111111111112</v>
      </c>
      <c r="Z62" s="244">
        <f t="shared" si="104"/>
        <v>9.9463888888888885</v>
      </c>
      <c r="AA62" s="244">
        <f>MEDIAN(AA10:AA59)</f>
        <v>0.5892904384818014</v>
      </c>
      <c r="AB62" s="244">
        <f t="shared" ref="AB62:AC62" si="105">MEDIAN(AB10:AB59)</f>
        <v>0.62330154231264734</v>
      </c>
      <c r="AC62" s="244">
        <f t="shared" si="105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3010.3847236834713</v>
      </c>
      <c r="BD63" s="10">
        <f>BD61*0.8</f>
        <v>2408.3077789467766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83" t="s">
        <v>309</v>
      </c>
      <c r="AP65" s="1483"/>
      <c r="AQ65" s="1483"/>
      <c r="AR65" s="1483"/>
      <c r="AS65" s="249"/>
      <c r="AT65" s="131" t="s">
        <v>329</v>
      </c>
      <c r="AU65" s="1689" t="s">
        <v>259</v>
      </c>
      <c r="AV65" s="1689"/>
      <c r="AW65" s="1689"/>
      <c r="AX65" s="429"/>
      <c r="AY65" s="1501" t="s">
        <v>255</v>
      </c>
      <c r="AZ65" s="1502"/>
      <c r="BA65" s="1502"/>
      <c r="BB65" s="1502"/>
      <c r="BC65" s="1502"/>
      <c r="BD65" s="1503"/>
      <c r="BE65" s="1690" t="s">
        <v>276</v>
      </c>
      <c r="BF65" s="1691"/>
      <c r="BG65" s="1692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689" t="s">
        <v>260</v>
      </c>
      <c r="AV66" s="1689"/>
      <c r="AW66" s="1689"/>
      <c r="AX66" s="429"/>
      <c r="AY66" s="1501" t="s">
        <v>262</v>
      </c>
      <c r="AZ66" s="1502"/>
      <c r="BA66" s="1503"/>
      <c r="BB66" s="1501" t="s">
        <v>263</v>
      </c>
      <c r="BC66" s="1502"/>
      <c r="BD66" s="1503"/>
      <c r="BE66" s="1501" t="s">
        <v>40</v>
      </c>
      <c r="BF66" s="1502"/>
      <c r="BG66" s="1503"/>
    </row>
    <row r="67" spans="5:60" x14ac:dyDescent="0.3">
      <c r="F67" s="43"/>
      <c r="J67" s="39">
        <f>SUM(C10:C59)</f>
        <v>779.19999999999993</v>
      </c>
      <c r="K67" s="39"/>
      <c r="L67" s="39"/>
      <c r="M67" s="39">
        <f>'Milling Down Time Hours'!P60</f>
        <v>421.38333333333333</v>
      </c>
      <c r="N67" s="39">
        <f>N61/J67</f>
        <v>9.0075262837654027</v>
      </c>
      <c r="O67" s="39"/>
      <c r="P67" s="39">
        <f>(N61/J68)</f>
        <v>216.18063081036968</v>
      </c>
      <c r="Q67" s="39"/>
      <c r="R67" s="39"/>
      <c r="S67" s="39"/>
      <c r="T67" s="39"/>
      <c r="U67" s="39">
        <f>(J67+M67)/24</f>
        <v>50.02430555555555</v>
      </c>
      <c r="AO67" s="13" t="s">
        <v>328</v>
      </c>
      <c r="AP67" s="133">
        <f>AVERAGE(X10:X15)</f>
        <v>0.7364814814814814</v>
      </c>
      <c r="AQ67" s="133">
        <f t="shared" ref="AQ67:AR67" si="106">AVERAGE(Y10:Y15)</f>
        <v>0.64749537037037042</v>
      </c>
      <c r="AR67" s="133">
        <f t="shared" si="106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32.466666666666661</v>
      </c>
      <c r="K68" s="43"/>
      <c r="L68" s="43"/>
      <c r="M68" s="43">
        <f>M67/24</f>
        <v>17.557638888888889</v>
      </c>
      <c r="AD68" s="1689" t="s">
        <v>259</v>
      </c>
      <c r="AE68" s="1689"/>
      <c r="AF68" s="1689"/>
      <c r="AG68" s="1689"/>
      <c r="AH68" s="1689"/>
      <c r="AO68" s="13" t="s">
        <v>200</v>
      </c>
      <c r="AP68" s="133">
        <f>MEDIAN(X10:X15)</f>
        <v>0.69599999999999995</v>
      </c>
      <c r="AQ68" s="133">
        <f t="shared" ref="AQ68:AR68" si="107">MEDIAN(Y10:Y15)</f>
        <v>0.66361111111111115</v>
      </c>
      <c r="AR68" s="133">
        <f t="shared" si="107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672" t="s">
        <v>258</v>
      </c>
      <c r="AE69" s="1672" t="s">
        <v>485</v>
      </c>
      <c r="AF69" s="1689" t="s">
        <v>260</v>
      </c>
      <c r="AG69" s="1689"/>
      <c r="AH69" s="1689"/>
      <c r="AO69" s="13" t="s">
        <v>202</v>
      </c>
      <c r="AP69" s="133">
        <f>MIN(X10:X15)</f>
        <v>0.57608333333333328</v>
      </c>
      <c r="AQ69" s="133">
        <f t="shared" ref="AQ69:AR69" si="108">MIN(Y10:Y15)</f>
        <v>0.49666666666666665</v>
      </c>
      <c r="AR69" s="133">
        <f t="shared" si="108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779.19999999999993</v>
      </c>
      <c r="O70" s="1842" t="s">
        <v>890</v>
      </c>
      <c r="P70" s="1843" t="s">
        <v>937</v>
      </c>
      <c r="Q70" s="1844" t="s">
        <v>938</v>
      </c>
      <c r="R70" s="1844"/>
      <c r="S70" s="1845"/>
      <c r="AD70" s="1672"/>
      <c r="AE70" s="1672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09">MAX(Y10:Y15)</f>
        <v>0.79333333333333333</v>
      </c>
      <c r="AR70" s="133">
        <f t="shared" si="109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46"/>
      <c r="P71" s="1833"/>
      <c r="Q71" s="1834" t="s">
        <v>337</v>
      </c>
      <c r="R71" s="1835" t="s">
        <v>338</v>
      </c>
      <c r="S71" s="184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1200.5833333333333</v>
      </c>
      <c r="O72" s="1852">
        <v>46266</v>
      </c>
      <c r="P72" s="24">
        <v>1</v>
      </c>
      <c r="Q72" s="1836">
        <f>X10</f>
        <v>0.70799999999999996</v>
      </c>
      <c r="R72" s="1836">
        <f t="shared" ref="R72:S87" si="110">Y10</f>
        <v>0.53525</v>
      </c>
      <c r="S72" s="1837">
        <f t="shared" si="110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0.6490178385507045</v>
      </c>
      <c r="O73" s="1853"/>
      <c r="P73" s="13">
        <v>2</v>
      </c>
      <c r="Q73" s="133">
        <f t="shared" ref="Q73:Q91" si="111">X11</f>
        <v>0.68400000000000005</v>
      </c>
      <c r="R73" s="133">
        <f t="shared" si="110"/>
        <v>0.79333333333333333</v>
      </c>
      <c r="S73" s="1838">
        <f t="shared" si="110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9.0075262837654027</v>
      </c>
      <c r="O74" s="1853"/>
      <c r="P74" s="13">
        <v>3</v>
      </c>
      <c r="Q74" s="133">
        <f t="shared" si="111"/>
        <v>0.93455555555555547</v>
      </c>
      <c r="R74" s="133">
        <f t="shared" si="110"/>
        <v>0.65888888888888886</v>
      </c>
      <c r="S74" s="1838">
        <f t="shared" si="110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216.18063081036968</v>
      </c>
      <c r="O75" s="1853"/>
      <c r="P75" s="13">
        <v>4</v>
      </c>
      <c r="Q75" s="133">
        <f t="shared" si="111"/>
        <v>0.92891666666666661</v>
      </c>
      <c r="R75" s="133">
        <f t="shared" si="110"/>
        <v>0.73249999999999993</v>
      </c>
      <c r="S75" s="1838">
        <f t="shared" si="110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50.02430555555555</v>
      </c>
      <c r="O76" s="1853"/>
      <c r="P76" s="13">
        <v>5</v>
      </c>
      <c r="Q76" s="133">
        <f t="shared" si="111"/>
        <v>0.58733333333333337</v>
      </c>
      <c r="R76" s="133">
        <f t="shared" si="110"/>
        <v>0.49666666666666665</v>
      </c>
      <c r="S76" s="1838">
        <f t="shared" si="110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0.3509821614492955</v>
      </c>
      <c r="O77" s="1853"/>
      <c r="P77" s="13">
        <v>6</v>
      </c>
      <c r="Q77" s="133">
        <f t="shared" si="111"/>
        <v>0.57608333333333328</v>
      </c>
      <c r="R77" s="133">
        <f t="shared" si="110"/>
        <v>0.66833333333333333</v>
      </c>
      <c r="S77" s="1838">
        <f t="shared" si="110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53"/>
      <c r="P78" s="13">
        <v>7</v>
      </c>
      <c r="Q78" s="133">
        <f t="shared" si="111"/>
        <v>0.53555555555555556</v>
      </c>
      <c r="R78" s="133">
        <f t="shared" si="110"/>
        <v>0.53555555555555556</v>
      </c>
      <c r="S78" s="1838">
        <f t="shared" si="110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53"/>
      <c r="P79" s="13">
        <v>8</v>
      </c>
      <c r="Q79" s="133">
        <f t="shared" si="111"/>
        <v>0.58483333333333321</v>
      </c>
      <c r="R79" s="133">
        <f t="shared" si="110"/>
        <v>0.58833333333333337</v>
      </c>
      <c r="S79" s="1838">
        <f t="shared" si="110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2">AVERAGE(AV68:AV78)</f>
        <v>0.75587049062049061</v>
      </c>
      <c r="AW79" s="133">
        <f t="shared" si="112"/>
        <v>11.159588383838383</v>
      </c>
      <c r="AX79" s="207"/>
      <c r="AY79" s="133">
        <f>AVERAGE(AY68:AY78)</f>
        <v>9.6350505050505048E-2</v>
      </c>
      <c r="AZ79" s="133">
        <f t="shared" ref="AZ79:BB79" si="113">AVERAGE(AZ68:AZ78)</f>
        <v>0.38267676767676767</v>
      </c>
      <c r="BA79" s="133">
        <f t="shared" si="113"/>
        <v>10.193287878787878</v>
      </c>
      <c r="BB79" s="133">
        <f t="shared" si="113"/>
        <v>2.5727272727272724E-2</v>
      </c>
      <c r="BC79" s="6"/>
      <c r="BD79" s="6"/>
      <c r="BE79" s="6"/>
      <c r="BF79" s="6"/>
      <c r="BG79" s="6"/>
    </row>
    <row r="80" spans="5:60" x14ac:dyDescent="0.3">
      <c r="O80" s="1853"/>
      <c r="P80" s="13">
        <v>9</v>
      </c>
      <c r="Q80" s="133">
        <f t="shared" si="111"/>
        <v>0.60575000000000001</v>
      </c>
      <c r="R80" s="133">
        <f t="shared" si="110"/>
        <v>0.86333333333333329</v>
      </c>
      <c r="S80" s="1838">
        <f t="shared" si="110"/>
        <v>14.675833333333332</v>
      </c>
      <c r="AR80" s="10"/>
      <c r="AS80" s="10"/>
      <c r="AT80" s="1151" t="s">
        <v>17</v>
      </c>
      <c r="AU80" s="1693"/>
      <c r="AV80" s="1694"/>
      <c r="AW80" s="1694"/>
      <c r="AX80" s="1694"/>
      <c r="AY80" s="1694"/>
      <c r="AZ80" s="1694"/>
      <c r="BA80" s="1694"/>
      <c r="BB80" s="1694"/>
      <c r="BC80" s="1694"/>
      <c r="BD80" s="1695"/>
      <c r="BE80" s="1152">
        <f>SUM(BE68:BE79)</f>
        <v>2023.4684999216388</v>
      </c>
      <c r="BF80" s="1152">
        <f t="shared" ref="BF80:BG80" si="114">SUM(BF68:BF79)</f>
        <v>1374.7770814606047</v>
      </c>
      <c r="BG80" s="1152">
        <f t="shared" si="114"/>
        <v>3002.5736707038232</v>
      </c>
    </row>
    <row r="81" spans="10:45" x14ac:dyDescent="0.3">
      <c r="O81" s="1853"/>
      <c r="P81" s="13">
        <v>10</v>
      </c>
      <c r="Q81" s="133">
        <f t="shared" si="111"/>
        <v>0.82590476190476192</v>
      </c>
      <c r="R81" s="133">
        <f t="shared" si="110"/>
        <v>1.1390476190476191</v>
      </c>
      <c r="S81" s="1838">
        <f t="shared" si="110"/>
        <v>17.893333333333334</v>
      </c>
      <c r="AR81" s="10"/>
      <c r="AS81" s="10"/>
    </row>
    <row r="82" spans="10:45" x14ac:dyDescent="0.3">
      <c r="O82" s="1853"/>
      <c r="P82" s="13">
        <v>11</v>
      </c>
      <c r="Q82" s="133">
        <f t="shared" si="111"/>
        <v>0.7294666666666666</v>
      </c>
      <c r="R82" s="133">
        <f t="shared" si="110"/>
        <v>1.3033333333333335</v>
      </c>
      <c r="S82" s="1838">
        <f t="shared" si="110"/>
        <v>18.880000000000003</v>
      </c>
      <c r="AR82" s="10"/>
    </row>
    <row r="83" spans="10:45" ht="15" thickBot="1" x14ac:dyDescent="0.35">
      <c r="O83" s="1853"/>
      <c r="P83" s="95">
        <v>12</v>
      </c>
      <c r="Q83" s="1343">
        <f t="shared" si="111"/>
        <v>0.58996666666666664</v>
      </c>
      <c r="R83" s="1343">
        <f t="shared" si="110"/>
        <v>1.3809999999999998</v>
      </c>
      <c r="S83" s="1841">
        <f t="shared" si="110"/>
        <v>16.069666666666667</v>
      </c>
      <c r="AR83" s="10"/>
      <c r="AS83" s="10"/>
    </row>
    <row r="84" spans="10:45" x14ac:dyDescent="0.3">
      <c r="O84" s="1854" t="s">
        <v>939</v>
      </c>
      <c r="P84" s="24">
        <v>13</v>
      </c>
      <c r="Q84" s="1836">
        <f t="shared" si="111"/>
        <v>0.52375000000000005</v>
      </c>
      <c r="R84" s="1836">
        <f t="shared" si="110"/>
        <v>0.7929166666666666</v>
      </c>
      <c r="S84" s="1837">
        <f t="shared" si="110"/>
        <v>20.323666666666668</v>
      </c>
    </row>
    <row r="85" spans="10:45" x14ac:dyDescent="0.3">
      <c r="O85" s="1855"/>
      <c r="P85" s="13">
        <v>14</v>
      </c>
      <c r="Q85" s="133">
        <f t="shared" si="111"/>
        <v>0.44266666666666671</v>
      </c>
      <c r="R85" s="133">
        <f t="shared" si="110"/>
        <v>2.0333333333333332</v>
      </c>
      <c r="S85" s="1838">
        <f t="shared" si="110"/>
        <v>11.179166666666667</v>
      </c>
    </row>
    <row r="86" spans="10:45" x14ac:dyDescent="0.3">
      <c r="O86" s="1855"/>
      <c r="P86" s="13">
        <v>15</v>
      </c>
      <c r="Q86" s="133">
        <f t="shared" si="111"/>
        <v>0.38111111111111112</v>
      </c>
      <c r="R86" s="133">
        <f t="shared" si="110"/>
        <v>0.41888888888888887</v>
      </c>
      <c r="S86" s="1838">
        <f t="shared" si="110"/>
        <v>9.163333333333334</v>
      </c>
    </row>
    <row r="87" spans="10:45" x14ac:dyDescent="0.3">
      <c r="O87" s="1855"/>
      <c r="P87" s="13">
        <v>16</v>
      </c>
      <c r="Q87" s="133">
        <f t="shared" si="111"/>
        <v>0.48775000000000002</v>
      </c>
      <c r="R87" s="133">
        <f t="shared" si="110"/>
        <v>0.47666666666666674</v>
      </c>
      <c r="S87" s="1838">
        <f t="shared" si="110"/>
        <v>12.970833333333335</v>
      </c>
    </row>
    <row r="88" spans="10:45" x14ac:dyDescent="0.3">
      <c r="O88" s="1855"/>
      <c r="P88" s="13">
        <v>17</v>
      </c>
      <c r="Q88" s="133">
        <f t="shared" si="111"/>
        <v>0.37083333333333335</v>
      </c>
      <c r="R88" s="133">
        <f t="shared" ref="R88:R91" si="115">Y26</f>
        <v>0.41</v>
      </c>
      <c r="S88" s="1838">
        <f t="shared" ref="S88:S91" si="116">Z26</f>
        <v>10.078333333333333</v>
      </c>
    </row>
    <row r="89" spans="10:45" x14ac:dyDescent="0.3">
      <c r="O89" s="1855"/>
      <c r="P89" s="13">
        <v>18</v>
      </c>
      <c r="Q89" s="133">
        <f t="shared" si="111"/>
        <v>0.39500000000000002</v>
      </c>
      <c r="R89" s="133">
        <f t="shared" si="115"/>
        <v>0.30555555555555552</v>
      </c>
      <c r="S89" s="1838">
        <f t="shared" si="116"/>
        <v>7.7222222222222223</v>
      </c>
    </row>
    <row r="90" spans="10:45" x14ac:dyDescent="0.3">
      <c r="O90" s="1855"/>
      <c r="P90" s="13">
        <v>19</v>
      </c>
      <c r="Q90" s="133">
        <f t="shared" si="111"/>
        <v>0.38615873015873015</v>
      </c>
      <c r="R90" s="133">
        <f t="shared" si="115"/>
        <v>0.44349206349206344</v>
      </c>
      <c r="S90" s="1838">
        <f t="shared" si="116"/>
        <v>13.407365079365078</v>
      </c>
    </row>
    <row r="91" spans="10:45" ht="15" thickBot="1" x14ac:dyDescent="0.35">
      <c r="O91" s="1856"/>
      <c r="P91" s="28">
        <v>20</v>
      </c>
      <c r="Q91" s="1839">
        <f t="shared" si="111"/>
        <v>0.68184444444444436</v>
      </c>
      <c r="R91" s="1839">
        <f t="shared" si="115"/>
        <v>0.5471111111111111</v>
      </c>
      <c r="S91" s="1840">
        <f t="shared" si="116"/>
        <v>8.7253333333333334</v>
      </c>
    </row>
    <row r="92" spans="10:45" ht="15" thickBot="1" x14ac:dyDescent="0.35">
      <c r="O92" s="1848"/>
      <c r="P92" s="1849" t="s">
        <v>321</v>
      </c>
      <c r="Q92" s="1850">
        <f>AVERAGE(Q72:Q91)</f>
        <v>0.59797400793650779</v>
      </c>
      <c r="R92" s="1850">
        <f t="shared" ref="R92:S92" si="117">AVERAGE(R72:R91)</f>
        <v>0.75617698412698409</v>
      </c>
      <c r="S92" s="1851">
        <f t="shared" si="117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716" t="s">
        <v>317</v>
      </c>
      <c r="O94" s="1689" t="s">
        <v>631</v>
      </c>
      <c r="P94" s="1689"/>
      <c r="Q94" s="1689"/>
      <c r="R94" s="429"/>
      <c r="S94" s="429"/>
      <c r="T94" s="429"/>
      <c r="U94" s="1501" t="s">
        <v>323</v>
      </c>
      <c r="V94" s="1502"/>
      <c r="W94" s="1503"/>
    </row>
    <row r="95" spans="10:45" x14ac:dyDescent="0.3">
      <c r="J95" s="131" t="s">
        <v>320</v>
      </c>
      <c r="K95" s="131"/>
      <c r="L95" s="131"/>
      <c r="M95" s="131" t="s">
        <v>632</v>
      </c>
      <c r="N95" s="1717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>X10</f>
        <v>0.70799999999999996</v>
      </c>
      <c r="P96" s="133">
        <f>Y10</f>
        <v>0.53525</v>
      </c>
      <c r="Q96" s="133">
        <f>Z10</f>
        <v>7.2224166666666676</v>
      </c>
      <c r="R96" s="133"/>
      <c r="S96" s="133"/>
      <c r="T96" s="133"/>
      <c r="U96" s="133">
        <f>AF10</f>
        <v>5.5750000000000001E-2</v>
      </c>
      <c r="V96" s="133">
        <f>AG10</f>
        <v>0.17</v>
      </c>
      <c r="W96" s="133">
        <f>AH10</f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>X11</f>
        <v>0.68400000000000005</v>
      </c>
      <c r="P97" s="133">
        <f>Y11</f>
        <v>0.79333333333333333</v>
      </c>
      <c r="Q97" s="133">
        <f>Z11</f>
        <v>9.051111111111112</v>
      </c>
      <c r="R97" s="133"/>
      <c r="S97" s="133"/>
      <c r="T97" s="133"/>
      <c r="U97" s="133">
        <f>AF11</f>
        <v>5.5749999999999994E-2</v>
      </c>
      <c r="V97" s="133">
        <f>AG11</f>
        <v>0.25</v>
      </c>
      <c r="W97" s="133">
        <f>AH11</f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>X12</f>
        <v>0.93455555555555547</v>
      </c>
      <c r="P98" s="133">
        <f>Y12</f>
        <v>0.65888888888888886</v>
      </c>
      <c r="Q98" s="133">
        <f>Z12</f>
        <v>9.0688888888888908</v>
      </c>
      <c r="R98" s="133"/>
      <c r="S98" s="133"/>
      <c r="T98" s="133"/>
      <c r="U98" s="133">
        <f>AF12</f>
        <v>9.816666666666668E-2</v>
      </c>
      <c r="V98" s="133">
        <f>AG12</f>
        <v>0.23333333333333331</v>
      </c>
      <c r="W98" s="133">
        <f>AH12</f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>X13</f>
        <v>0.92891666666666661</v>
      </c>
      <c r="P99" s="133">
        <f>Y13</f>
        <v>0.73249999999999993</v>
      </c>
      <c r="Q99" s="133">
        <f>Z13</f>
        <v>9.1508333333333347</v>
      </c>
      <c r="R99" s="133"/>
      <c r="S99" s="133"/>
      <c r="T99" s="133"/>
      <c r="U99" s="133">
        <f>AF13</f>
        <v>0.10916666666666668</v>
      </c>
      <c r="V99" s="133">
        <f>AG13</f>
        <v>0.24</v>
      </c>
      <c r="W99" s="133">
        <f>AH13</f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>X14</f>
        <v>0.58733333333333337</v>
      </c>
      <c r="P100" s="133">
        <f>Y14</f>
        <v>0.49666666666666665</v>
      </c>
      <c r="Q100" s="133">
        <f>Z14</f>
        <v>9.0411111111111087</v>
      </c>
      <c r="R100" s="133"/>
      <c r="S100" s="133"/>
      <c r="T100" s="133"/>
      <c r="U100" s="133">
        <f>AF14</f>
        <v>0.12466666666666666</v>
      </c>
      <c r="V100" s="133">
        <f>AG14</f>
        <v>0.37833333333333335</v>
      </c>
      <c r="W100" s="133">
        <f>AH14</f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>X15</f>
        <v>0.57608333333333328</v>
      </c>
      <c r="P101" s="133">
        <f>Y15</f>
        <v>0.66833333333333333</v>
      </c>
      <c r="Q101" s="133">
        <f>Z15</f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>X16</f>
        <v>0.53555555555555556</v>
      </c>
      <c r="P102" s="133">
        <f>Y16</f>
        <v>0.53555555555555556</v>
      </c>
      <c r="Q102" s="133">
        <f>Z16</f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18">AVERAGE(P96:P102)</f>
        <v>0.63150396825396826</v>
      </c>
      <c r="Q103" s="242">
        <f t="shared" si="118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19">AVERAGE(V96:V100)</f>
        <v>0.25433333333333336</v>
      </c>
      <c r="W103" s="242">
        <f t="shared" si="119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18" t="s">
        <v>471</v>
      </c>
      <c r="R4" s="1719"/>
      <c r="S4" s="1719"/>
      <c r="T4" s="1720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21"/>
      <c r="R5" s="1722"/>
      <c r="S5" s="1722"/>
      <c r="T5" s="1723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44" t="s">
        <v>0</v>
      </c>
      <c r="B4" s="1746" t="s">
        <v>50</v>
      </c>
      <c r="C4" s="1746"/>
      <c r="D4" s="1746"/>
      <c r="E4" s="1746"/>
      <c r="F4" s="99"/>
      <c r="G4" s="54"/>
      <c r="H4" s="54"/>
      <c r="I4" s="104"/>
      <c r="J4" s="104"/>
      <c r="K4" s="104"/>
      <c r="L4" s="1732" t="s">
        <v>238</v>
      </c>
      <c r="M4" s="1730"/>
      <c r="N4" s="1731"/>
      <c r="O4" s="1732" t="s">
        <v>234</v>
      </c>
      <c r="P4" s="1730"/>
      <c r="Q4" s="1731"/>
      <c r="R4" s="1732" t="s">
        <v>235</v>
      </c>
      <c r="S4" s="1730"/>
      <c r="T4" s="1731"/>
      <c r="U4" s="1732" t="s">
        <v>236</v>
      </c>
      <c r="V4" s="1730"/>
      <c r="W4" s="1731"/>
      <c r="X4" s="1732" t="s">
        <v>237</v>
      </c>
      <c r="Y4" s="1730"/>
      <c r="Z4" s="1731"/>
      <c r="AA4" s="1732" t="s">
        <v>51</v>
      </c>
      <c r="AB4" s="1730"/>
      <c r="AC4" s="1731"/>
      <c r="AD4" s="1732" t="s">
        <v>52</v>
      </c>
      <c r="AE4" s="1730"/>
      <c r="AF4" s="1731"/>
      <c r="AG4" s="1724">
        <v>0.83333333333333337</v>
      </c>
      <c r="AH4" s="1730"/>
      <c r="AI4" s="1731"/>
      <c r="AJ4" s="1724">
        <v>0.91666666666666663</v>
      </c>
      <c r="AK4" s="1725"/>
      <c r="AL4" s="1726"/>
      <c r="AM4" s="1727">
        <v>0</v>
      </c>
      <c r="AN4" s="1728"/>
      <c r="AO4" s="1729"/>
      <c r="AP4" s="1724">
        <v>8.3333333333333329E-2</v>
      </c>
      <c r="AQ4" s="1725"/>
      <c r="AR4" s="1726"/>
      <c r="AS4" s="1724">
        <v>0.16666666666666666</v>
      </c>
      <c r="AT4" s="1725"/>
      <c r="AU4" s="1726"/>
      <c r="AV4" s="59" t="s">
        <v>53</v>
      </c>
      <c r="AW4" s="44"/>
    </row>
    <row r="5" spans="1:49" x14ac:dyDescent="0.3">
      <c r="A5" s="1744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50">
        <v>46147</v>
      </c>
      <c r="B6" s="1745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59" t="s">
        <v>230</v>
      </c>
      <c r="AW6" s="1760"/>
    </row>
    <row r="7" spans="1:49" x14ac:dyDescent="0.3">
      <c r="A7" s="1750"/>
      <c r="B7" s="173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59"/>
      <c r="AW7" s="1761"/>
    </row>
    <row r="8" spans="1:49" x14ac:dyDescent="0.3">
      <c r="A8" s="1750"/>
      <c r="B8" s="173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59"/>
      <c r="AW8" s="1761"/>
    </row>
    <row r="9" spans="1:49" ht="15" thickBot="1" x14ac:dyDescent="0.35">
      <c r="A9" s="1745"/>
      <c r="B9" s="173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60"/>
      <c r="AW9" s="1762"/>
    </row>
    <row r="10" spans="1:49" x14ac:dyDescent="0.3">
      <c r="A10" s="1747">
        <v>46148</v>
      </c>
      <c r="B10" s="1733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63" t="s">
        <v>239</v>
      </c>
      <c r="AW10" s="1766" t="s">
        <v>229</v>
      </c>
    </row>
    <row r="11" spans="1:49" x14ac:dyDescent="0.3">
      <c r="A11" s="1748"/>
      <c r="B11" s="173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64"/>
      <c r="AW11" s="1767"/>
    </row>
    <row r="12" spans="1:49" x14ac:dyDescent="0.3">
      <c r="A12" s="1748"/>
      <c r="B12" s="173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64"/>
      <c r="AW12" s="1767"/>
    </row>
    <row r="13" spans="1:49" ht="15" thickBot="1" x14ac:dyDescent="0.35">
      <c r="A13" s="1749"/>
      <c r="B13" s="173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65"/>
      <c r="AW13" s="1768"/>
    </row>
    <row r="14" spans="1:49" ht="15" thickBot="1" x14ac:dyDescent="0.35">
      <c r="A14" s="1747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63" t="s">
        <v>240</v>
      </c>
      <c r="AW14" s="1769"/>
    </row>
    <row r="15" spans="1:49" x14ac:dyDescent="0.3">
      <c r="A15" s="1748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64"/>
      <c r="AW15" s="1770"/>
    </row>
    <row r="16" spans="1:49" x14ac:dyDescent="0.3">
      <c r="A16" s="1748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64"/>
      <c r="AW16" s="1770"/>
    </row>
    <row r="17" spans="1:49" ht="15" thickBot="1" x14ac:dyDescent="0.35">
      <c r="A17" s="1749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64"/>
      <c r="AW17" s="1771"/>
    </row>
    <row r="18" spans="1:49" x14ac:dyDescent="0.3">
      <c r="A18" s="1751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58"/>
    </row>
    <row r="19" spans="1:49" x14ac:dyDescent="0.3">
      <c r="A19" s="1750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57"/>
    </row>
    <row r="20" spans="1:49" x14ac:dyDescent="0.3">
      <c r="A20" s="175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57"/>
    </row>
    <row r="21" spans="1:49" x14ac:dyDescent="0.3">
      <c r="A21" s="175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57"/>
    </row>
    <row r="22" spans="1:49" x14ac:dyDescent="0.3">
      <c r="A22" s="1750">
        <v>46151</v>
      </c>
      <c r="B22" s="51"/>
      <c r="C22" s="49"/>
      <c r="D22" s="1735"/>
      <c r="E22" s="1741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57"/>
    </row>
    <row r="23" spans="1:49" x14ac:dyDescent="0.3">
      <c r="A23" s="1750"/>
      <c r="B23" s="52"/>
      <c r="C23" s="49"/>
      <c r="D23" s="1736"/>
      <c r="E23" s="1742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57"/>
    </row>
    <row r="24" spans="1:49" x14ac:dyDescent="0.3">
      <c r="A24" s="1750"/>
      <c r="B24" s="52"/>
      <c r="C24" s="49"/>
      <c r="D24" s="1736"/>
      <c r="E24" s="1742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57"/>
    </row>
    <row r="25" spans="1:49" ht="15" thickBot="1" x14ac:dyDescent="0.35">
      <c r="A25" s="1750"/>
      <c r="B25" s="53"/>
      <c r="C25" s="49"/>
      <c r="D25" s="1737"/>
      <c r="E25" s="1743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55"/>
    </row>
    <row r="26" spans="1:49" x14ac:dyDescent="0.3">
      <c r="A26" s="1750">
        <v>46152</v>
      </c>
      <c r="B26" s="51"/>
      <c r="C26" s="49"/>
      <c r="D26" s="1735"/>
      <c r="E26" s="1741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58"/>
      <c r="AW26" s="1758"/>
    </row>
    <row r="27" spans="1:49" x14ac:dyDescent="0.3">
      <c r="A27" s="1750"/>
      <c r="B27" s="52"/>
      <c r="C27" s="49"/>
      <c r="D27" s="1736"/>
      <c r="E27" s="1742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57"/>
      <c r="AW27" s="1757"/>
    </row>
    <row r="28" spans="1:49" x14ac:dyDescent="0.3">
      <c r="A28" s="1750"/>
      <c r="B28" s="52"/>
      <c r="C28" s="49"/>
      <c r="D28" s="1736"/>
      <c r="E28" s="1742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57"/>
      <c r="AW28" s="1757"/>
    </row>
    <row r="29" spans="1:49" x14ac:dyDescent="0.3">
      <c r="A29" s="1750"/>
      <c r="B29" s="53"/>
      <c r="C29" s="49"/>
      <c r="D29" s="1737"/>
      <c r="E29" s="1743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57"/>
      <c r="AW29" s="1757"/>
    </row>
    <row r="30" spans="1:49" x14ac:dyDescent="0.3">
      <c r="A30" s="1750">
        <v>46153</v>
      </c>
      <c r="B30" s="51"/>
      <c r="C30" s="49"/>
      <c r="D30" s="1735"/>
      <c r="E30" s="1741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57"/>
      <c r="AW30" s="1757"/>
    </row>
    <row r="31" spans="1:49" x14ac:dyDescent="0.3">
      <c r="A31" s="1750"/>
      <c r="B31" s="52"/>
      <c r="C31" s="49"/>
      <c r="D31" s="1736"/>
      <c r="E31" s="1742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57"/>
      <c r="AW31" s="1757"/>
    </row>
    <row r="32" spans="1:49" x14ac:dyDescent="0.3">
      <c r="A32" s="1750"/>
      <c r="B32" s="52"/>
      <c r="C32" s="49"/>
      <c r="D32" s="1736"/>
      <c r="E32" s="1742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57"/>
      <c r="AW32" s="1757"/>
    </row>
    <row r="33" spans="1:49" x14ac:dyDescent="0.3">
      <c r="A33" s="1750"/>
      <c r="B33" s="53"/>
      <c r="C33" s="49"/>
      <c r="D33" s="1737"/>
      <c r="E33" s="1743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55"/>
      <c r="AW33" s="1755"/>
    </row>
    <row r="34" spans="1:49" x14ac:dyDescent="0.3">
      <c r="A34" s="1750">
        <v>46154</v>
      </c>
      <c r="B34" s="51"/>
      <c r="C34" s="49"/>
      <c r="D34" s="1735"/>
      <c r="E34" s="1741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58"/>
      <c r="AW34" s="1758"/>
    </row>
    <row r="35" spans="1:49" x14ac:dyDescent="0.3">
      <c r="A35" s="1750"/>
      <c r="B35" s="52"/>
      <c r="C35" s="49"/>
      <c r="D35" s="1736"/>
      <c r="E35" s="1742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57"/>
      <c r="AW35" s="1757"/>
    </row>
    <row r="36" spans="1:49" x14ac:dyDescent="0.3">
      <c r="A36" s="1750"/>
      <c r="B36" s="52"/>
      <c r="C36" s="49"/>
      <c r="D36" s="1736"/>
      <c r="E36" s="1742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57"/>
      <c r="AW36" s="1757"/>
    </row>
    <row r="37" spans="1:49" x14ac:dyDescent="0.3">
      <c r="A37" s="1750"/>
      <c r="B37" s="53"/>
      <c r="C37" s="49"/>
      <c r="D37" s="1737"/>
      <c r="E37" s="1743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57"/>
      <c r="AW37" s="1757"/>
    </row>
    <row r="38" spans="1:49" x14ac:dyDescent="0.3">
      <c r="A38" s="1750">
        <v>46155</v>
      </c>
      <c r="B38" s="51"/>
      <c r="C38" s="49"/>
      <c r="D38" s="1735"/>
      <c r="E38" s="1741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57"/>
      <c r="AW38" s="1757"/>
    </row>
    <row r="39" spans="1:49" x14ac:dyDescent="0.3">
      <c r="A39" s="1750"/>
      <c r="B39" s="52"/>
      <c r="C39" s="49"/>
      <c r="D39" s="1736"/>
      <c r="E39" s="1742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57"/>
      <c r="AW39" s="1757"/>
    </row>
    <row r="40" spans="1:49" x14ac:dyDescent="0.3">
      <c r="A40" s="1750"/>
      <c r="B40" s="52"/>
      <c r="C40" s="49"/>
      <c r="D40" s="1736"/>
      <c r="E40" s="1742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57"/>
      <c r="AW40" s="1757"/>
    </row>
    <row r="41" spans="1:49" x14ac:dyDescent="0.3">
      <c r="A41" s="1750"/>
      <c r="B41" s="53"/>
      <c r="C41" s="49"/>
      <c r="D41" s="1737"/>
      <c r="E41" s="1743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55"/>
      <c r="AW41" s="1755"/>
    </row>
    <row r="42" spans="1:49" x14ac:dyDescent="0.3">
      <c r="A42" s="1750">
        <v>46156</v>
      </c>
      <c r="B42" s="51"/>
      <c r="C42" s="49"/>
      <c r="D42" s="1735"/>
      <c r="E42" s="1741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58"/>
      <c r="AW42" s="1758"/>
    </row>
    <row r="43" spans="1:49" x14ac:dyDescent="0.3">
      <c r="A43" s="1750"/>
      <c r="B43" s="52"/>
      <c r="C43" s="49"/>
      <c r="D43" s="1736"/>
      <c r="E43" s="1742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57"/>
      <c r="AW43" s="1757"/>
    </row>
    <row r="44" spans="1:49" x14ac:dyDescent="0.3">
      <c r="A44" s="1750"/>
      <c r="B44" s="52"/>
      <c r="C44" s="49"/>
      <c r="D44" s="1736"/>
      <c r="E44" s="1742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57"/>
      <c r="AW44" s="1757"/>
    </row>
    <row r="45" spans="1:49" x14ac:dyDescent="0.3">
      <c r="A45" s="1750"/>
      <c r="B45" s="53"/>
      <c r="C45" s="49"/>
      <c r="D45" s="1737"/>
      <c r="E45" s="1743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57"/>
      <c r="AW45" s="1757"/>
    </row>
    <row r="46" spans="1:49" x14ac:dyDescent="0.3">
      <c r="A46" s="1750">
        <v>46157</v>
      </c>
      <c r="B46" s="51"/>
      <c r="C46" s="49"/>
      <c r="D46" s="1738" t="s">
        <v>157</v>
      </c>
      <c r="E46" s="1741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57"/>
      <c r="AW46" s="1757"/>
    </row>
    <row r="47" spans="1:49" x14ac:dyDescent="0.3">
      <c r="A47" s="1750"/>
      <c r="B47" s="52"/>
      <c r="C47" s="49"/>
      <c r="D47" s="1739"/>
      <c r="E47" s="1742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57"/>
      <c r="AW47" s="1757"/>
    </row>
    <row r="48" spans="1:49" x14ac:dyDescent="0.3">
      <c r="A48" s="1750"/>
      <c r="B48" s="52"/>
      <c r="C48" s="49"/>
      <c r="D48" s="1739"/>
      <c r="E48" s="1742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57"/>
      <c r="AW48" s="1757"/>
    </row>
    <row r="49" spans="1:49" x14ac:dyDescent="0.3">
      <c r="A49" s="1750"/>
      <c r="B49" s="53"/>
      <c r="C49" s="49"/>
      <c r="D49" s="1740"/>
      <c r="E49" s="1743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55"/>
      <c r="AW49" s="1755"/>
    </row>
    <row r="50" spans="1:49" x14ac:dyDescent="0.3">
      <c r="A50" s="1750">
        <v>46158</v>
      </c>
      <c r="B50" s="51"/>
      <c r="C50" s="49"/>
      <c r="D50" s="1735"/>
      <c r="E50" s="1741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58"/>
      <c r="AW50" s="1758"/>
    </row>
    <row r="51" spans="1:49" x14ac:dyDescent="0.3">
      <c r="A51" s="1750"/>
      <c r="B51" s="52"/>
      <c r="C51" s="49"/>
      <c r="D51" s="1736"/>
      <c r="E51" s="1742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57"/>
      <c r="AW51" s="1757"/>
    </row>
    <row r="52" spans="1:49" x14ac:dyDescent="0.3">
      <c r="A52" s="1750"/>
      <c r="B52" s="52"/>
      <c r="C52" s="49"/>
      <c r="D52" s="1736"/>
      <c r="E52" s="1742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57"/>
      <c r="AW52" s="1757"/>
    </row>
    <row r="53" spans="1:49" x14ac:dyDescent="0.3">
      <c r="A53" s="1750"/>
      <c r="B53" s="53"/>
      <c r="C53" s="49"/>
      <c r="D53" s="1737"/>
      <c r="E53" s="1743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57"/>
      <c r="AW53" s="1757"/>
    </row>
    <row r="54" spans="1:49" x14ac:dyDescent="0.3">
      <c r="A54" s="1750">
        <v>46159</v>
      </c>
      <c r="B54" s="51"/>
      <c r="C54" s="49"/>
      <c r="D54" s="97"/>
      <c r="E54" s="1752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57"/>
      <c r="AW54" s="1757"/>
    </row>
    <row r="55" spans="1:49" x14ac:dyDescent="0.3">
      <c r="A55" s="1750"/>
      <c r="B55" s="52"/>
      <c r="C55" s="49"/>
      <c r="D55" s="97"/>
      <c r="E55" s="1753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57"/>
      <c r="AW55" s="1757"/>
    </row>
    <row r="56" spans="1:49" x14ac:dyDescent="0.3">
      <c r="A56" s="1750"/>
      <c r="B56" s="52"/>
      <c r="C56" s="49"/>
      <c r="D56" s="97"/>
      <c r="E56" s="1753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57"/>
      <c r="AW56" s="1757"/>
    </row>
    <row r="57" spans="1:49" x14ac:dyDescent="0.3">
      <c r="A57" s="1750"/>
      <c r="B57" s="53"/>
      <c r="C57" s="49"/>
      <c r="D57" s="97"/>
      <c r="E57" s="1754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55"/>
      <c r="AW57" s="1755"/>
    </row>
    <row r="58" spans="1:49" x14ac:dyDescent="0.3">
      <c r="A58" s="175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58"/>
      <c r="AW58" s="1758"/>
    </row>
    <row r="59" spans="1:49" x14ac:dyDescent="0.3">
      <c r="A59" s="175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57"/>
      <c r="AW59" s="1757"/>
    </row>
    <row r="60" spans="1:49" x14ac:dyDescent="0.3">
      <c r="A60" s="175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57"/>
      <c r="AW60" s="1757"/>
    </row>
    <row r="61" spans="1:49" x14ac:dyDescent="0.3">
      <c r="A61" s="175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57"/>
      <c r="AW61" s="1757"/>
    </row>
    <row r="62" spans="1:49" x14ac:dyDescent="0.3">
      <c r="A62" s="175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57"/>
      <c r="AW62" s="1757"/>
    </row>
    <row r="63" spans="1:49" x14ac:dyDescent="0.3">
      <c r="A63" s="175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57"/>
      <c r="AW63" s="1757"/>
    </row>
    <row r="64" spans="1:49" x14ac:dyDescent="0.3">
      <c r="A64" s="175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57"/>
      <c r="AW64" s="1757"/>
    </row>
    <row r="65" spans="1:49" x14ac:dyDescent="0.3">
      <c r="A65" s="175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55"/>
      <c r="AW65" s="1755"/>
    </row>
    <row r="66" spans="1:49" x14ac:dyDescent="0.3">
      <c r="A66" s="175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58"/>
      <c r="AW66" s="1758"/>
    </row>
    <row r="67" spans="1:49" x14ac:dyDescent="0.3">
      <c r="A67" s="175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57"/>
      <c r="AW67" s="1757"/>
    </row>
    <row r="68" spans="1:49" x14ac:dyDescent="0.3">
      <c r="A68" s="175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57"/>
      <c r="AW68" s="1757"/>
    </row>
    <row r="69" spans="1:49" x14ac:dyDescent="0.3">
      <c r="A69" s="175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57"/>
      <c r="AW69" s="1757"/>
    </row>
    <row r="70" spans="1:49" x14ac:dyDescent="0.3">
      <c r="A70" s="175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57"/>
      <c r="AW70" s="1757"/>
    </row>
    <row r="71" spans="1:49" x14ac:dyDescent="0.3">
      <c r="A71" s="175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57"/>
      <c r="AW71" s="1757"/>
    </row>
    <row r="72" spans="1:49" x14ac:dyDescent="0.3">
      <c r="A72" s="175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57"/>
      <c r="AW72" s="1757"/>
    </row>
    <row r="73" spans="1:49" x14ac:dyDescent="0.3">
      <c r="A73" s="175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55"/>
      <c r="AW73" s="1755"/>
    </row>
    <row r="74" spans="1:49" x14ac:dyDescent="0.3">
      <c r="A74" s="175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58"/>
      <c r="AW74" s="1758"/>
    </row>
    <row r="75" spans="1:49" x14ac:dyDescent="0.3">
      <c r="A75" s="175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57"/>
      <c r="AW75" s="1757"/>
    </row>
    <row r="76" spans="1:49" x14ac:dyDescent="0.3">
      <c r="A76" s="175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57"/>
      <c r="AW76" s="1757"/>
    </row>
    <row r="77" spans="1:49" x14ac:dyDescent="0.3">
      <c r="A77" s="175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57"/>
      <c r="AW77" s="1757"/>
    </row>
    <row r="78" spans="1:49" x14ac:dyDescent="0.3">
      <c r="A78" s="175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57"/>
      <c r="AW78" s="1757"/>
    </row>
    <row r="79" spans="1:49" x14ac:dyDescent="0.3">
      <c r="A79" s="175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57"/>
      <c r="AW79" s="1757"/>
    </row>
    <row r="80" spans="1:49" x14ac:dyDescent="0.3">
      <c r="A80" s="175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57"/>
      <c r="AW80" s="1757"/>
    </row>
    <row r="81" spans="1:49" x14ac:dyDescent="0.3">
      <c r="A81" s="175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55"/>
      <c r="AW81" s="1755"/>
    </row>
    <row r="82" spans="1:49" x14ac:dyDescent="0.3">
      <c r="A82" s="175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58"/>
      <c r="AW82" s="1758"/>
    </row>
    <row r="83" spans="1:49" x14ac:dyDescent="0.3">
      <c r="A83" s="175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57"/>
      <c r="AW83" s="1757"/>
    </row>
    <row r="84" spans="1:49" x14ac:dyDescent="0.3">
      <c r="A84" s="175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57"/>
      <c r="AW84" s="1757"/>
    </row>
    <row r="85" spans="1:49" x14ac:dyDescent="0.3">
      <c r="A85" s="175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57"/>
      <c r="AW85" s="1757"/>
    </row>
    <row r="86" spans="1:49" x14ac:dyDescent="0.3">
      <c r="A86" s="175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57"/>
      <c r="AW86" s="1757"/>
    </row>
    <row r="87" spans="1:49" x14ac:dyDescent="0.3">
      <c r="A87" s="175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57"/>
      <c r="AW87" s="1757"/>
    </row>
    <row r="88" spans="1:49" x14ac:dyDescent="0.3">
      <c r="A88" s="175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57"/>
      <c r="AW88" s="1757"/>
    </row>
    <row r="89" spans="1:49" x14ac:dyDescent="0.3">
      <c r="A89" s="175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55"/>
      <c r="AW89" s="1755"/>
    </row>
    <row r="90" spans="1:49" x14ac:dyDescent="0.3">
      <c r="A90" s="175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58"/>
      <c r="AW90" s="1758"/>
    </row>
    <row r="91" spans="1:49" x14ac:dyDescent="0.3">
      <c r="A91" s="175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57"/>
      <c r="AW91" s="1757"/>
    </row>
    <row r="92" spans="1:49" x14ac:dyDescent="0.3">
      <c r="A92" s="175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57"/>
      <c r="AW92" s="1757"/>
    </row>
    <row r="93" spans="1:49" x14ac:dyDescent="0.3">
      <c r="A93" s="175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57"/>
      <c r="AW93" s="1757"/>
    </row>
    <row r="94" spans="1:49" x14ac:dyDescent="0.3">
      <c r="A94" s="175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57"/>
      <c r="AW94" s="1757"/>
    </row>
    <row r="95" spans="1:49" x14ac:dyDescent="0.3">
      <c r="A95" s="175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57"/>
      <c r="AW95" s="1757"/>
    </row>
    <row r="96" spans="1:49" x14ac:dyDescent="0.3">
      <c r="A96" s="175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57"/>
      <c r="AW96" s="1757"/>
    </row>
    <row r="97" spans="1:49" x14ac:dyDescent="0.3">
      <c r="A97" s="175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55"/>
      <c r="AW97" s="1755"/>
    </row>
    <row r="98" spans="1:49" x14ac:dyDescent="0.3">
      <c r="A98" s="175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58"/>
      <c r="AW98" s="1758"/>
    </row>
    <row r="99" spans="1:49" x14ac:dyDescent="0.3">
      <c r="A99" s="175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57"/>
      <c r="AW99" s="1757"/>
    </row>
    <row r="100" spans="1:49" x14ac:dyDescent="0.3">
      <c r="A100" s="175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57"/>
      <c r="AW100" s="1757"/>
    </row>
    <row r="101" spans="1:49" x14ac:dyDescent="0.3">
      <c r="A101" s="175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57"/>
      <c r="AW101" s="1757"/>
    </row>
    <row r="102" spans="1:49" x14ac:dyDescent="0.3">
      <c r="A102" s="175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57"/>
      <c r="AW102" s="1757"/>
    </row>
    <row r="103" spans="1:49" x14ac:dyDescent="0.3">
      <c r="A103" s="175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57"/>
      <c r="AW103" s="1757"/>
    </row>
    <row r="104" spans="1:49" x14ac:dyDescent="0.3">
      <c r="A104" s="175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57"/>
      <c r="AW104" s="1757"/>
    </row>
    <row r="105" spans="1:49" x14ac:dyDescent="0.3">
      <c r="A105" s="175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55"/>
      <c r="AW105" s="1755"/>
    </row>
    <row r="106" spans="1:49" x14ac:dyDescent="0.3">
      <c r="A106" s="175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58"/>
      <c r="AW106" s="1758"/>
    </row>
    <row r="107" spans="1:49" x14ac:dyDescent="0.3">
      <c r="A107" s="175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57"/>
      <c r="AW107" s="1757"/>
    </row>
    <row r="108" spans="1:49" x14ac:dyDescent="0.3">
      <c r="A108" s="175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57"/>
      <c r="AW108" s="1757"/>
    </row>
    <row r="109" spans="1:49" x14ac:dyDescent="0.3">
      <c r="A109" s="175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57"/>
      <c r="AW109" s="1757"/>
    </row>
    <row r="110" spans="1:49" x14ac:dyDescent="0.3">
      <c r="A110" s="175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57"/>
      <c r="AW110" s="1757"/>
    </row>
    <row r="111" spans="1:49" x14ac:dyDescent="0.3">
      <c r="A111" s="175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57"/>
      <c r="AW111" s="1757"/>
    </row>
    <row r="112" spans="1:49" x14ac:dyDescent="0.3">
      <c r="A112" s="175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57"/>
      <c r="AW112" s="1757"/>
    </row>
    <row r="113" spans="1:49" x14ac:dyDescent="0.3">
      <c r="A113" s="175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55"/>
      <c r="AW113" s="1755"/>
    </row>
    <row r="114" spans="1:49" x14ac:dyDescent="0.3">
      <c r="A114" s="175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58"/>
      <c r="AW114" s="1758"/>
    </row>
    <row r="115" spans="1:49" x14ac:dyDescent="0.3">
      <c r="A115" s="175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57"/>
      <c r="AW115" s="1757"/>
    </row>
    <row r="116" spans="1:49" x14ac:dyDescent="0.3">
      <c r="A116" s="175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57"/>
      <c r="AW116" s="1757"/>
    </row>
    <row r="117" spans="1:49" x14ac:dyDescent="0.3">
      <c r="A117" s="175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57"/>
      <c r="AW117" s="1757"/>
    </row>
    <row r="118" spans="1:49" x14ac:dyDescent="0.3">
      <c r="A118" s="1750">
        <v>46175</v>
      </c>
      <c r="B118" s="51"/>
      <c r="C118" s="49"/>
      <c r="D118" s="1735"/>
      <c r="E118" s="1741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57"/>
      <c r="AW118" s="1757"/>
    </row>
    <row r="119" spans="1:49" x14ac:dyDescent="0.3">
      <c r="A119" s="1750"/>
      <c r="B119" s="52"/>
      <c r="C119" s="49"/>
      <c r="D119" s="1736"/>
      <c r="E119" s="1742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57"/>
      <c r="AW119" s="1757"/>
    </row>
    <row r="120" spans="1:49" x14ac:dyDescent="0.3">
      <c r="A120" s="1750"/>
      <c r="B120" s="52"/>
      <c r="C120" s="49"/>
      <c r="D120" s="1736"/>
      <c r="E120" s="1742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57"/>
      <c r="AW120" s="1757"/>
    </row>
    <row r="121" spans="1:49" x14ac:dyDescent="0.3">
      <c r="A121" s="1750"/>
      <c r="B121" s="53"/>
      <c r="C121" s="49"/>
      <c r="D121" s="1737"/>
      <c r="E121" s="1743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55"/>
      <c r="AW121" s="1755"/>
    </row>
    <row r="122" spans="1:49" x14ac:dyDescent="0.3">
      <c r="A122" s="1750">
        <v>46176</v>
      </c>
      <c r="B122" s="51"/>
      <c r="C122" s="49"/>
      <c r="D122" s="1735"/>
      <c r="E122" s="1741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58"/>
      <c r="AW122" s="1758"/>
    </row>
    <row r="123" spans="1:49" x14ac:dyDescent="0.3">
      <c r="A123" s="1750"/>
      <c r="B123" s="52"/>
      <c r="C123" s="49"/>
      <c r="D123" s="1736"/>
      <c r="E123" s="1742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57"/>
      <c r="AW123" s="1757"/>
    </row>
    <row r="124" spans="1:49" x14ac:dyDescent="0.3">
      <c r="A124" s="1750"/>
      <c r="B124" s="52"/>
      <c r="C124" s="49"/>
      <c r="D124" s="1736"/>
      <c r="E124" s="1742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57"/>
      <c r="AW124" s="1757"/>
    </row>
    <row r="125" spans="1:49" x14ac:dyDescent="0.3">
      <c r="A125" s="1750"/>
      <c r="B125" s="53"/>
      <c r="C125" s="49"/>
      <c r="D125" s="1737"/>
      <c r="E125" s="1743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57"/>
      <c r="AW125" s="1757"/>
    </row>
    <row r="126" spans="1:49" x14ac:dyDescent="0.3">
      <c r="A126" s="1750">
        <v>46177</v>
      </c>
      <c r="B126" s="51"/>
      <c r="C126" s="49"/>
      <c r="D126" s="1735"/>
      <c r="E126" s="1741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57"/>
      <c r="AW126" s="1757"/>
    </row>
    <row r="127" spans="1:49" x14ac:dyDescent="0.3">
      <c r="A127" s="1750"/>
      <c r="B127" s="52"/>
      <c r="C127" s="49"/>
      <c r="D127" s="1736"/>
      <c r="E127" s="1742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57"/>
      <c r="AW127" s="1757"/>
    </row>
    <row r="128" spans="1:49" x14ac:dyDescent="0.3">
      <c r="A128" s="1750"/>
      <c r="B128" s="52"/>
      <c r="C128" s="49"/>
      <c r="D128" s="1736"/>
      <c r="E128" s="1742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57"/>
      <c r="AW128" s="1757"/>
    </row>
    <row r="129" spans="1:49" x14ac:dyDescent="0.3">
      <c r="A129" s="1750"/>
      <c r="B129" s="53"/>
      <c r="C129" s="49"/>
      <c r="D129" s="1737"/>
      <c r="E129" s="1743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55"/>
      <c r="AW129" s="1755"/>
    </row>
    <row r="130" spans="1:49" x14ac:dyDescent="0.3">
      <c r="A130" s="18"/>
      <c r="B130" s="18"/>
      <c r="C130" s="18"/>
      <c r="D130" s="1750"/>
      <c r="E130" s="1756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58"/>
      <c r="AW130" s="1758"/>
    </row>
    <row r="131" spans="1:49" x14ac:dyDescent="0.3">
      <c r="A131" s="18"/>
      <c r="B131" s="18"/>
      <c r="C131" s="18"/>
      <c r="D131" s="1755"/>
      <c r="E131" s="1757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57"/>
      <c r="AW131" s="1757"/>
    </row>
    <row r="132" spans="1:49" x14ac:dyDescent="0.3">
      <c r="A132" s="18"/>
      <c r="B132" s="18"/>
      <c r="C132" s="18"/>
      <c r="D132" s="1755"/>
      <c r="E132" s="1757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57"/>
      <c r="AW132" s="1757"/>
    </row>
    <row r="133" spans="1:49" x14ac:dyDescent="0.3">
      <c r="A133" s="18"/>
      <c r="B133" s="18"/>
      <c r="C133" s="18"/>
      <c r="D133" s="1755"/>
      <c r="E133" s="1757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57"/>
      <c r="AW133" s="1757"/>
    </row>
    <row r="134" spans="1:49" x14ac:dyDescent="0.3">
      <c r="A134" s="18"/>
      <c r="B134" s="18"/>
      <c r="C134" s="18"/>
      <c r="D134" s="1755"/>
      <c r="E134" s="1757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57"/>
      <c r="AW134" s="1757"/>
    </row>
    <row r="135" spans="1:49" x14ac:dyDescent="0.3">
      <c r="A135" s="18"/>
      <c r="B135" s="18"/>
      <c r="C135" s="18"/>
      <c r="D135" s="1755"/>
      <c r="E135" s="1757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57"/>
      <c r="AW135" s="1757"/>
    </row>
    <row r="136" spans="1:49" x14ac:dyDescent="0.3">
      <c r="A136" s="18"/>
      <c r="B136" s="18"/>
      <c r="C136" s="18"/>
      <c r="D136" s="1755"/>
      <c r="E136" s="1757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57"/>
      <c r="AW136" s="1757"/>
    </row>
    <row r="137" spans="1:49" x14ac:dyDescent="0.3">
      <c r="A137" s="18"/>
      <c r="B137" s="18"/>
      <c r="C137" s="18"/>
      <c r="D137" s="1755"/>
      <c r="E137" s="1755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55"/>
      <c r="AW137" s="1755"/>
    </row>
    <row r="138" spans="1:49" x14ac:dyDescent="0.3">
      <c r="A138" s="18"/>
      <c r="B138" s="18"/>
      <c r="C138" s="18"/>
      <c r="D138" s="1750"/>
      <c r="E138" s="1756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58"/>
      <c r="AW138" s="1758"/>
    </row>
    <row r="139" spans="1:49" x14ac:dyDescent="0.3">
      <c r="A139" s="18"/>
      <c r="B139" s="18"/>
      <c r="C139" s="18"/>
      <c r="D139" s="1755"/>
      <c r="E139" s="1757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57"/>
      <c r="AW139" s="1757"/>
    </row>
    <row r="140" spans="1:49" x14ac:dyDescent="0.3">
      <c r="A140" s="18"/>
      <c r="B140" s="18"/>
      <c r="C140" s="18"/>
      <c r="D140" s="1755"/>
      <c r="E140" s="1757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57"/>
      <c r="AW140" s="1757"/>
    </row>
    <row r="141" spans="1:49" x14ac:dyDescent="0.3">
      <c r="A141" s="18"/>
      <c r="B141" s="18"/>
      <c r="C141" s="18"/>
      <c r="D141" s="1755"/>
      <c r="E141" s="1757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57"/>
      <c r="AW141" s="1757"/>
    </row>
    <row r="142" spans="1:49" x14ac:dyDescent="0.3">
      <c r="A142" s="18"/>
      <c r="B142" s="18"/>
      <c r="C142" s="18"/>
      <c r="D142" s="1755"/>
      <c r="E142" s="1757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57"/>
      <c r="AW142" s="1757"/>
    </row>
    <row r="143" spans="1:49" x14ac:dyDescent="0.3">
      <c r="A143" s="18"/>
      <c r="B143" s="18"/>
      <c r="C143" s="18"/>
      <c r="D143" s="1755"/>
      <c r="E143" s="1757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57"/>
      <c r="AW143" s="1757"/>
    </row>
    <row r="144" spans="1:49" x14ac:dyDescent="0.3">
      <c r="A144" s="18"/>
      <c r="B144" s="18"/>
      <c r="C144" s="18"/>
      <c r="D144" s="1755"/>
      <c r="E144" s="1757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57"/>
      <c r="AW144" s="1757"/>
    </row>
    <row r="145" spans="1:49" x14ac:dyDescent="0.3">
      <c r="A145" s="18"/>
      <c r="B145" s="18"/>
      <c r="C145" s="18"/>
      <c r="D145" s="1755"/>
      <c r="E145" s="1755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55"/>
      <c r="AW145" s="1755"/>
    </row>
    <row r="146" spans="1:49" x14ac:dyDescent="0.3">
      <c r="A146" s="18"/>
      <c r="B146" s="18"/>
      <c r="C146" s="18"/>
      <c r="D146" s="1750"/>
      <c r="E146" s="1756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58"/>
      <c r="AW146" s="1758"/>
    </row>
    <row r="147" spans="1:49" x14ac:dyDescent="0.3">
      <c r="A147" s="18"/>
      <c r="B147" s="18"/>
      <c r="C147" s="18"/>
      <c r="D147" s="1755"/>
      <c r="E147" s="1757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57"/>
      <c r="AW147" s="1757"/>
    </row>
    <row r="148" spans="1:49" x14ac:dyDescent="0.3">
      <c r="A148" s="18"/>
      <c r="B148" s="18"/>
      <c r="C148" s="18"/>
      <c r="D148" s="1755"/>
      <c r="E148" s="1757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57"/>
      <c r="AW148" s="1757"/>
    </row>
    <row r="149" spans="1:49" x14ac:dyDescent="0.3">
      <c r="A149" s="18"/>
      <c r="B149" s="18"/>
      <c r="C149" s="18"/>
      <c r="D149" s="1755"/>
      <c r="E149" s="1757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57"/>
      <c r="AW149" s="1757"/>
    </row>
    <row r="150" spans="1:49" x14ac:dyDescent="0.3">
      <c r="A150" s="18"/>
      <c r="B150" s="18"/>
      <c r="C150" s="18"/>
      <c r="D150" s="1755"/>
      <c r="E150" s="1757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57"/>
      <c r="AW150" s="1757"/>
    </row>
    <row r="151" spans="1:49" x14ac:dyDescent="0.3">
      <c r="A151" s="18"/>
      <c r="B151" s="18"/>
      <c r="C151" s="18"/>
      <c r="D151" s="1755"/>
      <c r="E151" s="1757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57"/>
      <c r="AW151" s="1757"/>
    </row>
    <row r="152" spans="1:49" x14ac:dyDescent="0.3">
      <c r="A152" s="18"/>
      <c r="B152" s="18"/>
      <c r="C152" s="18"/>
      <c r="D152" s="1755"/>
      <c r="E152" s="1757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57"/>
      <c r="AW152" s="1757"/>
    </row>
    <row r="153" spans="1:49" x14ac:dyDescent="0.3">
      <c r="A153" s="18"/>
      <c r="B153" s="18"/>
      <c r="C153" s="18"/>
      <c r="D153" s="1755"/>
      <c r="E153" s="1755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55"/>
      <c r="AW153" s="1755"/>
    </row>
    <row r="154" spans="1:49" x14ac:dyDescent="0.3">
      <c r="A154" s="18"/>
      <c r="B154" s="18"/>
      <c r="C154" s="18"/>
      <c r="D154" s="1750"/>
      <c r="E154" s="1756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58"/>
      <c r="AW154" s="1758"/>
    </row>
    <row r="155" spans="1:49" x14ac:dyDescent="0.3">
      <c r="A155" s="18"/>
      <c r="B155" s="18"/>
      <c r="C155" s="18"/>
      <c r="D155" s="1755"/>
      <c r="E155" s="1757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57"/>
      <c r="AW155" s="1757"/>
    </row>
    <row r="156" spans="1:49" x14ac:dyDescent="0.3">
      <c r="A156" s="18"/>
      <c r="B156" s="18"/>
      <c r="C156" s="18"/>
      <c r="D156" s="1755"/>
      <c r="E156" s="1757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57"/>
      <c r="AW156" s="1757"/>
    </row>
    <row r="157" spans="1:49" x14ac:dyDescent="0.3">
      <c r="A157" s="18"/>
      <c r="B157" s="18"/>
      <c r="C157" s="18"/>
      <c r="D157" s="1755"/>
      <c r="E157" s="1757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57"/>
      <c r="AW157" s="1757"/>
    </row>
    <row r="158" spans="1:49" x14ac:dyDescent="0.3">
      <c r="A158" s="18"/>
      <c r="B158" s="18"/>
      <c r="C158" s="18"/>
      <c r="D158" s="1755"/>
      <c r="E158" s="1757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57"/>
      <c r="AW158" s="1757"/>
    </row>
    <row r="159" spans="1:49" x14ac:dyDescent="0.3">
      <c r="A159" s="18"/>
      <c r="B159" s="18"/>
      <c r="C159" s="18"/>
      <c r="D159" s="1755"/>
      <c r="E159" s="1757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57"/>
      <c r="AW159" s="1757"/>
    </row>
    <row r="160" spans="1:49" x14ac:dyDescent="0.3">
      <c r="A160" s="18"/>
      <c r="B160" s="18"/>
      <c r="C160" s="18"/>
      <c r="D160" s="1755"/>
      <c r="E160" s="1757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57"/>
      <c r="AW160" s="1757"/>
    </row>
    <row r="161" spans="1:49" x14ac:dyDescent="0.3">
      <c r="A161" s="18"/>
      <c r="B161" s="18"/>
      <c r="C161" s="18"/>
      <c r="D161" s="1755"/>
      <c r="E161" s="1755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55"/>
      <c r="AW161" s="1755"/>
    </row>
    <row r="162" spans="1:49" x14ac:dyDescent="0.3">
      <c r="A162" s="18"/>
      <c r="B162" s="18"/>
      <c r="C162" s="18"/>
      <c r="D162" s="1750"/>
      <c r="E162" s="1756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58"/>
      <c r="AW162" s="1758"/>
    </row>
    <row r="163" spans="1:49" x14ac:dyDescent="0.3">
      <c r="A163" s="18"/>
      <c r="B163" s="18"/>
      <c r="C163" s="18"/>
      <c r="D163" s="1755"/>
      <c r="E163" s="1757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57"/>
      <c r="AW163" s="1757"/>
    </row>
    <row r="164" spans="1:49" x14ac:dyDescent="0.3">
      <c r="A164" s="18"/>
      <c r="B164" s="18"/>
      <c r="C164" s="18"/>
      <c r="D164" s="1755"/>
      <c r="E164" s="1757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57"/>
      <c r="AW164" s="1757"/>
    </row>
    <row r="165" spans="1:49" x14ac:dyDescent="0.3">
      <c r="A165" s="18"/>
      <c r="B165" s="18"/>
      <c r="C165" s="18"/>
      <c r="D165" s="1755"/>
      <c r="E165" s="1757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57"/>
      <c r="AW165" s="1757"/>
    </row>
    <row r="166" spans="1:49" x14ac:dyDescent="0.3">
      <c r="A166" s="18"/>
      <c r="B166" s="18"/>
      <c r="C166" s="18"/>
      <c r="D166" s="1755"/>
      <c r="E166" s="1757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57"/>
      <c r="AW166" s="1757"/>
    </row>
    <row r="167" spans="1:49" x14ac:dyDescent="0.3">
      <c r="A167" s="18"/>
      <c r="B167" s="18"/>
      <c r="C167" s="18"/>
      <c r="D167" s="1755"/>
      <c r="E167" s="1757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57"/>
      <c r="AW167" s="1757"/>
    </row>
    <row r="168" spans="1:49" x14ac:dyDescent="0.3">
      <c r="A168" s="18"/>
      <c r="B168" s="18"/>
      <c r="C168" s="18"/>
      <c r="D168" s="1755"/>
      <c r="E168" s="1757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57"/>
      <c r="AW168" s="1757"/>
    </row>
    <row r="169" spans="1:49" x14ac:dyDescent="0.3">
      <c r="A169" s="18"/>
      <c r="B169" s="18"/>
      <c r="C169" s="18"/>
      <c r="D169" s="1755"/>
      <c r="E169" s="1755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55"/>
      <c r="AW169" s="1755"/>
    </row>
    <row r="170" spans="1:49" x14ac:dyDescent="0.3">
      <c r="A170" s="18"/>
      <c r="B170" s="18"/>
      <c r="C170" s="18"/>
      <c r="D170" s="1750"/>
      <c r="E170" s="1756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58"/>
      <c r="AW170" s="1758"/>
    </row>
    <row r="171" spans="1:49" x14ac:dyDescent="0.3">
      <c r="A171" s="18"/>
      <c r="B171" s="18"/>
      <c r="C171" s="18"/>
      <c r="D171" s="1755"/>
      <c r="E171" s="1757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57"/>
      <c r="AW171" s="1757"/>
    </row>
    <row r="172" spans="1:49" x14ac:dyDescent="0.3">
      <c r="A172" s="18"/>
      <c r="B172" s="18"/>
      <c r="C172" s="18"/>
      <c r="D172" s="1755"/>
      <c r="E172" s="1757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57"/>
      <c r="AW172" s="1757"/>
    </row>
    <row r="173" spans="1:49" x14ac:dyDescent="0.3">
      <c r="A173" s="18"/>
      <c r="B173" s="18"/>
      <c r="C173" s="18"/>
      <c r="D173" s="1755"/>
      <c r="E173" s="1757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57"/>
      <c r="AW173" s="1757"/>
    </row>
    <row r="174" spans="1:49" x14ac:dyDescent="0.3">
      <c r="A174" s="18"/>
      <c r="B174" s="18"/>
      <c r="C174" s="18"/>
      <c r="D174" s="1755"/>
      <c r="E174" s="1757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57"/>
      <c r="AW174" s="1757"/>
    </row>
    <row r="175" spans="1:49" x14ac:dyDescent="0.3">
      <c r="A175" s="18"/>
      <c r="B175" s="18"/>
      <c r="C175" s="18"/>
      <c r="D175" s="1755"/>
      <c r="E175" s="1757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57"/>
      <c r="AW175" s="1757"/>
    </row>
    <row r="176" spans="1:49" x14ac:dyDescent="0.3">
      <c r="A176" s="18"/>
      <c r="B176" s="18"/>
      <c r="C176" s="18"/>
      <c r="D176" s="1755"/>
      <c r="E176" s="1757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57"/>
      <c r="AW176" s="1757"/>
    </row>
    <row r="177" spans="1:49" x14ac:dyDescent="0.3">
      <c r="A177" s="18"/>
      <c r="B177" s="18"/>
      <c r="C177" s="18"/>
      <c r="D177" s="1755"/>
      <c r="E177" s="1755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55"/>
      <c r="AW177" s="1755"/>
    </row>
    <row r="178" spans="1:49" x14ac:dyDescent="0.3">
      <c r="A178" s="18"/>
      <c r="B178" s="18"/>
      <c r="C178" s="18"/>
      <c r="D178" s="1750"/>
      <c r="E178" s="1756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58"/>
      <c r="AW178" s="1758"/>
    </row>
    <row r="179" spans="1:49" x14ac:dyDescent="0.3">
      <c r="A179" s="18"/>
      <c r="B179" s="18"/>
      <c r="C179" s="18"/>
      <c r="D179" s="1755"/>
      <c r="E179" s="1757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57"/>
      <c r="AW179" s="1757"/>
    </row>
    <row r="180" spans="1:49" x14ac:dyDescent="0.3">
      <c r="A180" s="18"/>
      <c r="B180" s="18"/>
      <c r="C180" s="18"/>
      <c r="D180" s="1755"/>
      <c r="E180" s="1757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57"/>
      <c r="AW180" s="1757"/>
    </row>
    <row r="181" spans="1:49" x14ac:dyDescent="0.3">
      <c r="A181" s="18"/>
      <c r="B181" s="18"/>
      <c r="C181" s="18"/>
      <c r="D181" s="1755"/>
      <c r="E181" s="1757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57"/>
      <c r="AW181" s="1757"/>
    </row>
    <row r="182" spans="1:49" x14ac:dyDescent="0.3">
      <c r="A182" s="18"/>
      <c r="B182" s="18"/>
      <c r="C182" s="18"/>
      <c r="D182" s="1755"/>
      <c r="E182" s="1757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57"/>
      <c r="AW182" s="1757"/>
    </row>
    <row r="183" spans="1:49" x14ac:dyDescent="0.3">
      <c r="A183" s="18"/>
      <c r="B183" s="18"/>
      <c r="C183" s="18"/>
      <c r="D183" s="1755"/>
      <c r="E183" s="1757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57"/>
      <c r="AW183" s="1757"/>
    </row>
    <row r="184" spans="1:49" x14ac:dyDescent="0.3">
      <c r="A184" s="18"/>
      <c r="B184" s="18"/>
      <c r="C184" s="18"/>
      <c r="D184" s="1755"/>
      <c r="E184" s="1757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57"/>
      <c r="AW184" s="1757"/>
    </row>
    <row r="185" spans="1:49" x14ac:dyDescent="0.3">
      <c r="A185" s="18"/>
      <c r="B185" s="18"/>
      <c r="C185" s="18"/>
      <c r="D185" s="1755"/>
      <c r="E185" s="1755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55"/>
      <c r="AW185" s="1755"/>
    </row>
    <row r="186" spans="1:49" x14ac:dyDescent="0.3">
      <c r="A186" s="18"/>
      <c r="B186" s="18"/>
      <c r="C186" s="18"/>
      <c r="D186" s="1750"/>
      <c r="E186" s="1756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58"/>
      <c r="AW186" s="1758"/>
    </row>
    <row r="187" spans="1:49" x14ac:dyDescent="0.3">
      <c r="A187" s="18"/>
      <c r="B187" s="18"/>
      <c r="C187" s="18"/>
      <c r="D187" s="1755"/>
      <c r="E187" s="1757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57"/>
      <c r="AW187" s="1757"/>
    </row>
    <row r="188" spans="1:49" x14ac:dyDescent="0.3">
      <c r="A188" s="18"/>
      <c r="B188" s="18"/>
      <c r="C188" s="18"/>
      <c r="D188" s="1755"/>
      <c r="E188" s="1757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57"/>
      <c r="AW188" s="1757"/>
    </row>
    <row r="189" spans="1:49" x14ac:dyDescent="0.3">
      <c r="A189" s="18"/>
      <c r="B189" s="18"/>
      <c r="C189" s="18"/>
      <c r="D189" s="1755"/>
      <c r="E189" s="1757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57"/>
      <c r="AW189" s="1757"/>
    </row>
    <row r="190" spans="1:49" x14ac:dyDescent="0.3">
      <c r="A190" s="18"/>
      <c r="B190" s="18"/>
      <c r="C190" s="18"/>
      <c r="D190" s="1755"/>
      <c r="E190" s="1757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57"/>
      <c r="AW190" s="1757"/>
    </row>
    <row r="191" spans="1:49" x14ac:dyDescent="0.3">
      <c r="A191" s="18"/>
      <c r="B191" s="18"/>
      <c r="C191" s="18"/>
      <c r="D191" s="1755"/>
      <c r="E191" s="1757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57"/>
      <c r="AW191" s="1757"/>
    </row>
    <row r="192" spans="1:49" x14ac:dyDescent="0.3">
      <c r="A192" s="18"/>
      <c r="B192" s="18"/>
      <c r="C192" s="18"/>
      <c r="D192" s="1755"/>
      <c r="E192" s="1757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57"/>
      <c r="AW192" s="1757"/>
    </row>
    <row r="193" spans="1:49" x14ac:dyDescent="0.3">
      <c r="A193" s="18"/>
      <c r="B193" s="18"/>
      <c r="C193" s="18"/>
      <c r="D193" s="1755"/>
      <c r="E193" s="1755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55"/>
      <c r="AW193" s="1755"/>
    </row>
    <row r="194" spans="1:49" x14ac:dyDescent="0.3">
      <c r="A194" s="18"/>
      <c r="B194" s="18"/>
      <c r="C194" s="18"/>
      <c r="D194" s="1750"/>
      <c r="E194" s="1756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58"/>
      <c r="AW194" s="1758"/>
    </row>
    <row r="195" spans="1:49" x14ac:dyDescent="0.3">
      <c r="A195" s="18"/>
      <c r="B195" s="18"/>
      <c r="C195" s="18"/>
      <c r="D195" s="1755"/>
      <c r="E195" s="1757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57"/>
      <c r="AW195" s="1757"/>
    </row>
    <row r="196" spans="1:49" x14ac:dyDescent="0.3">
      <c r="A196" s="18"/>
      <c r="B196" s="18"/>
      <c r="C196" s="18"/>
      <c r="D196" s="1755"/>
      <c r="E196" s="1757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57"/>
      <c r="AW196" s="1757"/>
    </row>
    <row r="197" spans="1:49" x14ac:dyDescent="0.3">
      <c r="A197" s="18"/>
      <c r="B197" s="18"/>
      <c r="C197" s="18"/>
      <c r="D197" s="1755"/>
      <c r="E197" s="1757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57"/>
      <c r="AW197" s="1757"/>
    </row>
    <row r="198" spans="1:49" x14ac:dyDescent="0.3">
      <c r="A198" s="18"/>
      <c r="B198" s="18"/>
      <c r="C198" s="18"/>
      <c r="D198" s="1755"/>
      <c r="E198" s="1757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57"/>
      <c r="AW198" s="1757"/>
    </row>
    <row r="199" spans="1:49" x14ac:dyDescent="0.3">
      <c r="A199" s="18"/>
      <c r="B199" s="18"/>
      <c r="C199" s="18"/>
      <c r="D199" s="1755"/>
      <c r="E199" s="1757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57"/>
      <c r="AW199" s="1757"/>
    </row>
    <row r="200" spans="1:49" x14ac:dyDescent="0.3">
      <c r="A200" s="18"/>
      <c r="B200" s="18"/>
      <c r="C200" s="18"/>
      <c r="D200" s="1755"/>
      <c r="E200" s="1757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57"/>
      <c r="AW200" s="1757"/>
    </row>
    <row r="201" spans="1:49" x14ac:dyDescent="0.3">
      <c r="A201" s="18"/>
      <c r="B201" s="18"/>
      <c r="C201" s="18"/>
      <c r="D201" s="1755"/>
      <c r="E201" s="1755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55"/>
      <c r="AW201" s="1755"/>
    </row>
    <row r="202" spans="1:49" x14ac:dyDescent="0.3">
      <c r="A202" s="18"/>
      <c r="B202" s="18"/>
      <c r="C202" s="18"/>
      <c r="D202" s="1750"/>
      <c r="E202" s="1756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58"/>
      <c r="AW202" s="1758"/>
    </row>
    <row r="203" spans="1:49" x14ac:dyDescent="0.3">
      <c r="A203" s="18"/>
      <c r="B203" s="18"/>
      <c r="C203" s="18"/>
      <c r="D203" s="1755"/>
      <c r="E203" s="1757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57"/>
      <c r="AW203" s="1757"/>
    </row>
    <row r="204" spans="1:49" x14ac:dyDescent="0.3">
      <c r="A204" s="18"/>
      <c r="B204" s="18"/>
      <c r="C204" s="18"/>
      <c r="D204" s="1755"/>
      <c r="E204" s="1757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57"/>
      <c r="AW204" s="1757"/>
    </row>
    <row r="205" spans="1:49" x14ac:dyDescent="0.3">
      <c r="A205" s="18"/>
      <c r="B205" s="18"/>
      <c r="C205" s="18"/>
      <c r="D205" s="1755"/>
      <c r="E205" s="1757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57"/>
      <c r="AW205" s="1757"/>
    </row>
    <row r="206" spans="1:49" x14ac:dyDescent="0.3">
      <c r="A206" s="18"/>
      <c r="B206" s="18"/>
      <c r="C206" s="18"/>
      <c r="D206" s="1755"/>
      <c r="E206" s="1757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57"/>
      <c r="AW206" s="1757"/>
    </row>
    <row r="207" spans="1:49" x14ac:dyDescent="0.3">
      <c r="A207" s="18"/>
      <c r="B207" s="18"/>
      <c r="C207" s="18"/>
      <c r="D207" s="1755"/>
      <c r="E207" s="1757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57"/>
      <c r="AW207" s="1757"/>
    </row>
    <row r="208" spans="1:49" x14ac:dyDescent="0.3">
      <c r="A208" s="18"/>
      <c r="B208" s="18"/>
      <c r="C208" s="18"/>
      <c r="D208" s="1755"/>
      <c r="E208" s="1757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57"/>
      <c r="AW208" s="1757"/>
    </row>
    <row r="209" spans="1:49" x14ac:dyDescent="0.3">
      <c r="A209" s="18"/>
      <c r="B209" s="18"/>
      <c r="C209" s="18"/>
      <c r="D209" s="1755"/>
      <c r="E209" s="1755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55"/>
      <c r="AW209" s="1755"/>
    </row>
    <row r="210" spans="1:49" x14ac:dyDescent="0.3">
      <c r="A210" s="18"/>
      <c r="B210" s="18"/>
      <c r="C210" s="18"/>
      <c r="D210" s="1750"/>
      <c r="E210" s="1756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58"/>
      <c r="AW210" s="1758"/>
    </row>
    <row r="211" spans="1:49" x14ac:dyDescent="0.3">
      <c r="A211" s="18"/>
      <c r="B211" s="18"/>
      <c r="C211" s="18"/>
      <c r="D211" s="1755"/>
      <c r="E211" s="1757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57"/>
      <c r="AW211" s="1757"/>
    </row>
    <row r="212" spans="1:49" x14ac:dyDescent="0.3">
      <c r="A212" s="18"/>
      <c r="B212" s="18"/>
      <c r="C212" s="18"/>
      <c r="D212" s="1755"/>
      <c r="E212" s="1757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57"/>
      <c r="AW212" s="1757"/>
    </row>
    <row r="213" spans="1:49" x14ac:dyDescent="0.3">
      <c r="A213" s="18"/>
      <c r="B213" s="18"/>
      <c r="C213" s="18"/>
      <c r="D213" s="1755"/>
      <c r="E213" s="1757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57"/>
      <c r="AW213" s="1757"/>
    </row>
    <row r="214" spans="1:49" x14ac:dyDescent="0.3">
      <c r="A214" s="18"/>
      <c r="B214" s="18"/>
      <c r="C214" s="18"/>
      <c r="D214" s="1755"/>
      <c r="E214" s="1757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57"/>
      <c r="AW214" s="1757"/>
    </row>
    <row r="215" spans="1:49" x14ac:dyDescent="0.3">
      <c r="A215" s="18"/>
      <c r="B215" s="18"/>
      <c r="C215" s="18"/>
      <c r="D215" s="1755"/>
      <c r="E215" s="1757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57"/>
      <c r="AW215" s="1757"/>
    </row>
    <row r="216" spans="1:49" x14ac:dyDescent="0.3">
      <c r="A216" s="18"/>
      <c r="B216" s="18"/>
      <c r="C216" s="18"/>
      <c r="D216" s="1755"/>
      <c r="E216" s="1757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57"/>
      <c r="AW216" s="1757"/>
    </row>
    <row r="217" spans="1:49" x14ac:dyDescent="0.3">
      <c r="A217" s="18"/>
      <c r="B217" s="18"/>
      <c r="C217" s="18"/>
      <c r="D217" s="1755"/>
      <c r="E217" s="1755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55"/>
      <c r="AW217" s="1755"/>
    </row>
    <row r="218" spans="1:49" x14ac:dyDescent="0.3">
      <c r="A218" s="18"/>
      <c r="B218" s="18"/>
      <c r="C218" s="18"/>
      <c r="D218" s="1750"/>
      <c r="E218" s="1756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58"/>
      <c r="AW218" s="1758"/>
    </row>
    <row r="219" spans="1:49" x14ac:dyDescent="0.3">
      <c r="A219" s="18"/>
      <c r="B219" s="18"/>
      <c r="C219" s="18"/>
      <c r="D219" s="1755"/>
      <c r="E219" s="1757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57"/>
      <c r="AW219" s="1757"/>
    </row>
    <row r="220" spans="1:49" x14ac:dyDescent="0.3">
      <c r="A220" s="18"/>
      <c r="B220" s="18"/>
      <c r="C220" s="18"/>
      <c r="D220" s="1755"/>
      <c r="E220" s="1757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57"/>
      <c r="AW220" s="1757"/>
    </row>
    <row r="221" spans="1:49" x14ac:dyDescent="0.3">
      <c r="A221" s="18"/>
      <c r="B221" s="18"/>
      <c r="C221" s="18"/>
      <c r="D221" s="1755"/>
      <c r="E221" s="1757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57"/>
      <c r="AW221" s="1757"/>
    </row>
    <row r="222" spans="1:49" x14ac:dyDescent="0.3">
      <c r="A222" s="18"/>
      <c r="B222" s="18"/>
      <c r="C222" s="18"/>
      <c r="D222" s="1755"/>
      <c r="E222" s="1757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57"/>
      <c r="AW222" s="1757"/>
    </row>
    <row r="223" spans="1:49" x14ac:dyDescent="0.3">
      <c r="A223" s="18"/>
      <c r="B223" s="18"/>
      <c r="C223" s="18"/>
      <c r="D223" s="1755"/>
      <c r="E223" s="1757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57"/>
      <c r="AW223" s="1757"/>
    </row>
    <row r="224" spans="1:49" x14ac:dyDescent="0.3">
      <c r="A224" s="18"/>
      <c r="B224" s="18"/>
      <c r="C224" s="18"/>
      <c r="D224" s="1755"/>
      <c r="E224" s="1757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57"/>
      <c r="AW224" s="1757"/>
    </row>
    <row r="225" spans="1:49" x14ac:dyDescent="0.3">
      <c r="A225" s="18"/>
      <c r="B225" s="18"/>
      <c r="C225" s="18"/>
      <c r="D225" s="1755"/>
      <c r="E225" s="1755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55"/>
      <c r="AW225" s="1755"/>
    </row>
    <row r="226" spans="1:49" x14ac:dyDescent="0.3">
      <c r="A226" s="18"/>
      <c r="B226" s="18"/>
      <c r="C226" s="18"/>
      <c r="D226" s="1750"/>
      <c r="E226" s="1756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58"/>
      <c r="AW226" s="1758"/>
    </row>
    <row r="227" spans="1:49" x14ac:dyDescent="0.3">
      <c r="A227" s="18"/>
      <c r="B227" s="18"/>
      <c r="C227" s="18"/>
      <c r="D227" s="1755"/>
      <c r="E227" s="1757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57"/>
      <c r="AW227" s="1757"/>
    </row>
    <row r="228" spans="1:49" x14ac:dyDescent="0.3">
      <c r="A228" s="18"/>
      <c r="B228" s="18"/>
      <c r="C228" s="18"/>
      <c r="D228" s="1755"/>
      <c r="E228" s="1757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57"/>
      <c r="AW228" s="1757"/>
    </row>
    <row r="229" spans="1:49" x14ac:dyDescent="0.3">
      <c r="A229" s="18"/>
      <c r="B229" s="18"/>
      <c r="C229" s="18"/>
      <c r="D229" s="1755"/>
      <c r="E229" s="1757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57"/>
      <c r="AW229" s="1757"/>
    </row>
    <row r="230" spans="1:49" x14ac:dyDescent="0.3">
      <c r="A230" s="18"/>
      <c r="B230" s="18"/>
      <c r="C230" s="18"/>
      <c r="D230" s="1755"/>
      <c r="E230" s="1757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57"/>
      <c r="AW230" s="1757"/>
    </row>
    <row r="231" spans="1:49" x14ac:dyDescent="0.3">
      <c r="A231" s="18"/>
      <c r="B231" s="18"/>
      <c r="C231" s="18"/>
      <c r="D231" s="1755"/>
      <c r="E231" s="1757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57"/>
      <c r="AW231" s="1757"/>
    </row>
    <row r="232" spans="1:49" x14ac:dyDescent="0.3">
      <c r="A232" s="18"/>
      <c r="B232" s="18"/>
      <c r="C232" s="18"/>
      <c r="D232" s="1755"/>
      <c r="E232" s="1757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57"/>
      <c r="AW232" s="1757"/>
    </row>
    <row r="233" spans="1:49" x14ac:dyDescent="0.3">
      <c r="A233" s="18"/>
      <c r="B233" s="18"/>
      <c r="C233" s="18"/>
      <c r="D233" s="1755"/>
      <c r="E233" s="1755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55"/>
      <c r="AW233" s="1755"/>
    </row>
    <row r="234" spans="1:49" x14ac:dyDescent="0.3">
      <c r="A234" s="18"/>
      <c r="B234" s="18"/>
      <c r="C234" s="18"/>
      <c r="D234" s="1750"/>
      <c r="E234" s="1756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58"/>
      <c r="AW234" s="1758"/>
    </row>
    <row r="235" spans="1:49" x14ac:dyDescent="0.3">
      <c r="A235" s="18"/>
      <c r="B235" s="18"/>
      <c r="C235" s="18"/>
      <c r="D235" s="1755"/>
      <c r="E235" s="1757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57"/>
      <c r="AW235" s="1757"/>
    </row>
    <row r="236" spans="1:49" x14ac:dyDescent="0.3">
      <c r="A236" s="18"/>
      <c r="B236" s="18"/>
      <c r="C236" s="18"/>
      <c r="D236" s="1755"/>
      <c r="E236" s="1757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57"/>
      <c r="AW236" s="1757"/>
    </row>
    <row r="237" spans="1:49" x14ac:dyDescent="0.3">
      <c r="A237" s="18"/>
      <c r="B237" s="18"/>
      <c r="C237" s="18"/>
      <c r="D237" s="1755"/>
      <c r="E237" s="1757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57"/>
      <c r="AW237" s="1757"/>
    </row>
    <row r="238" spans="1:49" x14ac:dyDescent="0.3">
      <c r="A238" s="18"/>
      <c r="B238" s="18"/>
      <c r="C238" s="18"/>
      <c r="D238" s="1755"/>
      <c r="E238" s="1757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57"/>
      <c r="AW238" s="1757"/>
    </row>
    <row r="239" spans="1:49" x14ac:dyDescent="0.3">
      <c r="A239" s="18"/>
      <c r="B239" s="18"/>
      <c r="C239" s="18"/>
      <c r="D239" s="1755"/>
      <c r="E239" s="1757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57"/>
      <c r="AW239" s="1757"/>
    </row>
    <row r="240" spans="1:49" x14ac:dyDescent="0.3">
      <c r="A240" s="18"/>
      <c r="B240" s="18"/>
      <c r="C240" s="18"/>
      <c r="D240" s="1755"/>
      <c r="E240" s="1757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57"/>
      <c r="AW240" s="1757"/>
    </row>
    <row r="241" spans="1:49" x14ac:dyDescent="0.3">
      <c r="A241" s="18"/>
      <c r="B241" s="18"/>
      <c r="C241" s="18"/>
      <c r="D241" s="1755"/>
      <c r="E241" s="1755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55"/>
      <c r="AW241" s="1755"/>
    </row>
    <row r="242" spans="1:49" x14ac:dyDescent="0.3">
      <c r="A242" s="18"/>
      <c r="B242" s="18"/>
      <c r="C242" s="18"/>
      <c r="D242" s="1750"/>
      <c r="E242" s="1756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58"/>
      <c r="AW242" s="1758"/>
    </row>
    <row r="243" spans="1:49" x14ac:dyDescent="0.3">
      <c r="A243" s="18"/>
      <c r="B243" s="18"/>
      <c r="C243" s="18"/>
      <c r="D243" s="1755"/>
      <c r="E243" s="1757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57"/>
      <c r="AW243" s="1757"/>
    </row>
    <row r="244" spans="1:49" x14ac:dyDescent="0.3">
      <c r="A244" s="18"/>
      <c r="B244" s="18"/>
      <c r="C244" s="18"/>
      <c r="D244" s="1755"/>
      <c r="E244" s="1757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57"/>
      <c r="AW244" s="1757"/>
    </row>
    <row r="245" spans="1:49" x14ac:dyDescent="0.3">
      <c r="A245" s="18"/>
      <c r="B245" s="18"/>
      <c r="C245" s="18"/>
      <c r="D245" s="1755"/>
      <c r="E245" s="1757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57"/>
      <c r="AW245" s="1757"/>
    </row>
    <row r="246" spans="1:49" x14ac:dyDescent="0.3">
      <c r="A246" s="18"/>
      <c r="B246" s="18"/>
      <c r="C246" s="18"/>
      <c r="D246" s="1755"/>
      <c r="E246" s="1757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57"/>
      <c r="AW246" s="1757"/>
    </row>
    <row r="247" spans="1:49" x14ac:dyDescent="0.3">
      <c r="A247" s="18"/>
      <c r="B247" s="18"/>
      <c r="C247" s="18"/>
      <c r="D247" s="1755"/>
      <c r="E247" s="1757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57"/>
      <c r="AW247" s="1757"/>
    </row>
    <row r="248" spans="1:49" x14ac:dyDescent="0.3">
      <c r="A248" s="18"/>
      <c r="B248" s="18"/>
      <c r="C248" s="18"/>
      <c r="D248" s="1755"/>
      <c r="E248" s="1757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57"/>
      <c r="AW248" s="1757"/>
    </row>
    <row r="249" spans="1:49" x14ac:dyDescent="0.3">
      <c r="A249" s="18"/>
      <c r="B249" s="18"/>
      <c r="C249" s="18"/>
      <c r="D249" s="1755"/>
      <c r="E249" s="1755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55"/>
      <c r="AW249" s="1755"/>
    </row>
    <row r="250" spans="1:49" x14ac:dyDescent="0.3">
      <c r="A250" s="18"/>
      <c r="B250" s="18"/>
      <c r="C250" s="18"/>
      <c r="D250" s="1750"/>
      <c r="E250" s="1756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58"/>
      <c r="AW250" s="1758"/>
    </row>
    <row r="251" spans="1:49" x14ac:dyDescent="0.3">
      <c r="A251" s="18"/>
      <c r="B251" s="18"/>
      <c r="C251" s="18"/>
      <c r="D251" s="1755"/>
      <c r="E251" s="1757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57"/>
      <c r="AW251" s="1757"/>
    </row>
    <row r="252" spans="1:49" x14ac:dyDescent="0.3">
      <c r="A252" s="18"/>
      <c r="B252" s="18"/>
      <c r="C252" s="18"/>
      <c r="D252" s="1755"/>
      <c r="E252" s="1757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57"/>
      <c r="AW252" s="1757"/>
    </row>
    <row r="253" spans="1:49" x14ac:dyDescent="0.3">
      <c r="A253" s="18"/>
      <c r="B253" s="18"/>
      <c r="C253" s="18"/>
      <c r="D253" s="1755"/>
      <c r="E253" s="1757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57"/>
      <c r="AW253" s="1757"/>
    </row>
    <row r="254" spans="1:49" x14ac:dyDescent="0.3">
      <c r="A254" s="18"/>
      <c r="B254" s="18"/>
      <c r="C254" s="18"/>
      <c r="D254" s="1755"/>
      <c r="E254" s="1757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57"/>
      <c r="AW254" s="1757"/>
    </row>
    <row r="255" spans="1:49" x14ac:dyDescent="0.3">
      <c r="A255" s="18"/>
      <c r="B255" s="18"/>
      <c r="C255" s="18"/>
      <c r="D255" s="1755"/>
      <c r="E255" s="1757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57"/>
      <c r="AW255" s="1757"/>
    </row>
    <row r="256" spans="1:49" x14ac:dyDescent="0.3">
      <c r="A256" s="18"/>
      <c r="B256" s="18"/>
      <c r="C256" s="18"/>
      <c r="D256" s="1755"/>
      <c r="E256" s="1757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57"/>
      <c r="AW256" s="1757"/>
    </row>
    <row r="257" spans="1:49" x14ac:dyDescent="0.3">
      <c r="A257" s="18"/>
      <c r="B257" s="18"/>
      <c r="C257" s="18"/>
      <c r="D257" s="1755"/>
      <c r="E257" s="1755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55"/>
      <c r="AW257" s="1755"/>
    </row>
    <row r="258" spans="1:49" x14ac:dyDescent="0.3">
      <c r="A258" s="18"/>
      <c r="B258" s="18"/>
      <c r="C258" s="18"/>
      <c r="D258" s="1750"/>
      <c r="E258" s="1756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58"/>
      <c r="AW258" s="1758"/>
    </row>
    <row r="259" spans="1:49" x14ac:dyDescent="0.3">
      <c r="A259" s="18"/>
      <c r="B259" s="18"/>
      <c r="C259" s="18"/>
      <c r="D259" s="1755"/>
      <c r="E259" s="1757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57"/>
      <c r="AW259" s="1757"/>
    </row>
    <row r="260" spans="1:49" x14ac:dyDescent="0.3">
      <c r="A260" s="18"/>
      <c r="B260" s="18"/>
      <c r="C260" s="18"/>
      <c r="D260" s="1755"/>
      <c r="E260" s="1757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57"/>
      <c r="AW260" s="1757"/>
    </row>
    <row r="261" spans="1:49" x14ac:dyDescent="0.3">
      <c r="A261" s="18"/>
      <c r="B261" s="18"/>
      <c r="C261" s="18"/>
      <c r="D261" s="1755"/>
      <c r="E261" s="1757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57"/>
      <c r="AW261" s="1757"/>
    </row>
    <row r="262" spans="1:49" x14ac:dyDescent="0.3">
      <c r="A262" s="18"/>
      <c r="B262" s="18"/>
      <c r="C262" s="18"/>
      <c r="D262" s="1755"/>
      <c r="E262" s="1757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57"/>
      <c r="AW262" s="1757"/>
    </row>
    <row r="263" spans="1:49" x14ac:dyDescent="0.3">
      <c r="A263" s="18"/>
      <c r="B263" s="18"/>
      <c r="C263" s="18"/>
      <c r="D263" s="1755"/>
      <c r="E263" s="1757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57"/>
      <c r="AW263" s="1757"/>
    </row>
    <row r="264" spans="1:49" x14ac:dyDescent="0.3">
      <c r="A264" s="18"/>
      <c r="B264" s="18"/>
      <c r="C264" s="18"/>
      <c r="D264" s="1755"/>
      <c r="E264" s="1757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57"/>
      <c r="AW264" s="1757"/>
    </row>
    <row r="265" spans="1:49" x14ac:dyDescent="0.3">
      <c r="A265" s="18"/>
      <c r="B265" s="18"/>
      <c r="C265" s="18"/>
      <c r="D265" s="1755"/>
      <c r="E265" s="1755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55"/>
      <c r="AW265" s="1755"/>
    </row>
    <row r="266" spans="1:49" x14ac:dyDescent="0.3">
      <c r="A266" s="18"/>
      <c r="B266" s="18"/>
      <c r="C266" s="18"/>
      <c r="D266" s="1750"/>
      <c r="E266" s="1756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58"/>
      <c r="AW266" s="1758"/>
    </row>
    <row r="267" spans="1:49" x14ac:dyDescent="0.3">
      <c r="A267" s="18"/>
      <c r="B267" s="18"/>
      <c r="C267" s="18"/>
      <c r="D267" s="1755"/>
      <c r="E267" s="1757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57"/>
      <c r="AW267" s="1757"/>
    </row>
    <row r="268" spans="1:49" x14ac:dyDescent="0.3">
      <c r="A268" s="18"/>
      <c r="B268" s="18"/>
      <c r="C268" s="18"/>
      <c r="D268" s="1755"/>
      <c r="E268" s="1757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57"/>
      <c r="AW268" s="1757"/>
    </row>
    <row r="269" spans="1:49" x14ac:dyDescent="0.3">
      <c r="A269" s="18"/>
      <c r="B269" s="18"/>
      <c r="C269" s="18"/>
      <c r="D269" s="1755"/>
      <c r="E269" s="1757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57"/>
      <c r="AW269" s="1757"/>
    </row>
    <row r="270" spans="1:49" x14ac:dyDescent="0.3">
      <c r="A270" s="18"/>
      <c r="B270" s="18"/>
      <c r="C270" s="18"/>
      <c r="D270" s="1755"/>
      <c r="E270" s="1757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57"/>
      <c r="AW270" s="1757"/>
    </row>
    <row r="271" spans="1:49" x14ac:dyDescent="0.3">
      <c r="A271" s="18"/>
      <c r="B271" s="18"/>
      <c r="C271" s="18"/>
      <c r="D271" s="1755"/>
      <c r="E271" s="1757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57"/>
      <c r="AW271" s="1757"/>
    </row>
    <row r="272" spans="1:49" x14ac:dyDescent="0.3">
      <c r="A272" s="18"/>
      <c r="B272" s="18"/>
      <c r="C272" s="18"/>
      <c r="D272" s="1755"/>
      <c r="E272" s="1757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57"/>
      <c r="AW272" s="1757"/>
    </row>
    <row r="273" spans="1:49" x14ac:dyDescent="0.3">
      <c r="A273" s="18"/>
      <c r="B273" s="18"/>
      <c r="C273" s="18"/>
      <c r="D273" s="1755"/>
      <c r="E273" s="1755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55"/>
      <c r="AW273" s="1755"/>
    </row>
    <row r="274" spans="1:49" x14ac:dyDescent="0.3">
      <c r="A274" s="18"/>
      <c r="B274" s="18"/>
      <c r="C274" s="18"/>
      <c r="D274" s="1750"/>
      <c r="E274" s="1756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58"/>
      <c r="AW274" s="1758"/>
    </row>
    <row r="275" spans="1:49" x14ac:dyDescent="0.3">
      <c r="A275" s="18"/>
      <c r="B275" s="18"/>
      <c r="C275" s="18"/>
      <c r="D275" s="1755"/>
      <c r="E275" s="1757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57"/>
      <c r="AW275" s="1757"/>
    </row>
    <row r="276" spans="1:49" x14ac:dyDescent="0.3">
      <c r="A276" s="18"/>
      <c r="B276" s="18"/>
      <c r="C276" s="18"/>
      <c r="D276" s="1755"/>
      <c r="E276" s="1757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57"/>
      <c r="AW276" s="1757"/>
    </row>
    <row r="277" spans="1:49" x14ac:dyDescent="0.3">
      <c r="A277" s="18"/>
      <c r="B277" s="18"/>
      <c r="C277" s="18"/>
      <c r="D277" s="1755"/>
      <c r="E277" s="1757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57"/>
      <c r="AW277" s="1757"/>
    </row>
    <row r="278" spans="1:49" x14ac:dyDescent="0.3">
      <c r="A278" s="18"/>
      <c r="B278" s="18"/>
      <c r="C278" s="18"/>
      <c r="D278" s="1755"/>
      <c r="E278" s="1757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57"/>
      <c r="AW278" s="1757"/>
    </row>
    <row r="279" spans="1:49" x14ac:dyDescent="0.3">
      <c r="A279" s="18"/>
      <c r="B279" s="18"/>
      <c r="C279" s="18"/>
      <c r="D279" s="1755"/>
      <c r="E279" s="1757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57"/>
      <c r="AW279" s="1757"/>
    </row>
    <row r="280" spans="1:49" x14ac:dyDescent="0.3">
      <c r="A280" s="18"/>
      <c r="B280" s="18"/>
      <c r="C280" s="18"/>
      <c r="D280" s="1755"/>
      <c r="E280" s="1757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57"/>
      <c r="AW280" s="1757"/>
    </row>
    <row r="281" spans="1:49" x14ac:dyDescent="0.3">
      <c r="A281" s="18"/>
      <c r="B281" s="18"/>
      <c r="C281" s="18"/>
      <c r="D281" s="1755"/>
      <c r="E281" s="1755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55"/>
      <c r="AW281" s="1755"/>
    </row>
    <row r="282" spans="1:49" x14ac:dyDescent="0.3">
      <c r="A282" s="18"/>
      <c r="B282" s="18"/>
      <c r="C282" s="18"/>
      <c r="D282" s="1750"/>
      <c r="E282" s="1756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58"/>
      <c r="AW282" s="1758"/>
    </row>
    <row r="283" spans="1:49" x14ac:dyDescent="0.3">
      <c r="A283" s="18"/>
      <c r="B283" s="18"/>
      <c r="C283" s="18"/>
      <c r="D283" s="1755"/>
      <c r="E283" s="1757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57"/>
      <c r="AW283" s="1757"/>
    </row>
    <row r="284" spans="1:49" x14ac:dyDescent="0.3">
      <c r="A284" s="18"/>
      <c r="B284" s="18"/>
      <c r="C284" s="18"/>
      <c r="D284" s="1755"/>
      <c r="E284" s="1757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57"/>
      <c r="AW284" s="1757"/>
    </row>
    <row r="285" spans="1:49" x14ac:dyDescent="0.3">
      <c r="A285" s="18"/>
      <c r="B285" s="18"/>
      <c r="C285" s="18"/>
      <c r="D285" s="1755"/>
      <c r="E285" s="1757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57"/>
      <c r="AW285" s="1757"/>
    </row>
    <row r="286" spans="1:49" x14ac:dyDescent="0.3">
      <c r="A286" s="18"/>
      <c r="B286" s="18"/>
      <c r="C286" s="18"/>
      <c r="D286" s="1755"/>
      <c r="E286" s="1757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57"/>
      <c r="AW286" s="1757"/>
    </row>
    <row r="287" spans="1:49" x14ac:dyDescent="0.3">
      <c r="A287" s="18"/>
      <c r="B287" s="18"/>
      <c r="C287" s="18"/>
      <c r="D287" s="1755"/>
      <c r="E287" s="1757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57"/>
      <c r="AW287" s="1757"/>
    </row>
    <row r="288" spans="1:49" x14ac:dyDescent="0.3">
      <c r="A288" s="18"/>
      <c r="B288" s="18"/>
      <c r="C288" s="18"/>
      <c r="D288" s="1755"/>
      <c r="E288" s="1757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57"/>
      <c r="AW288" s="1757"/>
    </row>
    <row r="289" spans="1:49" x14ac:dyDescent="0.3">
      <c r="A289" s="18"/>
      <c r="B289" s="18"/>
      <c r="C289" s="18"/>
      <c r="D289" s="1755"/>
      <c r="E289" s="1755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55"/>
      <c r="AW289" s="1755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8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72" t="s">
        <v>71</v>
      </c>
      <c r="E1" s="1772"/>
      <c r="F1" s="1772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5.6748687890321818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61" t="s">
        <v>585</v>
      </c>
      <c r="I2" s="1461"/>
      <c r="J2" s="1461"/>
      <c r="K2" s="1461"/>
      <c r="O2" s="1">
        <f>720+180</f>
        <v>900</v>
      </c>
    </row>
    <row r="4" spans="1:33" ht="29.4" thickBot="1" x14ac:dyDescent="0.35">
      <c r="A4" s="585" t="s">
        <v>542</v>
      </c>
      <c r="B4" s="1552" t="s">
        <v>0</v>
      </c>
      <c r="C4" s="1554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16">
        <v>1</v>
      </c>
      <c r="B5" s="1435">
        <v>46265</v>
      </c>
      <c r="C5" s="1436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75">
        <f>SUM(M5:M6)</f>
        <v>74.069659139999999</v>
      </c>
      <c r="O5" s="461">
        <f t="shared" ref="O5:O11" si="1">M5/((720-R5)/60)</f>
        <v>2.8865657961661344</v>
      </c>
      <c r="P5" s="1423">
        <f>'Milling Down Time Hours'!Q5</f>
        <v>22.433333333333334</v>
      </c>
      <c r="Q5" s="483"/>
      <c r="R5" s="466">
        <f>'Milling Down Time Hours'!P5</f>
        <v>94</v>
      </c>
      <c r="S5" s="1775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16"/>
      <c r="B6" s="1437"/>
      <c r="C6" s="1438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76"/>
      <c r="O6" s="461">
        <f t="shared" si="1"/>
        <v>3.6627629999999995</v>
      </c>
      <c r="P6" s="1795"/>
      <c r="Q6" s="524"/>
      <c r="R6" s="466">
        <v>0</v>
      </c>
      <c r="S6" s="1779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16"/>
      <c r="B7" s="1435">
        <v>46266</v>
      </c>
      <c r="C7" s="1436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75">
        <f>SUM(M7:M8)</f>
        <v>218.24394086000001</v>
      </c>
      <c r="O7" s="461">
        <f t="shared" si="1"/>
        <v>8.6932442900719415</v>
      </c>
      <c r="P7" s="1793">
        <f>'Milling Down Time Hours'!Q6</f>
        <v>22.9</v>
      </c>
      <c r="Q7" s="504"/>
      <c r="R7" s="466">
        <v>25</v>
      </c>
      <c r="S7" s="1779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16"/>
      <c r="B8" s="1437"/>
      <c r="C8" s="1438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76"/>
      <c r="O8" s="461">
        <f t="shared" si="1"/>
        <v>10.387086406480119</v>
      </c>
      <c r="P8" s="1794"/>
      <c r="Q8" s="504"/>
      <c r="R8" s="466">
        <v>41</v>
      </c>
      <c r="S8" s="1776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17">
        <v>2</v>
      </c>
      <c r="B9" s="1428">
        <v>46267</v>
      </c>
      <c r="C9" s="1429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84">
        <f>SUM(M9:M10)</f>
        <v>209.804</v>
      </c>
      <c r="O9" s="477">
        <f t="shared" si="1"/>
        <v>10.565099999999999</v>
      </c>
      <c r="P9" s="1777">
        <f>'Milling Down Time Hours'!Q7</f>
        <v>22</v>
      </c>
      <c r="Q9" s="492"/>
      <c r="R9" s="471">
        <f>'Milling Down Time Hours'!P7</f>
        <v>120.00000000000001</v>
      </c>
      <c r="S9" s="1784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17"/>
      <c r="B10" s="1430"/>
      <c r="C10" s="1431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86"/>
      <c r="O10" s="477">
        <f t="shared" si="1"/>
        <v>8.6794166666666666</v>
      </c>
      <c r="P10" s="1778"/>
      <c r="Q10" s="492"/>
      <c r="R10" s="471">
        <v>0</v>
      </c>
      <c r="S10" s="1785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17"/>
      <c r="B11" s="1428">
        <v>46268</v>
      </c>
      <c r="C11" s="1429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84">
        <f>SUM(M11:M12)</f>
        <v>90.338150000000013</v>
      </c>
      <c r="O11" s="477">
        <f t="shared" si="1"/>
        <v>8.2125590909090924</v>
      </c>
      <c r="P11" s="1787">
        <f>'Milling Down Time Hours'!Q8</f>
        <v>23</v>
      </c>
      <c r="Q11" s="529"/>
      <c r="R11" s="492">
        <v>60</v>
      </c>
      <c r="S11" s="1785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17"/>
      <c r="B12" s="1430"/>
      <c r="C12" s="1431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86"/>
      <c r="O12" s="477"/>
      <c r="P12" s="1788"/>
      <c r="Q12" s="531"/>
      <c r="R12" s="490">
        <v>720</v>
      </c>
      <c r="S12" s="1444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17"/>
      <c r="B13" s="1428">
        <v>46269</v>
      </c>
      <c r="C13" s="1429"/>
      <c r="D13" s="1796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77">
        <f>'Milling Down Time Hours'!Q9</f>
        <v>0</v>
      </c>
      <c r="Q13" s="514"/>
      <c r="R13" s="1777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17"/>
      <c r="B14" s="1773"/>
      <c r="C14" s="1774"/>
      <c r="D14" s="1797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89"/>
      <c r="Q14" s="492"/>
      <c r="R14" s="1790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82">
        <v>46270</v>
      </c>
      <c r="C15" s="1783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18">
        <v>3</v>
      </c>
      <c r="B16" s="1445">
        <v>46270</v>
      </c>
      <c r="C16" s="1445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2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18"/>
      <c r="B17" s="1445">
        <v>46271</v>
      </c>
      <c r="C17" s="1445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98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24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18"/>
      <c r="B18" s="1445"/>
      <c r="C18" s="1445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98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24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18"/>
      <c r="B19" s="1437">
        <v>46272</v>
      </c>
      <c r="C19" s="1438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99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25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17">
        <v>4</v>
      </c>
      <c r="B20" s="1780">
        <v>46272</v>
      </c>
      <c r="C20" s="1781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25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5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17"/>
      <c r="B21" s="1428">
        <v>46273</v>
      </c>
      <c r="C21" s="1429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84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5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17"/>
      <c r="B22" s="1430"/>
      <c r="C22" s="1431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00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5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17"/>
      <c r="B23" s="1428">
        <v>46274</v>
      </c>
      <c r="C23" s="1429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5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353">
        <v>46274</v>
      </c>
      <c r="C24" s="1354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16">
        <v>5</v>
      </c>
      <c r="B25" s="1435">
        <v>46275</v>
      </c>
      <c r="C25" s="1436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21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21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16"/>
      <c r="B26" s="1437"/>
      <c r="C26" s="1438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22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21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16"/>
      <c r="B27" s="1435">
        <v>46276</v>
      </c>
      <c r="C27" s="1436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23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21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36">
        <v>46276</v>
      </c>
      <c r="C28" s="1636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79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43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17">
        <v>6</v>
      </c>
      <c r="B29" s="1773">
        <v>46276</v>
      </c>
      <c r="C29" s="1774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85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17"/>
      <c r="B30" s="1428">
        <v>46277</v>
      </c>
      <c r="C30" s="1429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84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85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17"/>
      <c r="B31" s="1430"/>
      <c r="C31" s="1431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8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44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351">
        <v>46278</v>
      </c>
      <c r="C32" s="1352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07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353"/>
      <c r="C33" s="1354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08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35">
        <v>46279</v>
      </c>
      <c r="C34" s="1436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75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37"/>
      <c r="C35" s="1438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76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35">
        <v>46280</v>
      </c>
      <c r="C36" s="1436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37"/>
      <c r="C37" s="1438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35">
        <v>46281</v>
      </c>
      <c r="C38" s="1436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37"/>
      <c r="C39" s="1438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01"/>
      <c r="U39" s="1801"/>
      <c r="V39" s="180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351">
        <v>46282</v>
      </c>
      <c r="C40" s="1352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02"/>
      <c r="U40" s="1802"/>
      <c r="V40" s="180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353"/>
      <c r="C41" s="1354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351">
        <v>46283</v>
      </c>
      <c r="C42" s="1352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353"/>
      <c r="C43" s="1354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351">
        <v>46284</v>
      </c>
      <c r="C44" s="1352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353"/>
      <c r="C45" s="1354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351">
        <v>46285</v>
      </c>
      <c r="C46" s="1352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353"/>
      <c r="C47" s="1354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05"/>
      <c r="U47" s="1805"/>
      <c r="V47" s="1791"/>
      <c r="W47" s="159"/>
      <c r="X47" s="154"/>
      <c r="Y47" s="154"/>
    </row>
    <row r="48" spans="1:32" ht="15" thickBot="1" x14ac:dyDescent="0.35">
      <c r="B48" s="1351">
        <v>46286</v>
      </c>
      <c r="C48" s="1352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06"/>
      <c r="U48" s="1806"/>
      <c r="V48" s="1792"/>
      <c r="W48" s="159"/>
      <c r="X48" s="154"/>
      <c r="Y48" s="154"/>
    </row>
    <row r="49" spans="2:28" ht="15" thickBot="1" x14ac:dyDescent="0.35">
      <c r="B49" s="1353"/>
      <c r="C49" s="1354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05"/>
      <c r="U49" s="1805"/>
      <c r="V49" s="1791"/>
      <c r="W49" s="159"/>
      <c r="X49" s="154"/>
      <c r="Y49" s="154"/>
    </row>
    <row r="50" spans="2:28" ht="15" thickBot="1" x14ac:dyDescent="0.35">
      <c r="B50" s="1351">
        <v>46287</v>
      </c>
      <c r="C50" s="1352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06"/>
      <c r="U50" s="1806"/>
      <c r="V50" s="1792"/>
      <c r="W50" s="159"/>
      <c r="X50" s="154"/>
      <c r="Y50" s="154"/>
    </row>
    <row r="51" spans="2:28" ht="15" thickBot="1" x14ac:dyDescent="0.35">
      <c r="B51" s="1353"/>
      <c r="C51" s="1354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05"/>
      <c r="U51" s="1805"/>
      <c r="V51" s="1791"/>
      <c r="W51" s="159"/>
      <c r="X51" s="154"/>
      <c r="Y51" s="154"/>
    </row>
    <row r="52" spans="2:28" ht="15" thickBot="1" x14ac:dyDescent="0.35">
      <c r="B52" s="1351">
        <v>46288</v>
      </c>
      <c r="C52" s="1352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06"/>
      <c r="U52" s="1806"/>
      <c r="V52" s="1792"/>
      <c r="W52" s="159"/>
      <c r="X52" s="154"/>
      <c r="Y52" s="154"/>
    </row>
    <row r="53" spans="2:28" ht="15" thickBot="1" x14ac:dyDescent="0.35">
      <c r="B53" s="1353"/>
      <c r="C53" s="1354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05"/>
      <c r="U53" s="1805"/>
      <c r="V53" s="1791"/>
      <c r="W53" s="159"/>
      <c r="X53" s="154"/>
      <c r="Y53" s="154"/>
    </row>
    <row r="54" spans="2:28" ht="15" thickBot="1" x14ac:dyDescent="0.35">
      <c r="B54" s="1351">
        <v>46289</v>
      </c>
      <c r="C54" s="1352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06"/>
      <c r="U54" s="1806"/>
      <c r="V54" s="1792"/>
      <c r="W54" s="159"/>
      <c r="X54" s="154"/>
      <c r="Y54" s="154"/>
      <c r="AB54" s="1">
        <v>9570</v>
      </c>
    </row>
    <row r="55" spans="2:28" ht="15" thickBot="1" x14ac:dyDescent="0.35">
      <c r="B55" s="1353"/>
      <c r="C55" s="1354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05"/>
      <c r="U55" s="1805"/>
      <c r="V55" s="1791"/>
      <c r="W55" s="159"/>
      <c r="X55" s="154"/>
      <c r="Y55" s="154"/>
      <c r="AB55" s="1">
        <v>8795</v>
      </c>
    </row>
    <row r="56" spans="2:28" ht="15" thickBot="1" x14ac:dyDescent="0.35">
      <c r="B56" s="1351">
        <v>46290</v>
      </c>
      <c r="C56" s="1352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06"/>
      <c r="U56" s="1806"/>
      <c r="V56" s="1792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353"/>
      <c r="C57" s="1354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05"/>
      <c r="U57" s="1805"/>
      <c r="V57" s="1791"/>
      <c r="W57" s="159"/>
      <c r="X57" s="154"/>
      <c r="Y57" s="154"/>
    </row>
    <row r="58" spans="2:28" ht="15" thickBot="1" x14ac:dyDescent="0.35">
      <c r="B58" s="1351">
        <v>46291</v>
      </c>
      <c r="C58" s="1352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06"/>
      <c r="U58" s="1806"/>
      <c r="V58" s="1792"/>
      <c r="W58" s="159"/>
      <c r="X58" s="154"/>
      <c r="Y58" s="154"/>
    </row>
    <row r="59" spans="2:28" ht="15" thickBot="1" x14ac:dyDescent="0.35">
      <c r="B59" s="1353"/>
      <c r="C59" s="1354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05"/>
      <c r="U59" s="1805"/>
      <c r="V59" s="1791"/>
      <c r="W59" s="159"/>
      <c r="X59" s="154"/>
      <c r="Y59" s="154"/>
    </row>
    <row r="60" spans="2:28" ht="15" thickBot="1" x14ac:dyDescent="0.35">
      <c r="B60" s="1351">
        <v>46292</v>
      </c>
      <c r="C60" s="1352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06"/>
      <c r="U60" s="1806"/>
      <c r="V60" s="1792"/>
      <c r="W60" s="159"/>
      <c r="X60" s="154"/>
      <c r="Y60" s="154"/>
    </row>
    <row r="61" spans="2:28" ht="15" thickBot="1" x14ac:dyDescent="0.35">
      <c r="B61" s="1353"/>
      <c r="C61" s="1354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05"/>
      <c r="U61" s="1805"/>
      <c r="V61" s="1791"/>
      <c r="W61" s="159"/>
      <c r="X61" s="154"/>
      <c r="Y61" s="154"/>
    </row>
    <row r="62" spans="2:28" ht="15" thickBot="1" x14ac:dyDescent="0.35">
      <c r="B62" s="1351">
        <v>46293</v>
      </c>
      <c r="C62" s="1352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06"/>
      <c r="U62" s="1806"/>
      <c r="V62" s="1792"/>
      <c r="W62" s="159"/>
      <c r="X62" s="154"/>
      <c r="Y62" s="154"/>
    </row>
    <row r="63" spans="2:28" ht="15" thickBot="1" x14ac:dyDescent="0.35">
      <c r="B63" s="1353"/>
      <c r="C63" s="1354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07"/>
      <c r="U63" s="1807"/>
      <c r="V63" s="1809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351">
        <v>46294</v>
      </c>
      <c r="C64" s="1352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08"/>
      <c r="U64" s="1808"/>
      <c r="V64" s="1810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353"/>
      <c r="C65" s="1354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07"/>
      <c r="U65" s="1807"/>
      <c r="V65" s="1811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351">
        <v>46295</v>
      </c>
      <c r="C66" s="1352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08"/>
      <c r="U66" s="1808"/>
      <c r="V66" s="1812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353"/>
      <c r="C67" s="1354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07"/>
      <c r="U67" s="1807"/>
      <c r="V67" s="1811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351">
        <v>46296</v>
      </c>
      <c r="C68" s="1352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08"/>
      <c r="U68" s="1808"/>
      <c r="V68" s="1812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353"/>
      <c r="C69" s="1354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07"/>
      <c r="U69" s="1807"/>
      <c r="V69" s="1809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351">
        <v>46297</v>
      </c>
      <c r="C70" s="1352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08"/>
      <c r="U70" s="1808"/>
      <c r="V70" s="1810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353"/>
      <c r="C71" s="1354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07"/>
      <c r="U71" s="1807"/>
      <c r="V71" s="1809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351">
        <v>46298</v>
      </c>
      <c r="C72" s="1352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08"/>
      <c r="U72" s="1808"/>
      <c r="V72" s="1810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353"/>
      <c r="C73" s="1354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07"/>
      <c r="U73" s="1807"/>
      <c r="V73" s="1809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351">
        <v>46299</v>
      </c>
      <c r="C74" s="1352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08"/>
      <c r="U74" s="1808"/>
      <c r="V74" s="1810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353"/>
      <c r="C75" s="1354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05"/>
      <c r="U75" s="1805"/>
      <c r="V75" s="1791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351">
        <v>46300</v>
      </c>
      <c r="C76" s="1352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06"/>
      <c r="U76" s="1806"/>
      <c r="V76" s="1792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353"/>
      <c r="C77" s="1354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07"/>
      <c r="U77" s="1807"/>
      <c r="V77" s="1809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351">
        <v>46301</v>
      </c>
      <c r="C78" s="1352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08"/>
      <c r="U78" s="1808"/>
      <c r="V78" s="1810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71"/>
      <c r="C79" s="1472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15">
        <f>'Milling Down Time Hours'!Q43</f>
        <v>23.5</v>
      </c>
      <c r="Q79" s="39"/>
      <c r="R79" s="1815">
        <f>'Milling Down Time Hours'!L85</f>
        <v>0.8965277777777777</v>
      </c>
      <c r="S79" s="13"/>
      <c r="T79" s="1807">
        <v>0.35699999999999998</v>
      </c>
      <c r="U79" s="1807">
        <v>1.056</v>
      </c>
      <c r="V79" s="1809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71"/>
      <c r="C80" s="1472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15"/>
      <c r="Q80" s="39"/>
      <c r="R80" s="1815"/>
      <c r="S80" s="13"/>
      <c r="T80" s="1808"/>
      <c r="U80" s="1808"/>
      <c r="V80" s="1810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71"/>
      <c r="C81" s="1472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15">
        <f>'Milling Down Time Hours'!M87</f>
        <v>0</v>
      </c>
      <c r="Q81" s="39"/>
      <c r="R81" s="1815">
        <f>'Milling Down Time Hours'!L87</f>
        <v>0.7090277777777777</v>
      </c>
      <c r="S81" s="13"/>
      <c r="T81" s="1805" t="e">
        <f>SUM(#REF!)</f>
        <v>#REF!</v>
      </c>
      <c r="U81" s="1805" t="e">
        <f t="shared" ref="U81" si="26">SUM(T81:T83)</f>
        <v>#REF!</v>
      </c>
      <c r="V81" s="1791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71"/>
      <c r="C82" s="1472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15"/>
      <c r="Q82" s="39"/>
      <c r="R82" s="1815"/>
      <c r="S82" s="13"/>
      <c r="T82" s="1806"/>
      <c r="U82" s="1806"/>
      <c r="V82" s="1792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71"/>
      <c r="C83" s="1472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15">
        <f>'Milling Down Time Hours'!M89</f>
        <v>0</v>
      </c>
      <c r="Q83" s="39"/>
      <c r="R83" s="1815">
        <f>'Milling Down Time Hours'!L89</f>
        <v>1</v>
      </c>
      <c r="S83" s="13"/>
      <c r="T83" s="1805" t="e">
        <f>SUM(#REF!)</f>
        <v>#REF!</v>
      </c>
      <c r="U83" s="1805" t="e">
        <f t="shared" ref="U83" si="28">SUM(T83:T85)</f>
        <v>#REF!</v>
      </c>
      <c r="V83" s="1791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71"/>
      <c r="C84" s="1472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15"/>
      <c r="Q84" s="39"/>
      <c r="R84" s="1815"/>
      <c r="S84" s="13"/>
      <c r="T84" s="1806"/>
      <c r="U84" s="1806"/>
      <c r="V84" s="1792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71"/>
      <c r="C85" s="1472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15">
        <f>'Milling Down Time Hours'!M91</f>
        <v>0</v>
      </c>
      <c r="Q85" s="39"/>
      <c r="R85" s="1815">
        <f>'Milling Down Time Hours'!L91</f>
        <v>0.73611111111111116</v>
      </c>
      <c r="S85" s="13"/>
      <c r="T85" s="1805" t="e">
        <f>SUM(#REF!)</f>
        <v>#REF!</v>
      </c>
      <c r="U85" s="1805" t="e">
        <f t="shared" ref="U85" si="30">SUM(T85:T87)</f>
        <v>#REF!</v>
      </c>
      <c r="V85" s="1791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71"/>
      <c r="C86" s="1472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15"/>
      <c r="Q86" s="39"/>
      <c r="R86" s="1815"/>
      <c r="S86" s="13"/>
      <c r="T86" s="1806"/>
      <c r="U86" s="1806"/>
      <c r="V86" s="1792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71"/>
      <c r="C87" s="1472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15">
        <f>'Milling Down Time Hours'!M93</f>
        <v>0</v>
      </c>
      <c r="Q87" s="39"/>
      <c r="R87" s="1815">
        <f>'Milling Down Time Hours'!L93</f>
        <v>1</v>
      </c>
      <c r="S87" s="13"/>
      <c r="T87" s="1805" t="e">
        <f>SUM(#REF!)</f>
        <v>#REF!</v>
      </c>
      <c r="U87" s="1805" t="e">
        <f t="shared" ref="U87" si="32">SUM(T87:T89)</f>
        <v>#REF!</v>
      </c>
      <c r="V87" s="1791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71"/>
      <c r="C88" s="1472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15"/>
      <c r="Q88" s="39"/>
      <c r="R88" s="1815"/>
      <c r="S88" s="13"/>
      <c r="T88" s="1806"/>
      <c r="U88" s="1806"/>
      <c r="V88" s="1792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71"/>
      <c r="C89" s="1472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15">
        <f>'Milling Down Time Hours'!M95</f>
        <v>0</v>
      </c>
      <c r="Q89" s="39"/>
      <c r="R89" s="1815">
        <f>'Milling Down Time Hours'!L95</f>
        <v>1</v>
      </c>
      <c r="S89" s="13"/>
      <c r="T89" s="1805" t="e">
        <f>SUM(#REF!)</f>
        <v>#REF!</v>
      </c>
      <c r="U89" s="1805" t="e">
        <f t="shared" ref="U89" si="34">SUM(T89:T91)</f>
        <v>#REF!</v>
      </c>
      <c r="V89" s="1791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71"/>
      <c r="C90" s="1472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15"/>
      <c r="Q90" s="39"/>
      <c r="R90" s="1815"/>
      <c r="S90" s="13"/>
      <c r="T90" s="1806"/>
      <c r="U90" s="1806"/>
      <c r="V90" s="1792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71"/>
      <c r="C91" s="1472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15">
        <f>'Milling Down Time Hours'!M97</f>
        <v>0</v>
      </c>
      <c r="Q91" s="39"/>
      <c r="R91" s="1815">
        <f>'Milling Down Time Hours'!L97</f>
        <v>1</v>
      </c>
      <c r="S91" s="13"/>
      <c r="T91" s="1805" t="e">
        <f>SUM(#REF!)</f>
        <v>#REF!</v>
      </c>
      <c r="U91" s="1805" t="e">
        <f t="shared" ref="U91" si="36">SUM(T91:T93)</f>
        <v>#REF!</v>
      </c>
      <c r="V91" s="1791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71"/>
      <c r="C92" s="1472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15"/>
      <c r="Q92" s="39"/>
      <c r="R92" s="1815"/>
      <c r="S92" s="13"/>
      <c r="T92" s="1806"/>
      <c r="U92" s="1806"/>
      <c r="V92" s="1792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71"/>
      <c r="C93" s="1472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15">
        <f>'Milling Down Time Hours'!M99</f>
        <v>0</v>
      </c>
      <c r="Q93" s="39"/>
      <c r="R93" s="1815">
        <f>'Milling Down Time Hours'!L99</f>
        <v>1</v>
      </c>
      <c r="S93" s="13"/>
      <c r="T93" s="1805" t="e">
        <f>SUM(#REF!)</f>
        <v>#REF!</v>
      </c>
      <c r="U93" s="1805" t="e">
        <f t="shared" ref="U93" si="38">SUM(T93:T95)</f>
        <v>#REF!</v>
      </c>
      <c r="V93" s="1791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71"/>
      <c r="C94" s="1472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15"/>
      <c r="Q94" s="39"/>
      <c r="R94" s="1815"/>
      <c r="S94" s="13"/>
      <c r="T94" s="1806"/>
      <c r="U94" s="1806"/>
      <c r="V94" s="1792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71"/>
      <c r="C95" s="1472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15">
        <f>'Milling Down Time Hours'!M101</f>
        <v>0</v>
      </c>
      <c r="Q95" s="39"/>
      <c r="R95" s="1815">
        <f>'Milling Down Time Hours'!L101</f>
        <v>0.67013888888888884</v>
      </c>
      <c r="S95" s="13"/>
      <c r="T95" s="1805" t="e">
        <f>SUM(#REF!)</f>
        <v>#REF!</v>
      </c>
      <c r="U95" s="1805" t="e">
        <f>SUM(T95:T99)</f>
        <v>#REF!</v>
      </c>
      <c r="V95" s="1791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71"/>
      <c r="C96" s="1472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15"/>
      <c r="Q96" s="39"/>
      <c r="R96" s="1815"/>
      <c r="S96" s="95"/>
      <c r="T96" s="1814"/>
      <c r="U96" s="1814"/>
      <c r="V96" s="1813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353"/>
      <c r="C97" s="1354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2026-10-20T04:51:46Z</dcterms:modified>
</cp:coreProperties>
</file>