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60F3B4D-23FD-45AD-94A7-1BE0C524A514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Rom File Inventory" sheetId="12" r:id="rId4"/>
    <sheet name="Crushing" sheetId="1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1" i="13" l="1"/>
  <c r="O102" i="13"/>
  <c r="O101" i="13"/>
  <c r="V12" i="5"/>
  <c r="AJ6" i="5"/>
  <c r="AI6" i="5"/>
  <c r="AH6" i="5"/>
  <c r="R59" i="5"/>
  <c r="R60" i="5"/>
  <c r="S17" i="5"/>
  <c r="R17" i="5"/>
  <c r="Q17" i="5"/>
  <c r="Q59" i="5" s="1"/>
  <c r="Q60" i="5" s="1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Q22" i="5"/>
  <c r="C17" i="13"/>
  <c r="O17" i="13"/>
  <c r="P41" i="21"/>
  <c r="Q41" i="21"/>
  <c r="R41" i="21"/>
  <c r="J41" i="21"/>
  <c r="AA41" i="21"/>
  <c r="L37" i="5"/>
  <c r="L35" i="5"/>
  <c r="N95" i="13"/>
  <c r="N96" i="13"/>
  <c r="N97" i="13"/>
  <c r="N98" i="13"/>
  <c r="N99" i="13"/>
  <c r="N100" i="13"/>
  <c r="N94" i="13"/>
  <c r="M95" i="13"/>
  <c r="M96" i="13"/>
  <c r="M94" i="13"/>
  <c r="Z13" i="12"/>
  <c r="Z15" i="12"/>
  <c r="Z10" i="12"/>
  <c r="Z9" i="12"/>
  <c r="F36" i="7"/>
  <c r="P42" i="21"/>
  <c r="P40" i="21"/>
  <c r="P39" i="21"/>
  <c r="P38" i="21"/>
  <c r="Q99" i="21"/>
  <c r="R99" i="21"/>
  <c r="U17" i="13"/>
  <c r="U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AB33" i="21"/>
  <c r="Z39" i="21"/>
  <c r="J39" i="21" s="1"/>
  <c r="R38" i="21"/>
  <c r="R39" i="21"/>
  <c r="R37" i="21"/>
  <c r="R36" i="21"/>
  <c r="R35" i="21"/>
  <c r="P20" i="5"/>
  <c r="Z16" i="13"/>
  <c r="Q100" i="13" s="1"/>
  <c r="AA16" i="13"/>
  <c r="R100" i="13" s="1"/>
  <c r="Y16" i="13"/>
  <c r="P100" i="13" s="1"/>
  <c r="J39" i="5"/>
  <c r="K39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S59" i="5" l="1"/>
  <c r="S60" i="5" s="1"/>
  <c r="Q39" i="21"/>
  <c r="Q38" i="21"/>
  <c r="U36" i="21"/>
  <c r="V36" i="21"/>
  <c r="U35" i="21"/>
  <c r="V35" i="21"/>
  <c r="T35" i="21"/>
  <c r="U16" i="13"/>
  <c r="O16" i="13"/>
  <c r="Z38" i="21"/>
  <c r="J38" i="21" s="1"/>
  <c r="Q37" i="21"/>
  <c r="J37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G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M45" i="21"/>
  <c r="M44" i="21"/>
  <c r="M43" i="21"/>
  <c r="M42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 s="1"/>
  <c r="T5" i="21"/>
  <c r="T99" i="21" s="1"/>
  <c r="M5" i="21"/>
  <c r="J5" i="21"/>
  <c r="O2" i="21"/>
  <c r="I11" i="15"/>
  <c r="AI15" i="13" s="1"/>
  <c r="H11" i="15"/>
  <c r="AH15" i="13"/>
  <c r="H10" i="15"/>
  <c r="I10" i="15"/>
  <c r="G10" i="15"/>
  <c r="I40" i="12"/>
  <c r="V16" i="13" l="1"/>
  <c r="P17" i="13" s="1"/>
  <c r="M100" i="13"/>
  <c r="V99" i="21"/>
  <c r="J11" i="5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W91" i="2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 s="1"/>
  <c r="O34" i="21"/>
  <c r="X32" i="21"/>
  <c r="W32" i="21"/>
  <c r="AB32" i="21" s="1"/>
  <c r="Y32" i="21"/>
  <c r="W24" i="21"/>
  <c r="AB24" i="21" s="1"/>
  <c r="Y24" i="21"/>
  <c r="X24" i="21"/>
  <c r="H21" i="21"/>
  <c r="H22" i="21" s="1"/>
  <c r="H17" i="21"/>
  <c r="Y15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H8" i="21" s="1"/>
  <c r="I6" i="21"/>
  <c r="M6" i="21"/>
  <c r="Y5" i="21"/>
  <c r="X5" i="21"/>
  <c r="AJ60" i="13"/>
  <c r="AH14" i="13"/>
  <c r="AI14" i="13"/>
  <c r="AG14" i="13"/>
  <c r="U31" i="4"/>
  <c r="V31" i="4"/>
  <c r="T31" i="4"/>
  <c r="U30" i="4"/>
  <c r="V30" i="4"/>
  <c r="T30" i="4"/>
  <c r="U29" i="4"/>
  <c r="V29" i="4"/>
  <c r="T29" i="4"/>
  <c r="U28" i="4"/>
  <c r="Z15" i="13" s="1"/>
  <c r="Q99" i="13" s="1"/>
  <c r="V28" i="4"/>
  <c r="AA15" i="13" s="1"/>
  <c r="R99" i="13" s="1"/>
  <c r="T28" i="4"/>
  <c r="Y15" i="13" s="1"/>
  <c r="P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V81" i="21" l="1"/>
  <c r="Y81" i="21" s="1"/>
  <c r="X81" i="21"/>
  <c r="V85" i="21"/>
  <c r="Y85" i="21" s="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 s="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H23" i="21"/>
  <c r="H18" i="21"/>
  <c r="M8" i="21"/>
  <c r="N7" i="21" s="1"/>
  <c r="S5" i="21"/>
  <c r="R11" i="20"/>
  <c r="W7" i="21" l="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H13" i="13"/>
  <c r="AI13" i="13"/>
  <c r="AG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56" i="13"/>
  <c r="W57" i="13"/>
  <c r="W58" i="13"/>
  <c r="W59" i="13"/>
  <c r="W62" i="13"/>
  <c r="W63" i="13"/>
  <c r="W16" i="13"/>
  <c r="AS16" i="13" s="1"/>
  <c r="O15" i="13"/>
  <c r="U23" i="4"/>
  <c r="V23" i="4"/>
  <c r="T23" i="4"/>
  <c r="W8" i="17"/>
  <c r="U15" i="13"/>
  <c r="AC33" i="4"/>
  <c r="AC32" i="4"/>
  <c r="AA38" i="4"/>
  <c r="AA37" i="4"/>
  <c r="AA34" i="4"/>
  <c r="AA33" i="4"/>
  <c r="AA32" i="4"/>
  <c r="G26" i="5"/>
  <c r="J26" i="5" s="1"/>
  <c r="K26" i="5" s="1"/>
  <c r="U14" i="13"/>
  <c r="M98" i="13" s="1"/>
  <c r="O14" i="13"/>
  <c r="U25" i="4"/>
  <c r="Z14" i="13" s="1"/>
  <c r="V25" i="4"/>
  <c r="AA14" i="13" s="1"/>
  <c r="T25" i="4"/>
  <c r="Y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U13" i="13"/>
  <c r="H8" i="15"/>
  <c r="AH12" i="13" s="1"/>
  <c r="I8" i="15"/>
  <c r="AI12" i="13" s="1"/>
  <c r="G8" i="15"/>
  <c r="AG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V12" i="13"/>
  <c r="O13" i="13"/>
  <c r="U18" i="4"/>
  <c r="V18" i="4"/>
  <c r="T18" i="4"/>
  <c r="U17" i="4"/>
  <c r="V17" i="4"/>
  <c r="T17" i="4"/>
  <c r="T13" i="5"/>
  <c r="O12" i="13"/>
  <c r="H20" i="4"/>
  <c r="O2" i="4"/>
  <c r="H16" i="4"/>
  <c r="M99" i="13" l="1"/>
  <c r="V13" i="13"/>
  <c r="P15" i="13" s="1"/>
  <c r="O99" i="13" s="1"/>
  <c r="M97" i="13"/>
  <c r="P14" i="13"/>
  <c r="H28" i="21"/>
  <c r="I28" i="21" s="1"/>
  <c r="H38" i="21"/>
  <c r="H39" i="21" s="1"/>
  <c r="I39" i="21" s="1"/>
  <c r="V14" i="13"/>
  <c r="H33" i="4"/>
  <c r="H25" i="21"/>
  <c r="H35" i="21"/>
  <c r="H36" i="21"/>
  <c r="H37" i="21" s="1"/>
  <c r="I37" i="21" s="1"/>
  <c r="M25" i="4"/>
  <c r="M26" i="4" s="1"/>
  <c r="N25" i="4" s="1"/>
  <c r="M25" i="21"/>
  <c r="M26" i="21" s="1"/>
  <c r="W12" i="13"/>
  <c r="AS12" i="13" s="1"/>
  <c r="W11" i="21"/>
  <c r="AB11" i="21" s="1"/>
  <c r="O11" i="21"/>
  <c r="S9" i="21"/>
  <c r="J22" i="5"/>
  <c r="K22" i="5" s="1"/>
  <c r="R22" i="21"/>
  <c r="R26" i="4"/>
  <c r="R26" i="21"/>
  <c r="R22" i="4"/>
  <c r="AB8" i="21"/>
  <c r="V15" i="13"/>
  <c r="H28" i="4"/>
  <c r="I28" i="4" s="1"/>
  <c r="H25" i="4"/>
  <c r="H26" i="4" s="1"/>
  <c r="H27" i="4" s="1"/>
  <c r="W13" i="13"/>
  <c r="AS13" i="13" s="1"/>
  <c r="W15" i="13"/>
  <c r="AS15" i="13" s="1"/>
  <c r="AA35" i="4"/>
  <c r="AC34" i="4"/>
  <c r="AA39" i="4"/>
  <c r="H21" i="4"/>
  <c r="H22" i="4" s="1"/>
  <c r="H23" i="4" s="1"/>
  <c r="H17" i="4"/>
  <c r="W14" i="13"/>
  <c r="AS14" i="13" s="1"/>
  <c r="AF40" i="4"/>
  <c r="H29" i="21" l="1"/>
  <c r="M28" i="21"/>
  <c r="M29" i="21" s="1"/>
  <c r="M28" i="4"/>
  <c r="X28" i="4" s="1"/>
  <c r="M27" i="21"/>
  <c r="W27" i="21" s="1"/>
  <c r="AB27" i="21" s="1"/>
  <c r="H30" i="21"/>
  <c r="H31" i="21" s="1"/>
  <c r="P16" i="13"/>
  <c r="O100" i="13" s="1"/>
  <c r="M35" i="21"/>
  <c r="M33" i="4"/>
  <c r="H34" i="4"/>
  <c r="H35" i="4" s="1"/>
  <c r="N25" i="21"/>
  <c r="W25" i="21"/>
  <c r="AB25" i="21" s="1"/>
  <c r="X25" i="21"/>
  <c r="Y25" i="21"/>
  <c r="Y26" i="21"/>
  <c r="X26" i="21"/>
  <c r="W26" i="21"/>
  <c r="AB26" i="21" s="1"/>
  <c r="I38" i="21"/>
  <c r="H40" i="21"/>
  <c r="H26" i="21"/>
  <c r="I26" i="21" s="1"/>
  <c r="H27" i="21"/>
  <c r="M38" i="21"/>
  <c r="M39" i="21" s="1"/>
  <c r="P26" i="21"/>
  <c r="O26" i="21" s="1"/>
  <c r="Q26" i="21"/>
  <c r="I22" i="21"/>
  <c r="P22" i="21"/>
  <c r="Q22" i="21"/>
  <c r="P22" i="4"/>
  <c r="Q22" i="4"/>
  <c r="AA102" i="21"/>
  <c r="AA101" i="21"/>
  <c r="H29" i="4"/>
  <c r="M27" i="4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W16" i="13"/>
  <c r="AW17" i="13"/>
  <c r="AW18" i="13"/>
  <c r="AW19" i="13"/>
  <c r="AW20" i="13"/>
  <c r="AW21" i="13"/>
  <c r="AW22" i="13"/>
  <c r="AW23" i="13"/>
  <c r="AW24" i="13"/>
  <c r="AW25" i="13"/>
  <c r="AW26" i="13"/>
  <c r="AW27" i="13"/>
  <c r="AW28" i="13"/>
  <c r="AW29" i="13"/>
  <c r="AW30" i="13"/>
  <c r="AW31" i="13"/>
  <c r="AW32" i="13"/>
  <c r="AW33" i="13"/>
  <c r="AW34" i="13"/>
  <c r="AW35" i="13"/>
  <c r="AW36" i="13"/>
  <c r="AW37" i="13"/>
  <c r="AW38" i="13"/>
  <c r="AW39" i="13"/>
  <c r="AW40" i="13"/>
  <c r="AW41" i="13"/>
  <c r="AW42" i="13"/>
  <c r="AW43" i="13"/>
  <c r="AW44" i="13"/>
  <c r="AW45" i="13"/>
  <c r="AW46" i="13"/>
  <c r="AW47" i="13"/>
  <c r="AW48" i="13"/>
  <c r="AW49" i="13"/>
  <c r="AW50" i="13"/>
  <c r="AW51" i="13"/>
  <c r="AW52" i="13"/>
  <c r="AW53" i="13"/>
  <c r="AW54" i="13"/>
  <c r="AW55" i="13"/>
  <c r="AW56" i="13"/>
  <c r="AW57" i="13"/>
  <c r="AW58" i="13"/>
  <c r="AW59" i="13"/>
  <c r="AV16" i="13"/>
  <c r="AV17" i="13"/>
  <c r="AV18" i="13"/>
  <c r="AV19" i="13"/>
  <c r="AV20" i="13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16" i="13"/>
  <c r="AU17" i="13"/>
  <c r="AU18" i="13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G11" i="13"/>
  <c r="H7" i="15"/>
  <c r="AH11" i="13" s="1"/>
  <c r="AH60" i="13" s="1"/>
  <c r="I7" i="15"/>
  <c r="AI11" i="13" s="1"/>
  <c r="AI60" i="13" s="1"/>
  <c r="G7" i="15"/>
  <c r="V11" i="13"/>
  <c r="O28" i="4" l="1"/>
  <c r="N27" i="21"/>
  <c r="X28" i="21"/>
  <c r="Y28" i="21"/>
  <c r="O28" i="21"/>
  <c r="W28" i="21"/>
  <c r="AB28" i="21" s="1"/>
  <c r="W28" i="4"/>
  <c r="Y27" i="21"/>
  <c r="X27" i="21"/>
  <c r="X29" i="21"/>
  <c r="N29" i="21"/>
  <c r="W29" i="21"/>
  <c r="AB29" i="21" s="1"/>
  <c r="Y29" i="21"/>
  <c r="I40" i="21"/>
  <c r="H41" i="21"/>
  <c r="I41" i="21" s="1"/>
  <c r="N27" i="4"/>
  <c r="S25" i="4" s="1"/>
  <c r="M30" i="21"/>
  <c r="M31" i="21" s="1"/>
  <c r="M29" i="4"/>
  <c r="Y28" i="4"/>
  <c r="S25" i="21"/>
  <c r="M40" i="21"/>
  <c r="X40" i="21" s="1"/>
  <c r="N35" i="21"/>
  <c r="Y35" i="21"/>
  <c r="X35" i="21"/>
  <c r="W35" i="21"/>
  <c r="N38" i="21"/>
  <c r="Y38" i="21"/>
  <c r="X38" i="21"/>
  <c r="W38" i="21"/>
  <c r="AB38" i="21" s="1"/>
  <c r="Y39" i="21"/>
  <c r="X39" i="21"/>
  <c r="W39" i="21"/>
  <c r="AB39" i="21" s="1"/>
  <c r="M34" i="4"/>
  <c r="M36" i="21"/>
  <c r="M37" i="21" s="1"/>
  <c r="M20" i="21"/>
  <c r="M21" i="21"/>
  <c r="P13" i="13"/>
  <c r="J16" i="5"/>
  <c r="K16" i="5" s="1"/>
  <c r="M20" i="4"/>
  <c r="M21" i="4" s="1"/>
  <c r="H30" i="4"/>
  <c r="H31" i="4" s="1"/>
  <c r="Z13" i="13"/>
  <c r="Z12" i="13"/>
  <c r="AA13" i="13"/>
  <c r="AA12" i="13"/>
  <c r="Y13" i="13"/>
  <c r="Y12" i="13"/>
  <c r="I18" i="4"/>
  <c r="AC10" i="4"/>
  <c r="I6" i="15"/>
  <c r="G6" i="15"/>
  <c r="AG10" i="13" s="1"/>
  <c r="AG60" i="13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V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40" i="21" l="1"/>
  <c r="AB40" i="21" s="1"/>
  <c r="W30" i="21"/>
  <c r="AB30" i="21" s="1"/>
  <c r="X30" i="21"/>
  <c r="Y30" i="21"/>
  <c r="N29" i="4"/>
  <c r="M30" i="4"/>
  <c r="S38" i="21"/>
  <c r="M41" i="21"/>
  <c r="N30" i="21"/>
  <c r="O40" i="21"/>
  <c r="Y40" i="21"/>
  <c r="Z14" i="12"/>
  <c r="AB35" i="21"/>
  <c r="S28" i="21"/>
  <c r="X31" i="21"/>
  <c r="W31" i="21"/>
  <c r="AB31" i="21" s="1"/>
  <c r="Y31" i="21"/>
  <c r="S35" i="21"/>
  <c r="Y37" i="21"/>
  <c r="X37" i="21"/>
  <c r="W37" i="21"/>
  <c r="AB37" i="21" s="1"/>
  <c r="W36" i="21"/>
  <c r="X36" i="21"/>
  <c r="Y36" i="21"/>
  <c r="N36" i="21"/>
  <c r="W20" i="21"/>
  <c r="AB20" i="21" s="1"/>
  <c r="X20" i="21"/>
  <c r="Y20" i="21"/>
  <c r="Y21" i="21"/>
  <c r="X21" i="21"/>
  <c r="W21" i="21"/>
  <c r="AB21" i="21" s="1"/>
  <c r="M22" i="21"/>
  <c r="M16" i="21"/>
  <c r="P12" i="13"/>
  <c r="M16" i="4"/>
  <c r="M22" i="4"/>
  <c r="AA11" i="13"/>
  <c r="Z11" i="13"/>
  <c r="Y11" i="13"/>
  <c r="T1" i="2"/>
  <c r="O41" i="21" l="1"/>
  <c r="X41" i="21"/>
  <c r="Y41" i="21"/>
  <c r="W41" i="21"/>
  <c r="M31" i="4"/>
  <c r="S28" i="4" s="1"/>
  <c r="N40" i="21"/>
  <c r="AD16" i="13"/>
  <c r="Y22" i="21"/>
  <c r="X22" i="21"/>
  <c r="W22" i="21"/>
  <c r="AB22" i="21" s="1"/>
  <c r="O22" i="21"/>
  <c r="W16" i="21"/>
  <c r="N16" i="21"/>
  <c r="O16" i="21"/>
  <c r="X16" i="21"/>
  <c r="X99" i="21" s="1"/>
  <c r="Y16" i="21"/>
  <c r="Y99" i="21" s="1"/>
  <c r="M17" i="21"/>
  <c r="AC16" i="13"/>
  <c r="AB36" i="21"/>
  <c r="AB16" i="13"/>
  <c r="N21" i="21"/>
  <c r="M23" i="21"/>
  <c r="S20" i="21" s="1"/>
  <c r="M23" i="4"/>
  <c r="S20" i="4"/>
  <c r="N21" i="4"/>
  <c r="O16" i="4"/>
  <c r="W16" i="4"/>
  <c r="M17" i="4"/>
  <c r="O9" i="12"/>
  <c r="O8" i="12"/>
  <c r="M23" i="12"/>
  <c r="M25" i="12"/>
  <c r="H9" i="4"/>
  <c r="H10" i="4" s="1"/>
  <c r="M5" i="4"/>
  <c r="O11" i="13"/>
  <c r="W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O10" i="13"/>
  <c r="N30" i="4" l="1"/>
  <c r="W99" i="21"/>
  <c r="AB16" i="21"/>
  <c r="Y17" i="21"/>
  <c r="X17" i="21"/>
  <c r="W17" i="21"/>
  <c r="AB17" i="21" s="1"/>
  <c r="AF16" i="13"/>
  <c r="AE16" i="13"/>
  <c r="W23" i="21"/>
  <c r="AB23" i="21" s="1"/>
  <c r="Y23" i="21"/>
  <c r="N23" i="21"/>
  <c r="X23" i="21"/>
  <c r="M18" i="21"/>
  <c r="M19" i="21" s="1"/>
  <c r="M99" i="21" s="1"/>
  <c r="H11" i="4"/>
  <c r="I10" i="4"/>
  <c r="W10" i="13"/>
  <c r="O61" i="13"/>
  <c r="X10" i="13"/>
  <c r="X11" i="13"/>
  <c r="X12" i="13" s="1"/>
  <c r="X13" i="13" s="1"/>
  <c r="X14" i="13" s="1"/>
  <c r="X15" i="13" s="1"/>
  <c r="X16" i="13" s="1"/>
  <c r="M18" i="4"/>
  <c r="W17" i="4"/>
  <c r="M7" i="4"/>
  <c r="O7" i="4" s="1"/>
  <c r="M9" i="4"/>
  <c r="H7" i="4"/>
  <c r="H8" i="4" s="1"/>
  <c r="N5" i="4"/>
  <c r="Z10" i="13"/>
  <c r="Z62" i="13" s="1"/>
  <c r="Y10" i="13"/>
  <c r="AA10" i="13"/>
  <c r="AA62" i="13" s="1"/>
  <c r="W19" i="21" l="1"/>
  <c r="AB19" i="21" s="1"/>
  <c r="Y19" i="21"/>
  <c r="N19" i="21"/>
  <c r="X19" i="21"/>
  <c r="O18" i="21"/>
  <c r="X18" i="21"/>
  <c r="W18" i="21"/>
  <c r="AB18" i="21" s="1"/>
  <c r="Y18" i="21"/>
  <c r="AA98" i="21"/>
  <c r="S16" i="21"/>
  <c r="N17" i="21"/>
  <c r="N17" i="4"/>
  <c r="M19" i="4"/>
  <c r="O18" i="4"/>
  <c r="W18" i="4"/>
  <c r="W61" i="13"/>
  <c r="AM10" i="13"/>
  <c r="Y60" i="13"/>
  <c r="M8" i="4"/>
  <c r="Y62" i="13"/>
  <c r="AQ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102" i="21" l="1"/>
  <c r="O34" i="4"/>
  <c r="N34" i="4"/>
  <c r="W19" i="4"/>
  <c r="AB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AC15" i="13" l="1"/>
  <c r="AB15" i="13"/>
  <c r="AF15" i="13" s="1"/>
  <c r="AD15" i="13"/>
  <c r="AE13" i="13"/>
  <c r="AF13" i="13"/>
  <c r="AC14" i="13"/>
  <c r="AB14" i="13"/>
  <c r="AD14" i="13"/>
  <c r="AB12" i="13"/>
  <c r="AD13" i="13"/>
  <c r="AD12" i="13"/>
  <c r="AC13" i="13"/>
  <c r="AC12" i="13"/>
  <c r="AB11" i="13"/>
  <c r="AE11" i="13" s="1"/>
  <c r="AD11" i="13"/>
  <c r="AC11" i="13"/>
  <c r="I6" i="4"/>
  <c r="O7" i="2"/>
  <c r="O8" i="2"/>
  <c r="O9" i="2"/>
  <c r="O10" i="2"/>
  <c r="AE15" i="13" l="1"/>
  <c r="AF12" i="13"/>
  <c r="AE12" i="13"/>
  <c r="AF14" i="13"/>
  <c r="AE14" i="13"/>
  <c r="AF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X99" i="4" l="1"/>
  <c r="Y99" i="4"/>
  <c r="AA98" i="4"/>
  <c r="AA101" i="4"/>
  <c r="AA102" i="4"/>
  <c r="W99" i="4"/>
  <c r="AC10" i="13"/>
  <c r="AB10" i="13"/>
  <c r="AD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O10" i="13" l="1"/>
  <c r="AD60" i="13"/>
  <c r="AD62" i="13"/>
  <c r="AB60" i="13"/>
  <c r="AB62" i="13"/>
  <c r="AC60" i="13"/>
  <c r="AC62" i="13"/>
  <c r="AF10" i="13"/>
  <c r="AE10" i="13"/>
  <c r="F20" i="7"/>
  <c r="AI56" i="7"/>
  <c r="S16" i="1"/>
  <c r="S14" i="1"/>
  <c r="J16" i="12"/>
  <c r="F17" i="7"/>
  <c r="F15" i="7"/>
  <c r="F51" i="7" l="1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 l="1"/>
  <c r="J41" i="12"/>
  <c r="M41" i="12" s="1"/>
  <c r="K41" i="12"/>
  <c r="M8" i="1"/>
  <c r="K7" i="1"/>
  <c r="M7" i="1" s="1"/>
  <c r="V60" i="2"/>
  <c r="AC8" i="2" s="1"/>
  <c r="O44" i="2"/>
  <c r="O45" i="2"/>
  <c r="O46" i="2"/>
  <c r="O47" i="2"/>
  <c r="O59" i="2"/>
  <c r="O43" i="2"/>
  <c r="G31" i="5"/>
  <c r="J31" i="5" s="1"/>
  <c r="K31" i="5" s="1"/>
  <c r="P98" i="13"/>
  <c r="W94" i="13"/>
  <c r="X94" i="13"/>
  <c r="W95" i="13"/>
  <c r="X95" i="13"/>
  <c r="W96" i="13"/>
  <c r="X96" i="13"/>
  <c r="W97" i="13"/>
  <c r="X97" i="13"/>
  <c r="W98" i="13"/>
  <c r="X98" i="13"/>
  <c r="V95" i="13"/>
  <c r="V96" i="13"/>
  <c r="V97" i="13"/>
  <c r="V98" i="13"/>
  <c r="V94" i="13"/>
  <c r="Q98" i="13"/>
  <c r="R98" i="13"/>
  <c r="AC26" i="2" l="1"/>
  <c r="AC11" i="2"/>
  <c r="R32" i="21"/>
  <c r="R32" i="4"/>
  <c r="M43" i="12"/>
  <c r="V101" i="13"/>
  <c r="W101" i="13"/>
  <c r="X101" i="13"/>
  <c r="AP15" i="13"/>
  <c r="AQ15" i="13"/>
  <c r="AR15" i="13"/>
  <c r="AN15" i="13"/>
  <c r="AM15" i="13"/>
  <c r="AO15" i="13"/>
  <c r="Q97" i="13"/>
  <c r="R97" i="13"/>
  <c r="P97" i="13"/>
  <c r="Q96" i="13"/>
  <c r="R96" i="13"/>
  <c r="AV15" i="13" l="1"/>
  <c r="AU15" i="13"/>
  <c r="P32" i="21"/>
  <c r="O32" i="21" s="1"/>
  <c r="Q32" i="21"/>
  <c r="Q32" i="4"/>
  <c r="P32" i="4"/>
  <c r="O32" i="4" s="1"/>
  <c r="BF15" i="13"/>
  <c r="AW15" i="13"/>
  <c r="BE15" i="13"/>
  <c r="L6" i="11" l="1"/>
  <c r="O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P96" i="13"/>
  <c r="J5" i="11"/>
  <c r="L5" i="11" s="1"/>
  <c r="AR11" i="13"/>
  <c r="T99" i="4"/>
  <c r="U99" i="4"/>
  <c r="V99" i="4"/>
  <c r="K5" i="14"/>
  <c r="L5" i="14" s="1"/>
  <c r="AS10" i="13"/>
  <c r="AQ10" i="13"/>
  <c r="AR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Q94" i="13"/>
  <c r="AS11" i="13"/>
  <c r="BD15" i="13"/>
  <c r="O95" i="13"/>
  <c r="O60" i="13"/>
  <c r="W60" i="13" s="1"/>
  <c r="O96" i="13"/>
  <c r="AN12" i="13"/>
  <c r="R10" i="11"/>
  <c r="S10" i="11" s="1"/>
  <c r="T10" i="11" s="1"/>
  <c r="N84" i="1"/>
  <c r="E40" i="7"/>
  <c r="E44" i="7"/>
  <c r="AP11" i="13"/>
  <c r="AQ11" i="13"/>
  <c r="K57" i="14"/>
  <c r="K58" i="14" s="1"/>
  <c r="L33" i="14"/>
  <c r="O5" i="21" l="1"/>
  <c r="I5" i="21"/>
  <c r="Q5" i="21"/>
  <c r="N62" i="5"/>
  <c r="N63" i="5" s="1"/>
  <c r="AQ14" i="13"/>
  <c r="AR14" i="13"/>
  <c r="AP14" i="13"/>
  <c r="AM14" i="13"/>
  <c r="AN14" i="13"/>
  <c r="AO14" i="13"/>
  <c r="O98" i="13"/>
  <c r="AQ13" i="13"/>
  <c r="AR13" i="13"/>
  <c r="AP13" i="13"/>
  <c r="AN13" i="13"/>
  <c r="AO13" i="13"/>
  <c r="AM13" i="13"/>
  <c r="AR12" i="13"/>
  <c r="AQ12" i="13"/>
  <c r="BE12" i="13" s="1"/>
  <c r="AP12" i="13"/>
  <c r="AM12" i="13"/>
  <c r="O97" i="13"/>
  <c r="AO12" i="13"/>
  <c r="L57" i="14"/>
  <c r="M57" i="14" s="1"/>
  <c r="M33" i="14"/>
  <c r="AV13" i="13" l="1"/>
  <c r="BD12" i="13"/>
  <c r="AW14" i="13"/>
  <c r="AV14" i="13"/>
  <c r="AU13" i="13"/>
  <c r="BD14" i="13"/>
  <c r="AU14" i="13"/>
  <c r="AW12" i="13"/>
  <c r="AU12" i="13"/>
  <c r="AW13" i="13"/>
  <c r="AV12" i="13"/>
  <c r="BD13" i="13"/>
  <c r="BF12" i="13"/>
  <c r="BE14" i="13"/>
  <c r="BF13" i="13"/>
  <c r="BE13" i="13"/>
  <c r="BF14" i="13"/>
  <c r="AN10" i="13"/>
  <c r="AV10" i="13" s="1"/>
  <c r="AW10" i="13"/>
  <c r="AP10" i="13"/>
  <c r="AU10" i="13" s="1"/>
  <c r="R95" i="13"/>
  <c r="AC38" i="7"/>
  <c r="Q47" i="2"/>
  <c r="AB38" i="7" s="1"/>
  <c r="AD38" i="7"/>
  <c r="AE38" i="7"/>
  <c r="AF38" i="7"/>
  <c r="AC39" i="7"/>
  <c r="Q48" i="2"/>
  <c r="AB39" i="7" s="1"/>
  <c r="AD39" i="7"/>
  <c r="AE39" i="7"/>
  <c r="AF39" i="7"/>
  <c r="AC40" i="7"/>
  <c r="Q49" i="2"/>
  <c r="AB40" i="7" s="1"/>
  <c r="AD40" i="7"/>
  <c r="AE40" i="7"/>
  <c r="AF40" i="7"/>
  <c r="AC41" i="7"/>
  <c r="Q50" i="2"/>
  <c r="AB41" i="7" s="1"/>
  <c r="AD41" i="7"/>
  <c r="AE41" i="7"/>
  <c r="AF41" i="7"/>
  <c r="AC42" i="7"/>
  <c r="Q51" i="2"/>
  <c r="AB42" i="7" s="1"/>
  <c r="AD42" i="7"/>
  <c r="AE42" i="7"/>
  <c r="AF42" i="7"/>
  <c r="AC43" i="7"/>
  <c r="Q52" i="2"/>
  <c r="AB43" i="7" s="1"/>
  <c r="AD43" i="7"/>
  <c r="AE43" i="7"/>
  <c r="AF43" i="7"/>
  <c r="AC44" i="7"/>
  <c r="Q53" i="2"/>
  <c r="AB44" i="7" s="1"/>
  <c r="AD44" i="7"/>
  <c r="AE44" i="7"/>
  <c r="AF44" i="7"/>
  <c r="AC45" i="7"/>
  <c r="Q54" i="2"/>
  <c r="AB45" i="7" s="1"/>
  <c r="AD45" i="7"/>
  <c r="AE45" i="7"/>
  <c r="AF45" i="7"/>
  <c r="AC46" i="7"/>
  <c r="Q55" i="2"/>
  <c r="AB46" i="7" s="1"/>
  <c r="AD46" i="7"/>
  <c r="AE46" i="7"/>
  <c r="AF46" i="7"/>
  <c r="AC47" i="7"/>
  <c r="Q56" i="2"/>
  <c r="AB47" i="7" s="1"/>
  <c r="AD47" i="7"/>
  <c r="AE47" i="7"/>
  <c r="AF47" i="7"/>
  <c r="AC48" i="7"/>
  <c r="Q57" i="2"/>
  <c r="AB48" i="7" s="1"/>
  <c r="AD48" i="7"/>
  <c r="AE48" i="7"/>
  <c r="AF48" i="7"/>
  <c r="AC49" i="7"/>
  <c r="Q58" i="2"/>
  <c r="AB49" i="7" s="1"/>
  <c r="AD49" i="7"/>
  <c r="AE49" i="7"/>
  <c r="AF49" i="7"/>
  <c r="Q59" i="2"/>
  <c r="H15" i="3"/>
  <c r="K15" i="3"/>
  <c r="K14" i="3"/>
  <c r="H14" i="3"/>
  <c r="H10" i="3"/>
  <c r="O29" i="2"/>
  <c r="Z24" i="7" s="1"/>
  <c r="R94" i="13" l="1"/>
  <c r="R101" i="13" s="1"/>
  <c r="AS69" i="13"/>
  <c r="AS67" i="13"/>
  <c r="AS70" i="13"/>
  <c r="AS68" i="13"/>
  <c r="BD10" i="13"/>
  <c r="AQ69" i="13"/>
  <c r="AQ68" i="13"/>
  <c r="AQ70" i="13"/>
  <c r="P94" i="13"/>
  <c r="P95" i="13"/>
  <c r="Z46" i="7"/>
  <c r="Z41" i="7"/>
  <c r="Z43" i="7"/>
  <c r="Z40" i="7"/>
  <c r="Z45" i="7"/>
  <c r="Z49" i="7"/>
  <c r="Z38" i="7"/>
  <c r="Z48" i="7"/>
  <c r="Z42" i="7"/>
  <c r="Z47" i="7"/>
  <c r="Z39" i="7"/>
  <c r="Z44" i="7"/>
  <c r="BF10" i="13"/>
  <c r="BE10" i="13"/>
  <c r="AA60" i="13"/>
  <c r="AM11" i="13"/>
  <c r="AU11" i="13" s="1"/>
  <c r="AO11" i="13"/>
  <c r="BF11" i="13" s="1"/>
  <c r="BB15" i="13" s="1"/>
  <c r="R5" i="4"/>
  <c r="AZ14" i="13" l="1"/>
  <c r="AZ12" i="13"/>
  <c r="P101" i="13"/>
  <c r="AZ10" i="13"/>
  <c r="BF61" i="13"/>
  <c r="BB10" i="13"/>
  <c r="BB12" i="13" s="1"/>
  <c r="BB14" i="13"/>
  <c r="BA14" i="13"/>
  <c r="BA12" i="13"/>
  <c r="BA10" i="13"/>
  <c r="AU60" i="13"/>
  <c r="BD11" i="13"/>
  <c r="AZ15" i="13" s="1"/>
  <c r="BB11" i="13"/>
  <c r="AW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BD61" i="13" l="1"/>
  <c r="BD65" i="13" s="1"/>
  <c r="P77" i="4"/>
  <c r="AZ13" i="13"/>
  <c r="K33" i="8"/>
  <c r="M11" i="8"/>
  <c r="N6" i="8"/>
  <c r="I11" i="7"/>
  <c r="N11" i="8"/>
  <c r="M13" i="12"/>
  <c r="M6" i="8"/>
  <c r="M9" i="12"/>
  <c r="AW60" i="13"/>
  <c r="AM63" i="13"/>
  <c r="BA13" i="13"/>
  <c r="AZ11" i="13"/>
  <c r="P79" i="4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R42" i="5" l="1"/>
  <c r="P79" i="21"/>
  <c r="P99" i="21" s="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P22" i="5" l="1"/>
  <c r="J40" i="5"/>
  <c r="J38" i="5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 l="1"/>
  <c r="K40" i="5"/>
  <c r="P65" i="4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R34" i="5"/>
  <c r="R32" i="5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R31" i="5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26" i="5"/>
  <c r="S24" i="5"/>
  <c r="O5" i="4"/>
  <c r="E28" i="7"/>
  <c r="E36" i="7"/>
  <c r="E32" i="7"/>
  <c r="R33" i="5"/>
  <c r="Q8" i="21" l="1"/>
  <c r="I8" i="21"/>
  <c r="O8" i="21"/>
  <c r="I36" i="21"/>
  <c r="P36" i="21"/>
  <c r="Q36" i="21"/>
  <c r="R30" i="5"/>
  <c r="S30" i="5"/>
  <c r="S28" i="5"/>
  <c r="R28" i="5"/>
  <c r="Q13" i="5"/>
  <c r="Q20" i="4"/>
  <c r="P20" i="4"/>
  <c r="O20" i="4" s="1"/>
  <c r="I20" i="4"/>
  <c r="Q9" i="5"/>
  <c r="Q8" i="5"/>
  <c r="Q7" i="5"/>
  <c r="Q6" i="5"/>
  <c r="S27" i="5"/>
  <c r="R43" i="21"/>
  <c r="R43" i="4"/>
  <c r="I43" i="4" s="1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J39" i="7"/>
  <c r="L39" i="7" s="1"/>
  <c r="O37" i="21"/>
  <c r="R39" i="5"/>
  <c r="J24" i="7"/>
  <c r="L24" i="7" s="1"/>
  <c r="P5" i="21"/>
  <c r="I35" i="21"/>
  <c r="Q35" i="21"/>
  <c r="Q20" i="5"/>
  <c r="R20" i="5" s="1"/>
  <c r="R47" i="4"/>
  <c r="I47" i="4" s="1"/>
  <c r="R47" i="21"/>
  <c r="S29" i="5"/>
  <c r="R29" i="5"/>
  <c r="S21" i="5"/>
  <c r="P29" i="4"/>
  <c r="Q29" i="4"/>
  <c r="P27" i="4"/>
  <c r="O27" i="4" s="1"/>
  <c r="Q27" i="4"/>
  <c r="J36" i="7"/>
  <c r="L36" i="7" s="1"/>
  <c r="S19" i="5"/>
  <c r="I29" i="4"/>
  <c r="R39" i="4"/>
  <c r="I39" i="4" s="1"/>
  <c r="O38" i="2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I19" i="4"/>
  <c r="Q11" i="5"/>
  <c r="R11" i="5" s="1"/>
  <c r="M25" i="7" s="1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J100" i="13" s="1"/>
  <c r="K100" i="13" s="1"/>
  <c r="P60" i="5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J94" i="13" s="1"/>
  <c r="P47" i="4"/>
  <c r="J44" i="7"/>
  <c r="L44" i="7" s="1"/>
  <c r="N44" i="7" s="1"/>
  <c r="R27" i="5"/>
  <c r="O43" i="2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N39" i="7"/>
  <c r="J30" i="7"/>
  <c r="L30" i="7" s="1"/>
  <c r="N30" i="7" s="1"/>
  <c r="J40" i="7"/>
  <c r="L40" i="7" s="1"/>
  <c r="N40" i="7" s="1"/>
  <c r="O39" i="2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J97" i="13" s="1"/>
  <c r="K97" i="13" s="1"/>
  <c r="O29" i="4"/>
  <c r="C15" i="13"/>
  <c r="J99" i="13" s="1"/>
  <c r="O25" i="4"/>
  <c r="C14" i="13"/>
  <c r="J98" i="13" s="1"/>
  <c r="K98" i="13" s="1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6" i="2"/>
  <c r="AB37" i="7" s="1"/>
  <c r="AC37" i="7"/>
  <c r="AF36" i="7"/>
  <c r="AE36" i="7"/>
  <c r="AD36" i="7"/>
  <c r="Q45" i="2"/>
  <c r="AB36" i="7" s="1"/>
  <c r="AC36" i="7"/>
  <c r="AF35" i="7"/>
  <c r="AE35" i="7"/>
  <c r="AD35" i="7"/>
  <c r="Q44" i="2"/>
  <c r="AB35" i="7" s="1"/>
  <c r="AC35" i="7"/>
  <c r="AF34" i="7"/>
  <c r="AE34" i="7"/>
  <c r="AD34" i="7"/>
  <c r="Q43" i="2"/>
  <c r="AB34" i="7" s="1"/>
  <c r="AC34" i="7"/>
  <c r="AF33" i="7"/>
  <c r="AE33" i="7"/>
  <c r="AD33" i="7"/>
  <c r="Q42" i="2"/>
  <c r="AB33" i="7" s="1"/>
  <c r="AC33" i="7"/>
  <c r="O42" i="2"/>
  <c r="AF32" i="7"/>
  <c r="AE32" i="7"/>
  <c r="AD32" i="7"/>
  <c r="Q41" i="2"/>
  <c r="AB32" i="7" s="1"/>
  <c r="AC32" i="7"/>
  <c r="O41" i="2"/>
  <c r="AF31" i="7"/>
  <c r="AE31" i="7"/>
  <c r="AD31" i="7"/>
  <c r="Q40" i="2"/>
  <c r="AB31" i="7" s="1"/>
  <c r="AC31" i="7"/>
  <c r="O40" i="2"/>
  <c r="AF30" i="7"/>
  <c r="AE30" i="7"/>
  <c r="AD30" i="7"/>
  <c r="Q39" i="2"/>
  <c r="AB30" i="7" s="1"/>
  <c r="AC30" i="7"/>
  <c r="O39" i="2"/>
  <c r="AF29" i="7"/>
  <c r="AE29" i="7"/>
  <c r="AD29" i="7"/>
  <c r="Q38" i="2"/>
  <c r="AB29" i="7" s="1"/>
  <c r="AC29" i="7"/>
  <c r="O38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67" i="13" l="1"/>
  <c r="L71" i="13" s="1"/>
  <c r="K94" i="13"/>
  <c r="O14" i="21"/>
  <c r="C11" i="13"/>
  <c r="J95" i="13" s="1"/>
  <c r="K95" i="13" s="1"/>
  <c r="O14" i="4"/>
  <c r="O17" i="4"/>
  <c r="C12" i="13"/>
  <c r="J96" i="13" s="1"/>
  <c r="K96" i="13" s="1"/>
  <c r="M61" i="5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60" i="2"/>
  <c r="AB8" i="2" s="1"/>
  <c r="AB8" i="7"/>
  <c r="AB51" i="7" s="1"/>
  <c r="Q60" i="2"/>
  <c r="O60" i="2"/>
  <c r="O63" i="2" s="1"/>
  <c r="AE8" i="7"/>
  <c r="S60" i="2"/>
  <c r="AF8" i="7"/>
  <c r="AF50" i="7" s="1"/>
  <c r="T60" i="2"/>
  <c r="AC9" i="7"/>
  <c r="AC51" i="7" s="1"/>
  <c r="P60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K101" i="13" l="1"/>
  <c r="I67" i="13"/>
  <c r="L70" i="13" s="1"/>
  <c r="L72" i="13" s="1"/>
  <c r="L73" i="13" s="1"/>
  <c r="C60" i="13"/>
  <c r="C61" i="13"/>
  <c r="AB26" i="2"/>
  <c r="AB11" i="2"/>
  <c r="P55" i="4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62" i="2"/>
  <c r="P62" i="2"/>
  <c r="AA8" i="2"/>
  <c r="T62" i="2"/>
  <c r="Z8" i="2"/>
  <c r="Q62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60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L77" i="13" l="1"/>
  <c r="V67" i="13"/>
  <c r="L76" i="13" s="1"/>
  <c r="O67" i="13"/>
  <c r="L74" i="13" s="1"/>
  <c r="I68" i="13"/>
  <c r="Q67" i="13" s="1"/>
  <c r="L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R68" i="13"/>
  <c r="AR70" i="13"/>
  <c r="AR69" i="13"/>
  <c r="AR67" i="13"/>
  <c r="Q95" i="13"/>
  <c r="Q101" i="13" s="1"/>
  <c r="E18" i="7"/>
  <c r="Z60" i="13"/>
  <c r="AN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V11" i="13"/>
  <c r="BE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V60" i="13"/>
  <c r="BA15" i="13"/>
  <c r="BE61" i="13"/>
  <c r="BA11" i="13"/>
  <c r="BB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<sst xmlns="http://schemas.openxmlformats.org/spreadsheetml/2006/main" count="1896" uniqueCount="655">
  <si>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</si>
  <si>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</si>
  <si>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</si>
  <si>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</si>
  <si>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</si>
  <si>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</si>
  <si>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</si>
  <si>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</si>
  <si>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</si>
  <si>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</si>
  <si>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</si>
  <si>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</si>
  <si>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</si>
  <si>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</si>
  <si>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</si>
  <si>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</si>
  <si>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</si>
  <si>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</si>
  <si>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</si>
  <si>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</si>
  <si>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</si>
  <si>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</si>
  <si>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</si>
  <si>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</si>
  <si>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</si>
  <si>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</si>
  <si>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</si>
  <si>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</si>
  <si>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</si>
  <si>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</si>
  <si>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</si>
  <si>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</si>
  <si>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</si>
  <si>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</si>
  <si>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</si>
  <si>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</si>
  <si>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</si>
  <si>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</si>
  <si>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</si>
  <si>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</si>
  <si>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</si>
  <si>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</si>
  <si>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</si>
  <si>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</si>
  <si>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</si>
  <si>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</si>
  <si>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</si>
  <si>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</si>
  <si>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</si>
  <si>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</si>
  <si>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</si>
  <si>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</si>
  <si>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</si>
  <si>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</si>
  <si>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</si>
  <si>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</si>
  <si>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</si>
  <si>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</si>
  <si>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</si>
  <si>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</si>
  <si>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</si>
  <si>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</si>
  <si>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</si>
  <si>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</si>
  <si>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</si>
  <si>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</si>
  <si>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</si>
  <si>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</si>
  <si>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</si>
  <si>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</si>
  <si>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</si>
  <si>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</si>
  <si>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</si>
  <si>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</si>
  <si>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</si>
  <si>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</si>
  <si>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</si>
  <si>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</si>
  <si>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</si>
  <si>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</si>
  <si>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</si>
  <si>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</si>
  <si>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</si>
  <si>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</si>
  <si>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</si>
  <si>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</si>
  <si>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</si>
  <si>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</si>
  <si>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</si>
  <si>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</si>
  <si>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</si>
  <si>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</si>
  <si>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</si>
  <si>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</si>
  <si>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</si>
  <si>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</si>
  <si>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</si>
  <si>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</si>
  <si>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</si>
  <si>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</si>
  <si>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</si>
  <si>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</si>
  <si>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</si>
  <si>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</si>
  <si>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</si>
  <si>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</si>
  <si>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</si>
  <si>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</si>
  <si>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</si>
  <si>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</si>
  <si>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</si>
  <si>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</si>
  <si>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</si>
  <si>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</si>
  <si>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</si>
  <si>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</si>
  <si>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</si>
  <si>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</si>
  <si>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</si>
  <si>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</si>
  <si>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</si>
  <si>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</si>
  <si>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</si>
  <si>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</si>
  <si>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</si>
  <si>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</si>
  <si>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</si>
  <si>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</si>
  <si>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</si>
  <si>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</si>
  <si>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</si>
  <si>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</si>
  <si>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</si>
  <si>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</si>
  <si>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</si>
  <si>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</si>
  <si>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</si>
  <si>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</si>
  <si>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</si>
  <si>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</si>
  <si>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</si>
  <si>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</si>
  <si>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</si>
  <si>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</si>
  <si>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</si>
  <si>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</si>
  <si>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</si>
  <si>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</si>
  <si>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</si>
  <si>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</si>
  <si>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</si>
  <si>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</si>
  <si>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</si>
  <si>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</si>
  <si>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</si>
  <si>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</si>
  <si>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</si>
  <si>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</si>
  <si>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</si>
  <si>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</si>
  <si>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</si>
  <si>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</si>
  <si>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</si>
  <si>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</si>
  <si>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</si>
  <si>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</si>
  <si>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</si>
  <si>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</si>
  <si>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</si>
  <si>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</si>
  <si>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</si>
  <si>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</si>
  <si>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</si>
  <si>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</si>
  <si>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</si>
  <si>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</si>
  <si>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</si>
  <si>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</si>
  <si>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</si>
  <si>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</si>
  <si>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</si>
  <si>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</si>
  <si>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</si>
  <si>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</si>
  <si>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</si>
  <si>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</si>
  <si>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</si>
  <si>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</si>
  <si>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</si>
  <si>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</si>
  <si>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</si>
  <si>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</si>
  <si>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</si>
  <si>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</si>
  <si>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</si>
  <si>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</si>
  <si>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</si>
  <si>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</si>
  <si>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</si>
  <si>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</si>
  <si>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</si>
  <si>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</si>
  <si>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</si>
  <si>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</si>
  <si>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</si>
  <si>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</si>
  <si>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</si>
  <si>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</si>
  <si>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</si>
  <si>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</si>
  <si>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</si>
  <si>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</si>
  <si>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</si>
  <si>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</si>
  <si>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</si>
  <si>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</si>
  <si>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</si>
  <si>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</si>
  <si>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</si>
  <si>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</si>
  <si>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</si>
  <si>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</si>
  <si>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</si>
  <si>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</si>
  <si>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</si>
  <si>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</si>
  <si>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</si>
  <si>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</si>
  <si>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</si>
  <si>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</si>
  <si>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</si>
  <si>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</si>
  <si>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</si>
  <si>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</si>
  <si>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</si>
  <si>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</si>
  <si>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</si>
  <si>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</si>
  <si>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</si>
  <si>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</si>
  <si>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</si>
  <si>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</si>
  <si>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</si>
  <si>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</si>
  <si>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</si>
  <si>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</si>
  <si>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</si>
  <si>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</si>
  <si>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</si>
  <si>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</si>
  <si>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</si>
  <si>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</si>
  <si>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</si>
  <si>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</si>
  <si>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</si>
  <si>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</si>
  <si>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</si>
  <si>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</si>
  <si>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</si>
  <si>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</si>
  <si>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</si>
  <si>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</si>
  <si>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</si>
  <si>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</si>
  <si>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</si>
  <si>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</si>
  <si>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</si>
  <si>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</si>
  <si>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</si>
  <si>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</si>
  <si>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</si>
  <si>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</si>
  <si>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</si>
  <si>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</si>
  <si>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</si>
  <si>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</si>
  <si>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</si>
  <si>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</si>
  <si>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</si>
  <si>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</si>
  <si>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</si>
  <si>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</si>
  <si>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</si>
  <si>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</si>
  <si>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</si>
  <si>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</si>
  <si>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</si>
  <si>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</si>
  <si>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</si>
  <si>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</si>
  <si>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</si>
  <si>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</si>
  <si>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</si>
  <si>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</si>
  <si>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</si>
  <si>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</si>
  <si>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</si>
  <si>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</si>
  <si>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</si>
  <si>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</si>
  <si>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</si>
  <si>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</si>
  <si>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</si>
  <si>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</si>
  <si>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</si>
  <si>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</si>
  <si>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</si>
  <si>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</si>
  <si>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</si>
  <si>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</si>
  <si>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</si>
  <si>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</si>
  <si>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</si>
  <si>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</si>
  <si>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</si>
  <si>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</si>
  <si>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</si>
  <si>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</si>
  <si>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</si>
  <si>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</si>
  <si>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</si>
  <si>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</si>
  <si>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</si>
  <si>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</si>
  <si>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</si>
  <si>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</si>
  <si>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</si>
  <si>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</si>
  <si>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</si>
  <si>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</si>
  <si>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</si>
  <si>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</si>
  <si>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</si>
  <si>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</si>
  <si>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</si>
  <si>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</si>
  <si>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</si>
  <si>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</si>
  <si>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</si>
  <si>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</si>
  <si>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</si>
  <si>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</si>
  <si>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</si>
  <si>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</si>
  <si>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</si>
  <si>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</si>
  <si>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</si>
  <si>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</si>
  <si>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</si>
  <si>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</si>
  <si>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</si>
  <si>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</si>
  <si>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</si>
  <si>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</si>
  <si>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</si>
  <si>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</si>
  <si>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</si>
  <si>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</si>
  <si>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</si>
  <si>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</si>
  <si>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</si>
  <si>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</si>
  <si>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</si>
  <si>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</si>
  <si>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</si>
  <si>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</si>
  <si>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</si>
  <si>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</si>
  <si>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</si>
  <si>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</si>
  <si>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</si>
  <si>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</si>
  <si>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</si>
  <si>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</si>
  <si>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</si>
  <si>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</si>
  <si>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</si>
  <si>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</si>
  <si>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</si>
  <si>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</si>
  <si>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</si>
  <si>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</si>
  <si>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</si>
  <si>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</si>
  <si>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</si>
  <si>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</si>
  <si>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</si>
  <si>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</si>
  <si>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</si>
  <si>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</si>
  <si>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</si>
  <si>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</si>
  <si>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</si>
  <si>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</si>
  <si>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</si>
  <si>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</si>
  <si>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</si>
  <si>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</si>
  <si>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</si>
  <si>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</si>
  <si>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</si>
  <si>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</si>
  <si>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</si>
  <si>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</si>
  <si>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</si>
  <si>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</si>
  <si>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</si>
  <si>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</si>
  <si>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</si>
  <si>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</si>
  <si>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</si>
  <si>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</si>
  <si>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</si>
  <si>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</si>
  <si>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</si>
  <si>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</si>
  <si>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</si>
  <si>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</si>
  <si>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</si>
  <si>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</si>
  <si>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</si>
  <si>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</si>
  <si>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</si>
  <si>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</si>
  <si>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</si>
  <si>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</si>
  <si>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</si>
  <si>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</si>
  <si>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</si>
  <si>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</si>
  <si>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</si>
  <si>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</si>
  <si>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</si>
  <si>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</si>
  <si>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</si>
  <si>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</si>
  <si>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</si>
  <si>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</si>
  <si>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</si>
  <si>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</si>
  <si>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</si>
  <si>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</si>
  <si>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</si>
  <si>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</si>
  <si>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</si>
  <si>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</si>
  <si>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</si>
  <si>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</si>
  <si>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</si>
  <si>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</si>
  <si>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</si>
  <si>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</si>
  <si>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</si>
  <si>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</si>
  <si>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</si>
  <si>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</si>
  <si>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</si>
  <si>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</si>
  <si>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</si>
  <si>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</si>
  <si>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</si>
  <si>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</si>
  <si>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</si>
  <si>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</si>
  <si>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</si>
  <si>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</si>
  <si>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</si>
  <si>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</si>
  <si>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</si>
  <si>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</si>
  <si>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</si>
  <si>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</si>
  <si>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</si>
  <si>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</si>
  <si>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</si>
  <si>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</si>
  <si>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</si>
  <si>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</si>
  <si>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</si>
  <si>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</si>
  <si>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</si>
  <si>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</si>
  <si>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</si>
  <si>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</si>
  <si>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</si>
  <si>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</si>
  <si>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</si>
  <si>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</si>
  <si>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</si>
  <si>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</si>
  <si>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</si>
  <si>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</si>
  <si>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</si>
  <si>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</si>
  <si>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</si>
  <si>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</si>
  <si>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</si>
  <si>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</si>
  <si>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</si>
  <si>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</si>
  <si>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</si>
  <si>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</si>
  <si>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</si>
  <si>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</si>
  <si>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</si>
  <si>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</si>
  <si>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</si>
  <si>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</si>
  <si>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</si>
  <si>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</si>
  <si>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</si>
  <si>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</si>
  <si>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</si>
  <si>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</si>
  <si>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</si>
  <si>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</si>
  <si>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</si>
  <si>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</si>
  <si>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</si>
  <si>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</si>
  <si>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</si>
  <si>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</si>
  <si>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</si>
  <si>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</si>
  <si>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</si>
  <si>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</si>
  <si>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</si>
  <si>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</si>
  <si>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</si>
  <si>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</si>
  <si>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</si>
  <si>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</si>
  <si>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</si>
  <si>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</si>
  <si>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</si>
  <si>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</si>
  <si>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</si>
  <si>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</si>
  <si>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</si>
  <si>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</si>
  <si>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</si>
  <si>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</si>
  <si>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</si>
  <si>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</si>
  <si>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</si>
  <si>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</si>
  <si>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</si>
  <si>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</si>
  <si>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</si>
  <si>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</si>
  <si>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</si>
  <si>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</si>
  <si>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</si>
  <si>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</si>
  <si>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</si>
  <si>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</si>
  <si>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</si>
  <si>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</si>
  <si>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</si>
  <si>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</si>
  <si>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</si>
  <si>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</si>
  <si>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</si>
  <si>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</si>
  <si>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</si>
  <si>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</si>
  <si>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</si>
  <si>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</si>
  <si>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</si>
  <si>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</si>
  <si>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</si>
  <si>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</si>
  <si>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</si>
  <si>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</si>
  <si>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</si>
  <si>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</si>
  <si>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</si>
  <si>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</si>
  <si>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</si>
  <si>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</si>
  <si>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</si>
  <si>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</si>
  <si>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</si>
  <si>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</si>
  <si>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</si>
  <si>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</si>
  <si>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</si>
  <si>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</si>
  <si>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</si>
  <si>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</si>
  <si>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</si>
  <si>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</si>
  <si>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</si>
  <si>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</si>
  <si>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</si>
  <si>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</si>
  <si>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</si>
  <si>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</si>
  <si>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</si>
  <si>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</si>
  <si>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</si>
  <si>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</si>
  <si>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</si>
  <si>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</si>
  <si>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</si>
  <si>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</si>
  <si>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</si>
  <si>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</si>
  <si>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</si>
  <si>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</si>
  <si>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</si>
  <si>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</si>
  <si>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</si>
  <si>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</si>
  <si>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</si>
  <si>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</si>
  <si>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</si>
  <si>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</si>
  <si>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</si>
  <si>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</si>
  <si>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</si>
  <si>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</si>
  <si>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</si>
  <si>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</si>
  <si>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</si>
  <si>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</si>
  <si>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</si>
  <si>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</si>
  <si>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</si>
  <si>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</si>
  <si>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</si>
  <si>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</si>
  <si>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</si>
  <si>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</si>
  <si>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</si>
  <si>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</si>
  <si>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</si>
  <si>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</si>
  <si>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</si>
  <si>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</si>
  <si>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</si>
  <si>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</si>
  <si>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Waktu Penggilingan Ball Mill</t>
  </si>
  <si>
    <t>Dalam satu proses batch pengolahan</t>
  </si>
  <si>
    <t>Tinggi Plat</t>
  </si>
  <si>
    <t>Slurry/Batch Proses</t>
  </si>
  <si>
    <t xml:space="preserve">Volume Slurry </t>
  </si>
  <si>
    <t>Per Batch Pengolahan</t>
  </si>
  <si>
    <t>Tonage/Hour</t>
  </si>
  <si>
    <t>Prosess</t>
  </si>
  <si>
    <t>Running Ball Mill 3-4. jam 19:20 running ball mill 1,3 dan 4</t>
  </si>
  <si>
    <t>Finish Drain Slurry batch 7 04:30. slurry pump to tank leaching finish jam 07:00</t>
  </si>
  <si>
    <t>Running Time Hour Tercatat</t>
  </si>
  <si>
    <t>Down Time Hour Tercatat</t>
  </si>
  <si>
    <t>%Plant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</si>
</sst>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9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164" fontId="60" fillId="0" borderId="0" applyFont="0" applyFill="0" applyBorder="0" applyAlignment="0" applyProtection="0"/>
  </cellStyleXfs>
  <cellXfs count="131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0" fillId="2" borderId="12" xfId="0" applyFont="1" applyFill="1" applyBorder="1"/>
    <xf numFmtId="0" fontId="0" fillId="2" borderId="12" xfId="0" applyFill="1" applyBorder="1"/>
    <xf numFmtId="0" fontId="60" fillId="2" borderId="15" xfId="0" applyFont="1" applyFill="1" applyBorder="1" applyAlignment="1">
      <alignment vertical="center"/>
    </xf>
    <xf numFmtId="0" fontId="6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1" fillId="4" borderId="12" xfId="0" applyFont="1" applyFill="1" applyBorder="1" applyAlignment="1">
      <alignment horizontal="center"/>
    </xf>
    <xf numFmtId="0" fontId="61" fillId="3" borderId="12" xfId="0" applyFon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1" fillId="3" borderId="12" xfId="0" applyFont="1" applyFill="1" applyBorder="1"/>
    <xf numFmtId="0" fontId="0" fillId="3" borderId="12" xfId="0" applyFill="1" applyBorder="1"/>
    <xf numFmtId="0" fontId="61" fillId="3" borderId="31" xfId="0" applyFont="1" applyFill="1" applyBorder="1" applyAlignment="1">
      <alignment horizontal="center"/>
    </xf>
    <xf numFmtId="0" fontId="6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2" fillId="5" borderId="0" xfId="0" applyFont="1" applyFill="1"/>
    <xf numFmtId="0" fontId="6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4" fillId="2" borderId="0" xfId="3" applyNumberFormat="1" applyFont="1" applyFill="1"/>
    <xf numFmtId="170" fontId="6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0" fillId="2" borderId="12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5" fillId="5" borderId="0" xfId="2" applyNumberFormat="1" applyFont="1" applyFill="1"/>
    <xf numFmtId="172" fontId="6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6" fillId="6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8" borderId="12" xfId="0" applyFont="1" applyFill="1" applyBorder="1" applyAlignment="1">
      <alignment horizontal="center" vertical="center"/>
    </xf>
    <xf numFmtId="0" fontId="66" fillId="9" borderId="12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6" fillId="7" borderId="20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0" fontId="68" fillId="11" borderId="12" xfId="0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 vertical="center"/>
    </xf>
    <xf numFmtId="14" fontId="68" fillId="12" borderId="12" xfId="0" applyNumberFormat="1" applyFont="1" applyFill="1" applyBorder="1" applyAlignment="1">
      <alignment horizontal="center" vertical="center"/>
    </xf>
    <xf numFmtId="0" fontId="68" fillId="13" borderId="12" xfId="0" applyFont="1" applyFill="1" applyBorder="1" applyAlignment="1">
      <alignment horizontal="center" vertical="center"/>
    </xf>
    <xf numFmtId="0" fontId="60" fillId="0" borderId="7" xfId="0" applyFont="1" applyBorder="1" applyAlignment="1">
      <alignment horizontal="center"/>
    </xf>
    <xf numFmtId="20" fontId="60" fillId="2" borderId="28" xfId="0" applyNumberFormat="1" applyFont="1" applyFill="1" applyBorder="1" applyAlignment="1">
      <alignment horizontal="center" vertical="center"/>
    </xf>
    <xf numFmtId="1" fontId="6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0" fillId="2" borderId="12" xfId="0" applyNumberFormat="1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right"/>
    </xf>
    <xf numFmtId="1" fontId="61" fillId="3" borderId="20" xfId="0" applyNumberFormat="1" applyFont="1" applyFill="1" applyBorder="1" applyAlignment="1">
      <alignment horizontal="right"/>
    </xf>
    <xf numFmtId="9" fontId="6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6" fillId="0" borderId="0" xfId="0" applyFont="1"/>
    <xf numFmtId="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0" fontId="7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6" fillId="0" borderId="38" xfId="0" applyFont="1" applyBorder="1"/>
    <xf numFmtId="1" fontId="66" fillId="0" borderId="38" xfId="0" applyNumberFormat="1" applyFont="1" applyBorder="1" applyAlignment="1">
      <alignment horizontal="center"/>
    </xf>
    <xf numFmtId="0" fontId="66" fillId="0" borderId="38" xfId="0" applyFont="1" applyBorder="1" applyAlignment="1">
      <alignment horizontal="center"/>
    </xf>
    <xf numFmtId="43" fontId="66" fillId="0" borderId="38" xfId="1" applyFont="1" applyBorder="1" applyAlignment="1">
      <alignment horizontal="center"/>
    </xf>
    <xf numFmtId="0" fontId="66" fillId="0" borderId="39" xfId="0" applyFont="1" applyBorder="1"/>
    <xf numFmtId="0" fontId="68" fillId="0" borderId="0" xfId="0" applyFont="1" applyAlignment="1">
      <alignment wrapText="1"/>
    </xf>
    <xf numFmtId="0" fontId="68" fillId="3" borderId="45" xfId="0" applyFont="1" applyFill="1" applyBorder="1" applyAlignment="1">
      <alignment horizontal="center" vertical="center" wrapText="1"/>
    </xf>
    <xf numFmtId="0" fontId="66" fillId="0" borderId="47" xfId="0" applyFont="1" applyBorder="1"/>
    <xf numFmtId="173" fontId="66" fillId="0" borderId="48" xfId="0" applyNumberFormat="1" applyFont="1" applyBorder="1" applyAlignment="1">
      <alignment horizontal="center"/>
    </xf>
    <xf numFmtId="1" fontId="66" fillId="0" borderId="48" xfId="0" applyNumberFormat="1" applyFont="1" applyBorder="1" applyAlignment="1">
      <alignment horizontal="center"/>
    </xf>
    <xf numFmtId="174" fontId="66" fillId="0" borderId="48" xfId="0" applyNumberFormat="1" applyFont="1" applyBorder="1" applyAlignment="1">
      <alignment horizontal="center"/>
    </xf>
    <xf numFmtId="0" fontId="66" fillId="0" borderId="48" xfId="0" applyFont="1" applyBorder="1"/>
    <xf numFmtId="9" fontId="66" fillId="0" borderId="48" xfId="0" applyNumberFormat="1" applyFont="1" applyBorder="1" applyAlignment="1">
      <alignment horizontal="center"/>
    </xf>
    <xf numFmtId="0" fontId="66" fillId="0" borderId="48" xfId="0" applyFont="1" applyBorder="1" applyAlignment="1">
      <alignment horizontal="center"/>
    </xf>
    <xf numFmtId="9" fontId="66" fillId="0" borderId="48" xfId="2" applyFont="1" applyBorder="1" applyAlignment="1">
      <alignment horizontal="center" vertical="center"/>
    </xf>
    <xf numFmtId="9" fontId="66" fillId="0" borderId="49" xfId="0" applyNumberFormat="1" applyFont="1" applyBorder="1" applyAlignment="1">
      <alignment horizontal="center"/>
    </xf>
    <xf numFmtId="0" fontId="6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7" fillId="2" borderId="12" xfId="0" applyFont="1" applyFill="1" applyBorder="1"/>
    <xf numFmtId="14" fontId="66" fillId="2" borderId="12" xfId="0" applyNumberFormat="1" applyFont="1" applyFill="1" applyBorder="1" applyAlignment="1">
      <alignment horizontal="center" vertical="center"/>
    </xf>
    <xf numFmtId="0" fontId="61" fillId="10" borderId="20" xfId="0" applyFont="1" applyFill="1" applyBorder="1"/>
    <xf numFmtId="0" fontId="61" fillId="10" borderId="28" xfId="0" applyFont="1" applyFill="1" applyBorder="1"/>
    <xf numFmtId="14" fontId="6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1" fillId="16" borderId="12" xfId="0" applyFont="1" applyFill="1" applyBorder="1" applyAlignment="1">
      <alignment horizontal="center"/>
    </xf>
    <xf numFmtId="0" fontId="61" fillId="10" borderId="7" xfId="0" applyFont="1" applyFill="1" applyBorder="1" applyAlignment="1">
      <alignment horizontal="center"/>
    </xf>
    <xf numFmtId="9" fontId="66" fillId="0" borderId="12" xfId="0" applyNumberFormat="1" applyFont="1" applyBorder="1" applyAlignment="1">
      <alignment horizontal="center"/>
    </xf>
    <xf numFmtId="0" fontId="61" fillId="17" borderId="12" xfId="0" applyFont="1" applyFill="1" applyBorder="1" applyAlignment="1">
      <alignment horizontal="center"/>
    </xf>
    <xf numFmtId="0" fontId="6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1" fillId="3" borderId="0" xfId="0" applyFont="1" applyFill="1" applyAlignment="1">
      <alignment horizontal="center"/>
    </xf>
    <xf numFmtId="0" fontId="6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6" fillId="18" borderId="12" xfId="0" applyNumberFormat="1" applyFont="1" applyFill="1" applyBorder="1" applyAlignment="1">
      <alignment horizontal="center"/>
    </xf>
    <xf numFmtId="2" fontId="7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1" fillId="3" borderId="20" xfId="0" applyNumberFormat="1" applyFont="1" applyFill="1" applyBorder="1" applyAlignment="1">
      <alignment horizontal="right"/>
    </xf>
    <xf numFmtId="0" fontId="76" fillId="18" borderId="7" xfId="0" applyFont="1" applyFill="1" applyBorder="1"/>
    <xf numFmtId="0" fontId="76" fillId="18" borderId="29" xfId="0" applyFont="1" applyFill="1" applyBorder="1"/>
    <xf numFmtId="174" fontId="76" fillId="18" borderId="29" xfId="0" applyNumberFormat="1" applyFont="1" applyFill="1" applyBorder="1" applyAlignment="1">
      <alignment horizontal="center"/>
    </xf>
    <xf numFmtId="0" fontId="77" fillId="2" borderId="0" xfId="0" applyFont="1" applyFill="1"/>
    <xf numFmtId="176" fontId="66" fillId="0" borderId="48" xfId="0" applyNumberFormat="1" applyFont="1" applyBorder="1" applyAlignment="1">
      <alignment horizontal="center"/>
    </xf>
    <xf numFmtId="0" fontId="60" fillId="2" borderId="7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/>
    </xf>
    <xf numFmtId="0" fontId="6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1" fillId="2" borderId="0" xfId="0" applyFont="1" applyFill="1" applyAlignment="1">
      <alignment horizontal="center"/>
    </xf>
    <xf numFmtId="0" fontId="6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8" fillId="2" borderId="28" xfId="0" applyFon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/>
    </xf>
    <xf numFmtId="0" fontId="61" fillId="20" borderId="12" xfId="0" applyFont="1" applyFill="1" applyBorder="1"/>
    <xf numFmtId="9" fontId="66" fillId="0" borderId="0" xfId="2" applyFont="1" applyAlignment="1">
      <alignment horizontal="center"/>
    </xf>
    <xf numFmtId="0" fontId="61" fillId="0" borderId="12" xfId="0" applyFont="1" applyBorder="1"/>
    <xf numFmtId="176" fontId="0" fillId="0" borderId="12" xfId="0" applyNumberFormat="1" applyBorder="1"/>
    <xf numFmtId="1" fontId="79" fillId="2" borderId="12" xfId="0" applyNumberFormat="1" applyFont="1" applyFill="1" applyBorder="1"/>
    <xf numFmtId="9" fontId="79" fillId="2" borderId="12" xfId="0" applyNumberFormat="1" applyFont="1" applyFill="1" applyBorder="1"/>
    <xf numFmtId="0" fontId="71" fillId="2" borderId="12" xfId="0" applyFont="1" applyFill="1" applyBorder="1"/>
    <xf numFmtId="1" fontId="68" fillId="3" borderId="45" xfId="0" applyNumberFormat="1" applyFont="1" applyFill="1" applyBorder="1" applyAlignment="1">
      <alignment horizontal="center" vertical="center" wrapText="1"/>
    </xf>
    <xf numFmtId="43" fontId="68" fillId="3" borderId="45" xfId="1" applyFont="1" applyFill="1" applyBorder="1" applyAlignment="1">
      <alignment horizontal="center" vertical="center" wrapText="1"/>
    </xf>
    <xf numFmtId="0" fontId="6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7" fillId="2" borderId="28" xfId="0" applyFont="1" applyFill="1" applyBorder="1" applyAlignment="1">
      <alignment vertical="center"/>
    </xf>
    <xf numFmtId="20" fontId="5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horizontal="center" vertical="center"/>
    </xf>
    <xf numFmtId="20" fontId="54" fillId="2" borderId="28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9" fontId="66" fillId="8" borderId="12" xfId="0" applyNumberFormat="1" applyFont="1" applyFill="1" applyBorder="1" applyAlignment="1">
      <alignment horizontal="center" vertical="center"/>
    </xf>
    <xf numFmtId="1" fontId="6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14" fontId="6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6" fillId="2" borderId="20" xfId="0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vertical="center"/>
    </xf>
    <xf numFmtId="0" fontId="67" fillId="2" borderId="28" xfId="0" applyFont="1" applyFill="1" applyBorder="1"/>
    <xf numFmtId="0" fontId="66" fillId="2" borderId="28" xfId="0" applyFont="1" applyFill="1" applyBorder="1" applyAlignment="1">
      <alignment horizontal="center" vertical="center"/>
    </xf>
    <xf numFmtId="14" fontId="66" fillId="7" borderId="10" xfId="0" applyNumberFormat="1" applyFont="1" applyFill="1" applyBorder="1" applyAlignment="1">
      <alignment vertical="center"/>
    </xf>
    <xf numFmtId="14" fontId="66" fillId="7" borderId="10" xfId="0" applyNumberFormat="1" applyFont="1" applyFill="1" applyBorder="1" applyAlignment="1">
      <alignment horizontal="center" vertical="center"/>
    </xf>
    <xf numFmtId="14" fontId="66" fillId="2" borderId="10" xfId="0" applyNumberFormat="1" applyFont="1" applyFill="1" applyBorder="1" applyAlignment="1">
      <alignment vertical="center"/>
    </xf>
    <xf numFmtId="14" fontId="66" fillId="2" borderId="10" xfId="0" applyNumberFormat="1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horizontal="center" vertical="center"/>
    </xf>
    <xf numFmtId="1" fontId="66" fillId="8" borderId="10" xfId="0" applyNumberFormat="1" applyFont="1" applyFill="1" applyBorder="1" applyAlignment="1">
      <alignment horizontal="center" vertical="center"/>
    </xf>
    <xf numFmtId="0" fontId="66" fillId="8" borderId="10" xfId="0" applyFont="1" applyFill="1" applyBorder="1" applyAlignment="1">
      <alignment horizontal="center" vertical="center"/>
    </xf>
    <xf numFmtId="14" fontId="66" fillId="7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horizontal="center" vertical="center"/>
    </xf>
    <xf numFmtId="0" fontId="6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6" fillId="9" borderId="28" xfId="0" applyFont="1" applyFill="1" applyBorder="1" applyAlignment="1">
      <alignment horizontal="center" vertical="center"/>
    </xf>
    <xf numFmtId="0" fontId="67" fillId="2" borderId="10" xfId="0" applyFont="1" applyFill="1" applyBorder="1"/>
    <xf numFmtId="0" fontId="67" fillId="2" borderId="17" xfId="0" applyFont="1" applyFill="1" applyBorder="1"/>
    <xf numFmtId="0" fontId="0" fillId="2" borderId="17" xfId="0" applyFill="1" applyBorder="1"/>
    <xf numFmtId="0" fontId="66" fillId="9" borderId="17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9" fontId="66" fillId="2" borderId="12" xfId="0" applyNumberFormat="1" applyFont="1" applyFill="1" applyBorder="1" applyAlignment="1">
      <alignment horizontal="center" vertical="center"/>
    </xf>
    <xf numFmtId="1" fontId="66" fillId="8" borderId="28" xfId="0" applyNumberFormat="1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6" fillId="0" borderId="47" xfId="0" applyNumberFormat="1" applyFont="1" applyBorder="1" applyAlignment="1">
      <alignment horizontal="center"/>
    </xf>
    <xf numFmtId="1" fontId="66" fillId="0" borderId="12" xfId="0" applyNumberFormat="1" applyFont="1" applyBorder="1" applyAlignment="1">
      <alignment horizontal="center"/>
    </xf>
    <xf numFmtId="174" fontId="66" fillId="0" borderId="12" xfId="0" applyNumberFormat="1" applyFont="1" applyBorder="1" applyAlignment="1">
      <alignment horizontal="center"/>
    </xf>
    <xf numFmtId="0" fontId="66" fillId="0" borderId="12" xfId="0" applyFont="1" applyBorder="1" applyAlignment="1">
      <alignment horizontal="center"/>
    </xf>
    <xf numFmtId="9" fontId="6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6" fillId="2" borderId="12" xfId="0" applyFont="1" applyFill="1" applyBorder="1" applyAlignment="1">
      <alignment vertical="top" wrapText="1"/>
    </xf>
    <xf numFmtId="0" fontId="6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1" fillId="18" borderId="30" xfId="0" applyFont="1" applyFill="1" applyBorder="1" applyAlignment="1">
      <alignment horizontal="center" vertical="center"/>
    </xf>
    <xf numFmtId="0" fontId="61" fillId="18" borderId="22" xfId="0" applyFont="1" applyFill="1" applyBorder="1" applyAlignment="1">
      <alignment horizontal="center" vertical="center"/>
    </xf>
    <xf numFmtId="1" fontId="6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61" fillId="20" borderId="12" xfId="0" applyFont="1" applyFill="1" applyBorder="1" applyAlignment="1">
      <alignment horizontal="center"/>
    </xf>
    <xf numFmtId="0" fontId="61" fillId="18" borderId="20" xfId="0" applyFont="1" applyFill="1" applyBorder="1" applyAlignment="1">
      <alignment horizontal="center" vertical="center"/>
    </xf>
    <xf numFmtId="0" fontId="61" fillId="18" borderId="21" xfId="0" applyFont="1" applyFill="1" applyBorder="1" applyAlignment="1">
      <alignment horizontal="center" vertical="center"/>
    </xf>
    <xf numFmtId="43" fontId="6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4" fillId="2" borderId="12" xfId="0" applyNumberFormat="1" applyFont="1" applyFill="1" applyBorder="1" applyAlignment="1">
      <alignment horizontal="center" vertical="center"/>
    </xf>
    <xf numFmtId="1" fontId="61" fillId="2" borderId="12" xfId="0" applyNumberFormat="1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/>
    </xf>
    <xf numFmtId="0" fontId="61" fillId="18" borderId="32" xfId="0" applyFont="1" applyFill="1" applyBorder="1" applyAlignment="1">
      <alignment horizontal="center"/>
    </xf>
    <xf numFmtId="0" fontId="6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1" fillId="4" borderId="12" xfId="0" applyFont="1" applyFill="1" applyBorder="1"/>
    <xf numFmtId="0" fontId="61" fillId="18" borderId="12" xfId="0" applyFont="1" applyFill="1" applyBorder="1"/>
    <xf numFmtId="0" fontId="61" fillId="18" borderId="12" xfId="0" applyFont="1" applyFill="1" applyBorder="1" applyAlignment="1">
      <alignment horizontal="left"/>
    </xf>
    <xf numFmtId="0" fontId="42" fillId="2" borderId="12" xfId="0" applyFont="1" applyFill="1" applyBorder="1"/>
    <xf numFmtId="0" fontId="60" fillId="3" borderId="0" xfId="0" applyFont="1" applyFill="1" applyAlignment="1">
      <alignment horizontal="center"/>
    </xf>
    <xf numFmtId="0" fontId="60" fillId="3" borderId="19" xfId="0" applyFont="1" applyFill="1" applyBorder="1" applyAlignment="1">
      <alignment horizontal="center"/>
    </xf>
    <xf numFmtId="0" fontId="6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2" fillId="2" borderId="28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76" fillId="3" borderId="21" xfId="1" applyNumberFormat="1" applyFont="1" applyFill="1" applyBorder="1" applyAlignment="1">
      <alignment horizontal="center" vertical="center"/>
    </xf>
    <xf numFmtId="166" fontId="76" fillId="3" borderId="21" xfId="0" applyNumberFormat="1" applyFont="1" applyFill="1" applyBorder="1" applyAlignment="1">
      <alignment horizontal="center" vertical="center"/>
    </xf>
    <xf numFmtId="9" fontId="76" fillId="3" borderId="21" xfId="2" applyFont="1" applyFill="1" applyBorder="1" applyAlignment="1">
      <alignment horizontal="center" vertical="center"/>
    </xf>
    <xf numFmtId="9" fontId="76" fillId="3" borderId="22" xfId="2" applyFont="1" applyFill="1" applyBorder="1" applyAlignment="1">
      <alignment horizontal="center" vertical="center" wrapText="1"/>
    </xf>
    <xf numFmtId="14" fontId="81" fillId="2" borderId="9" xfId="0" applyNumberFormat="1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vertical="center"/>
    </xf>
    <xf numFmtId="165" fontId="81" fillId="2" borderId="10" xfId="1" applyNumberFormat="1" applyFont="1" applyFill="1" applyBorder="1" applyAlignment="1">
      <alignment horizontal="center" vertical="center"/>
    </xf>
    <xf numFmtId="166" fontId="81" fillId="2" borderId="10" xfId="0" applyNumberFormat="1" applyFont="1" applyFill="1" applyBorder="1" applyAlignment="1">
      <alignment horizontal="center" vertical="center"/>
    </xf>
    <xf numFmtId="9" fontId="81" fillId="2" borderId="10" xfId="2" applyFont="1" applyFill="1" applyBorder="1" applyAlignment="1">
      <alignment horizontal="center" vertical="center"/>
    </xf>
    <xf numFmtId="167" fontId="81" fillId="2" borderId="11" xfId="1" applyNumberFormat="1" applyFont="1" applyFill="1" applyBorder="1" applyAlignment="1">
      <alignment horizontal="center" vertical="center"/>
    </xf>
    <xf numFmtId="0" fontId="81" fillId="2" borderId="11" xfId="0" applyFont="1" applyFill="1" applyBorder="1" applyAlignment="1">
      <alignment horizontal="center" vertical="center"/>
    </xf>
    <xf numFmtId="1" fontId="81" fillId="2" borderId="11" xfId="0" applyNumberFormat="1" applyFont="1" applyFill="1" applyBorder="1" applyAlignment="1">
      <alignment horizontal="center" vertical="center"/>
    </xf>
    <xf numFmtId="165" fontId="81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/>
    <xf numFmtId="14" fontId="81" fillId="2" borderId="14" xfId="0" applyNumberFormat="1" applyFont="1" applyFill="1" applyBorder="1" applyAlignment="1">
      <alignment horizontal="center" vertical="center"/>
    </xf>
    <xf numFmtId="0" fontId="81" fillId="2" borderId="15" xfId="0" applyFont="1" applyFill="1" applyBorder="1" applyAlignment="1">
      <alignment vertical="center"/>
    </xf>
    <xf numFmtId="165" fontId="81" fillId="2" borderId="15" xfId="1" applyNumberFormat="1" applyFont="1" applyFill="1" applyBorder="1" applyAlignment="1">
      <alignment horizontal="center" vertical="center"/>
    </xf>
    <xf numFmtId="166" fontId="81" fillId="2" borderId="15" xfId="0" applyNumberFormat="1" applyFont="1" applyFill="1" applyBorder="1" applyAlignment="1">
      <alignment horizontal="center" vertical="center"/>
    </xf>
    <xf numFmtId="9" fontId="81" fillId="2" borderId="15" xfId="2" applyFont="1" applyFill="1" applyBorder="1" applyAlignment="1">
      <alignment horizontal="center" vertical="center"/>
    </xf>
    <xf numFmtId="165" fontId="81" fillId="2" borderId="17" xfId="1" applyNumberFormat="1" applyFont="1" applyFill="1" applyBorder="1" applyAlignment="1">
      <alignment horizontal="center" vertical="center"/>
    </xf>
    <xf numFmtId="167" fontId="81" fillId="2" borderId="16" xfId="1" applyNumberFormat="1" applyFont="1" applyFill="1" applyBorder="1" applyAlignment="1">
      <alignment horizontal="center" vertical="center"/>
    </xf>
    <xf numFmtId="165" fontId="81" fillId="2" borderId="12" xfId="0" applyNumberFormat="1" applyFont="1" applyFill="1" applyBorder="1"/>
    <xf numFmtId="168" fontId="81" fillId="2" borderId="12" xfId="0" applyNumberFormat="1" applyFont="1" applyFill="1" applyBorder="1"/>
    <xf numFmtId="165" fontId="81" fillId="2" borderId="15" xfId="0" applyNumberFormat="1" applyFont="1" applyFill="1" applyBorder="1" applyAlignment="1">
      <alignment horizontal="center" vertical="center"/>
    </xf>
    <xf numFmtId="165" fontId="81" fillId="2" borderId="17" xfId="0" applyNumberFormat="1" applyFont="1" applyFill="1" applyBorder="1" applyAlignment="1">
      <alignment horizontal="center" vertical="center"/>
    </xf>
    <xf numFmtId="167" fontId="81" fillId="2" borderId="12" xfId="0" applyNumberFormat="1" applyFont="1" applyFill="1" applyBorder="1"/>
    <xf numFmtId="0" fontId="81" fillId="2" borderId="17" xfId="0" applyFont="1" applyFill="1" applyBorder="1" applyAlignment="1">
      <alignment vertical="center"/>
    </xf>
    <xf numFmtId="1" fontId="81" fillId="2" borderId="16" xfId="0" applyNumberFormat="1" applyFont="1" applyFill="1" applyBorder="1" applyAlignment="1">
      <alignment horizontal="center" vertical="center"/>
    </xf>
    <xf numFmtId="14" fontId="81" fillId="2" borderId="19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vertical="center"/>
    </xf>
    <xf numFmtId="165" fontId="81" fillId="2" borderId="20" xfId="1" applyNumberFormat="1" applyFont="1" applyFill="1" applyBorder="1" applyAlignment="1">
      <alignment horizontal="center" vertical="center"/>
    </xf>
    <xf numFmtId="166" fontId="81" fillId="2" borderId="21" xfId="0" applyNumberFormat="1" applyFont="1" applyFill="1" applyBorder="1" applyAlignment="1">
      <alignment horizontal="center" vertical="center"/>
    </xf>
    <xf numFmtId="9" fontId="81" fillId="2" borderId="21" xfId="2" applyFont="1" applyFill="1" applyBorder="1" applyAlignment="1">
      <alignment horizontal="center" vertical="center"/>
    </xf>
    <xf numFmtId="167" fontId="81" fillId="2" borderId="22" xfId="1" applyNumberFormat="1" applyFont="1" applyFill="1" applyBorder="1" applyAlignment="1">
      <alignment horizontal="center" vertical="center"/>
    </xf>
    <xf numFmtId="1" fontId="81" fillId="2" borderId="22" xfId="0" applyNumberFormat="1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165" fontId="81" fillId="2" borderId="20" xfId="0" applyNumberFormat="1" applyFont="1" applyFill="1" applyBorder="1" applyAlignment="1">
      <alignment horizontal="center" vertical="center"/>
    </xf>
    <xf numFmtId="165" fontId="81" fillId="2" borderId="23" xfId="0" applyNumberFormat="1" applyFont="1" applyFill="1" applyBorder="1" applyAlignment="1">
      <alignment horizontal="center" vertical="center"/>
    </xf>
    <xf numFmtId="165" fontId="81" fillId="2" borderId="25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0" fontId="81" fillId="2" borderId="27" xfId="0" applyFont="1" applyFill="1" applyBorder="1" applyAlignment="1">
      <alignment vertical="center"/>
    </xf>
    <xf numFmtId="165" fontId="81" fillId="2" borderId="27" xfId="1" applyNumberFormat="1" applyFont="1" applyFill="1" applyBorder="1" applyAlignment="1">
      <alignment horizontal="center" vertical="center"/>
    </xf>
    <xf numFmtId="166" fontId="81" fillId="2" borderId="27" xfId="0" applyNumberFormat="1" applyFont="1" applyFill="1" applyBorder="1" applyAlignment="1">
      <alignment horizontal="center" vertical="center"/>
    </xf>
    <xf numFmtId="9" fontId="81" fillId="2" borderId="27" xfId="2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vertical="center"/>
    </xf>
    <xf numFmtId="165" fontId="81" fillId="2" borderId="17" xfId="0" applyNumberFormat="1" applyFont="1" applyFill="1" applyBorder="1" applyAlignment="1">
      <alignment vertical="center"/>
    </xf>
    <xf numFmtId="175" fontId="81" fillId="2" borderId="27" xfId="2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1" xfId="0" applyFont="1" applyFill="1" applyBorder="1" applyAlignment="1">
      <alignment vertical="center"/>
    </xf>
    <xf numFmtId="165" fontId="76" fillId="4" borderId="21" xfId="1" applyNumberFormat="1" applyFont="1" applyFill="1" applyBorder="1" applyAlignment="1">
      <alignment horizontal="center" vertical="center"/>
    </xf>
    <xf numFmtId="166" fontId="76" fillId="4" borderId="21" xfId="0" applyNumberFormat="1" applyFont="1" applyFill="1" applyBorder="1" applyAlignment="1">
      <alignment horizontal="center" vertical="center"/>
    </xf>
    <xf numFmtId="9" fontId="76" fillId="4" borderId="21" xfId="2" applyFont="1" applyFill="1" applyBorder="1" applyAlignment="1">
      <alignment horizontal="center" vertical="center"/>
    </xf>
    <xf numFmtId="167" fontId="76" fillId="4" borderId="22" xfId="1" applyNumberFormat="1" applyFont="1" applyFill="1" applyBorder="1" applyAlignment="1">
      <alignment horizontal="center" vertical="center"/>
    </xf>
    <xf numFmtId="0" fontId="76" fillId="4" borderId="22" xfId="0" applyFont="1" applyFill="1" applyBorder="1" applyAlignment="1">
      <alignment horizontal="center" vertical="center"/>
    </xf>
    <xf numFmtId="1" fontId="76" fillId="4" borderId="22" xfId="0" applyNumberFormat="1" applyFont="1" applyFill="1" applyBorder="1" applyAlignment="1">
      <alignment horizontal="center" vertical="center"/>
    </xf>
    <xf numFmtId="165" fontId="76" fillId="4" borderId="21" xfId="0" applyNumberFormat="1" applyFont="1" applyFill="1" applyBorder="1" applyAlignment="1">
      <alignment horizontal="center" vertical="center"/>
    </xf>
    <xf numFmtId="165" fontId="81" fillId="4" borderId="28" xfId="0" applyNumberFormat="1" applyFont="1" applyFill="1" applyBorder="1" applyAlignment="1">
      <alignment horizontal="center" vertical="center"/>
    </xf>
    <xf numFmtId="0" fontId="76" fillId="4" borderId="17" xfId="0" applyFont="1" applyFill="1" applyBorder="1"/>
    <xf numFmtId="165" fontId="76" fillId="4" borderId="17" xfId="1" applyNumberFormat="1" applyFont="1" applyFill="1" applyBorder="1" applyAlignment="1">
      <alignment horizontal="center" vertical="center"/>
    </xf>
    <xf numFmtId="9" fontId="76" fillId="4" borderId="17" xfId="2" applyFont="1" applyFill="1" applyBorder="1" applyAlignment="1">
      <alignment horizontal="center" vertical="center"/>
    </xf>
    <xf numFmtId="1" fontId="76" fillId="4" borderId="17" xfId="0" applyNumberFormat="1" applyFont="1" applyFill="1" applyBorder="1" applyAlignment="1">
      <alignment horizontal="center"/>
    </xf>
    <xf numFmtId="165" fontId="7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6" fillId="4" borderId="6" xfId="0" applyNumberFormat="1" applyFont="1" applyFill="1" applyBorder="1" applyAlignment="1">
      <alignment horizontal="center" vertical="center"/>
    </xf>
    <xf numFmtId="165" fontId="76" fillId="4" borderId="54" xfId="0" applyNumberFormat="1" applyFont="1" applyFill="1" applyBorder="1" applyAlignment="1">
      <alignment vertical="center"/>
    </xf>
    <xf numFmtId="0" fontId="76" fillId="3" borderId="22" xfId="0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center" vertical="center"/>
    </xf>
    <xf numFmtId="0" fontId="76" fillId="3" borderId="21" xfId="0" applyFont="1" applyFill="1" applyBorder="1" applyAlignment="1">
      <alignment horizontal="center" vertical="center" wrapText="1"/>
    </xf>
    <xf numFmtId="0" fontId="76" fillId="20" borderId="28" xfId="0" applyFont="1" applyFill="1" applyBorder="1" applyAlignment="1">
      <alignment horizontal="center" vertical="center"/>
    </xf>
    <xf numFmtId="14" fontId="81" fillId="17" borderId="9" xfId="0" applyNumberFormat="1" applyFont="1" applyFill="1" applyBorder="1" applyAlignment="1">
      <alignment horizontal="center" vertical="center"/>
    </xf>
    <xf numFmtId="0" fontId="81" fillId="17" borderId="10" xfId="0" applyFont="1" applyFill="1" applyBorder="1" applyAlignment="1">
      <alignment vertical="center"/>
    </xf>
    <xf numFmtId="165" fontId="81" fillId="17" borderId="10" xfId="1" applyNumberFormat="1" applyFont="1" applyFill="1" applyBorder="1" applyAlignment="1">
      <alignment horizontal="center" vertical="center"/>
    </xf>
    <xf numFmtId="166" fontId="81" fillId="17" borderId="10" xfId="0" applyNumberFormat="1" applyFont="1" applyFill="1" applyBorder="1" applyAlignment="1">
      <alignment horizontal="center" vertical="center"/>
    </xf>
    <xf numFmtId="9" fontId="81" fillId="17" borderId="10" xfId="2" applyFont="1" applyFill="1" applyBorder="1" applyAlignment="1">
      <alignment horizontal="center" vertical="center"/>
    </xf>
    <xf numFmtId="167" fontId="81" fillId="17" borderId="11" xfId="1" applyNumberFormat="1" applyFont="1" applyFill="1" applyBorder="1" applyAlignment="1">
      <alignment horizontal="center" vertical="center"/>
    </xf>
    <xf numFmtId="1" fontId="81" fillId="17" borderId="11" xfId="0" applyNumberFormat="1" applyFont="1" applyFill="1" applyBorder="1" applyAlignment="1">
      <alignment horizontal="center" vertical="center"/>
    </xf>
    <xf numFmtId="165" fontId="81" fillId="17" borderId="10" xfId="0" applyNumberFormat="1" applyFont="1" applyFill="1" applyBorder="1" applyAlignment="1">
      <alignment horizontal="center" vertical="center"/>
    </xf>
    <xf numFmtId="0" fontId="81" fillId="17" borderId="12" xfId="0" applyFont="1" applyFill="1" applyBorder="1"/>
    <xf numFmtId="14" fontId="81" fillId="17" borderId="14" xfId="0" applyNumberFormat="1" applyFont="1" applyFill="1" applyBorder="1" applyAlignment="1">
      <alignment horizontal="center" vertical="center"/>
    </xf>
    <xf numFmtId="0" fontId="81" fillId="17" borderId="15" xfId="0" applyFont="1" applyFill="1" applyBorder="1" applyAlignment="1">
      <alignment vertical="center"/>
    </xf>
    <xf numFmtId="165" fontId="81" fillId="17" borderId="17" xfId="1" applyNumberFormat="1" applyFont="1" applyFill="1" applyBorder="1" applyAlignment="1">
      <alignment horizontal="center" vertical="center"/>
    </xf>
    <xf numFmtId="9" fontId="81" fillId="17" borderId="15" xfId="2" applyFont="1" applyFill="1" applyBorder="1" applyAlignment="1">
      <alignment horizontal="center" vertical="center"/>
    </xf>
    <xf numFmtId="167" fontId="81" fillId="17" borderId="16" xfId="1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165" fontId="81" fillId="17" borderId="12" xfId="0" applyNumberFormat="1" applyFont="1" applyFill="1" applyBorder="1"/>
    <xf numFmtId="165" fontId="81" fillId="17" borderId="17" xfId="0" applyNumberFormat="1" applyFont="1" applyFill="1" applyBorder="1" applyAlignment="1">
      <alignment horizontal="center" vertical="center"/>
    </xf>
    <xf numFmtId="0" fontId="81" fillId="17" borderId="17" xfId="0" applyFont="1" applyFill="1" applyBorder="1" applyAlignment="1">
      <alignment vertical="center"/>
    </xf>
    <xf numFmtId="1" fontId="81" fillId="17" borderId="16" xfId="0" applyNumberFormat="1" applyFont="1" applyFill="1" applyBorder="1" applyAlignment="1">
      <alignment horizontal="center" vertical="center"/>
    </xf>
    <xf numFmtId="0" fontId="7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left" vertical="center"/>
    </xf>
    <xf numFmtId="0" fontId="81" fillId="2" borderId="12" xfId="0" applyFont="1" applyFill="1" applyBorder="1" applyAlignment="1">
      <alignment wrapText="1"/>
    </xf>
    <xf numFmtId="0" fontId="3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1" fillId="4" borderId="12" xfId="0" applyFont="1" applyFill="1" applyBorder="1" applyAlignment="1">
      <alignment horizontal="center" wrapText="1"/>
    </xf>
    <xf numFmtId="166" fontId="82" fillId="17" borderId="10" xfId="0" applyNumberFormat="1" applyFont="1" applyFill="1" applyBorder="1" applyAlignment="1">
      <alignment horizontal="center" vertical="center"/>
    </xf>
    <xf numFmtId="166" fontId="82" fillId="2" borderId="21" xfId="0" applyNumberFormat="1" applyFont="1" applyFill="1" applyBorder="1" applyAlignment="1">
      <alignment horizontal="center" vertical="center"/>
    </xf>
    <xf numFmtId="166" fontId="82" fillId="17" borderId="15" xfId="0" applyNumberFormat="1" applyFont="1" applyFill="1" applyBorder="1" applyAlignment="1">
      <alignment horizontal="center" vertical="center"/>
    </xf>
    <xf numFmtId="166" fontId="82" fillId="2" borderId="15" xfId="0" applyNumberFormat="1" applyFont="1" applyFill="1" applyBorder="1" applyAlignment="1">
      <alignment horizontal="center" vertical="center"/>
    </xf>
    <xf numFmtId="166" fontId="82" fillId="2" borderId="10" xfId="0" applyNumberFormat="1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vertical="center"/>
    </xf>
    <xf numFmtId="0" fontId="3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6" fillId="18" borderId="12" xfId="0" applyFont="1" applyFill="1" applyBorder="1" applyAlignment="1">
      <alignment horizontal="center"/>
    </xf>
    <xf numFmtId="0" fontId="6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1" fillId="18" borderId="12" xfId="0" applyNumberFormat="1" applyFont="1" applyFill="1" applyBorder="1" applyAlignment="1">
      <alignment horizontal="center" wrapText="1"/>
    </xf>
    <xf numFmtId="0" fontId="61" fillId="2" borderId="12" xfId="0" applyFont="1" applyFill="1" applyBorder="1"/>
    <xf numFmtId="14" fontId="35" fillId="2" borderId="12" xfId="0" applyNumberFormat="1" applyFont="1" applyFill="1" applyBorder="1"/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/>
    </xf>
    <xf numFmtId="173" fontId="66" fillId="0" borderId="47" xfId="0" applyNumberFormat="1" applyFont="1" applyBorder="1" applyAlignment="1">
      <alignment horizontal="center"/>
    </xf>
    <xf numFmtId="1" fontId="66" fillId="0" borderId="20" xfId="0" applyNumberFormat="1" applyFont="1" applyBorder="1" applyAlignment="1">
      <alignment horizontal="center"/>
    </xf>
    <xf numFmtId="174" fontId="66" fillId="0" borderId="20" xfId="0" applyNumberFormat="1" applyFont="1" applyBorder="1" applyAlignment="1">
      <alignment horizontal="center"/>
    </xf>
    <xf numFmtId="0" fontId="66" fillId="0" borderId="20" xfId="0" applyFont="1" applyBorder="1"/>
    <xf numFmtId="9" fontId="66" fillId="0" borderId="20" xfId="0" applyNumberFormat="1" applyFont="1" applyBorder="1" applyAlignment="1">
      <alignment horizontal="center"/>
    </xf>
    <xf numFmtId="0" fontId="66" fillId="0" borderId="20" xfId="0" applyFont="1" applyBorder="1" applyAlignment="1">
      <alignment horizontal="center"/>
    </xf>
    <xf numFmtId="9" fontId="66" fillId="0" borderId="20" xfId="2" applyFont="1" applyBorder="1" applyAlignment="1">
      <alignment horizontal="center" vertical="center"/>
    </xf>
    <xf numFmtId="173" fontId="66" fillId="14" borderId="12" xfId="0" applyNumberFormat="1" applyFont="1" applyFill="1" applyBorder="1" applyAlignment="1">
      <alignment horizontal="center"/>
    </xf>
    <xf numFmtId="43" fontId="66" fillId="14" borderId="12" xfId="1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/>
    </xf>
    <xf numFmtId="0" fontId="66" fillId="14" borderId="12" xfId="0" applyFont="1" applyFill="1" applyBorder="1"/>
    <xf numFmtId="1" fontId="66" fillId="21" borderId="12" xfId="0" applyNumberFormat="1" applyFont="1" applyFill="1" applyBorder="1" applyAlignment="1">
      <alignment horizontal="center"/>
    </xf>
    <xf numFmtId="2" fontId="66" fillId="21" borderId="12" xfId="0" applyNumberFormat="1" applyFont="1" applyFill="1" applyBorder="1" applyAlignment="1">
      <alignment horizontal="center"/>
    </xf>
    <xf numFmtId="176" fontId="66" fillId="21" borderId="12" xfId="0" applyNumberFormat="1" applyFont="1" applyFill="1" applyBorder="1" applyAlignment="1">
      <alignment horizontal="center"/>
    </xf>
    <xf numFmtId="9" fontId="66" fillId="21" borderId="12" xfId="0" applyNumberFormat="1" applyFont="1" applyFill="1" applyBorder="1" applyAlignment="1">
      <alignment horizontal="center"/>
    </xf>
    <xf numFmtId="0" fontId="66" fillId="14" borderId="12" xfId="0" applyFont="1" applyFill="1" applyBorder="1" applyAlignment="1">
      <alignment horizontal="center"/>
    </xf>
    <xf numFmtId="0" fontId="68" fillId="21" borderId="12" xfId="0" applyFont="1" applyFill="1" applyBorder="1" applyAlignment="1">
      <alignment horizontal="center" wrapText="1"/>
    </xf>
    <xf numFmtId="43" fontId="66" fillId="21" borderId="12" xfId="1" applyFont="1" applyFill="1" applyBorder="1" applyAlignment="1">
      <alignment horizontal="center"/>
    </xf>
    <xf numFmtId="1" fontId="66" fillId="14" borderId="48" xfId="0" applyNumberFormat="1" applyFont="1" applyFill="1" applyBorder="1" applyAlignment="1">
      <alignment horizontal="center"/>
    </xf>
    <xf numFmtId="0" fontId="6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6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64" fillId="16" borderId="0" xfId="0" applyFont="1" applyFill="1"/>
    <xf numFmtId="0" fontId="0" fillId="16" borderId="0" xfId="0" applyFill="1"/>
    <xf numFmtId="180" fontId="64" fillId="16" borderId="0" xfId="3" applyNumberFormat="1" applyFont="1" applyFill="1"/>
    <xf numFmtId="0" fontId="61" fillId="0" borderId="0" xfId="0" applyFont="1" applyAlignment="1">
      <alignment horizontal="center"/>
    </xf>
    <xf numFmtId="0" fontId="61" fillId="18" borderId="7" xfId="0" applyFont="1" applyFill="1" applyBorder="1" applyAlignment="1">
      <alignment horizontal="center"/>
    </xf>
    <xf numFmtId="0" fontId="6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1" fillId="4" borderId="12" xfId="0" applyNumberFormat="1" applyFont="1" applyFill="1" applyBorder="1" applyAlignment="1">
      <alignment horizontal="center"/>
    </xf>
    <xf numFmtId="0" fontId="6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7" fillId="2" borderId="7" xfId="0" applyFont="1" applyFill="1" applyBorder="1" applyAlignment="1">
      <alignment vertic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0" fillId="2" borderId="13" xfId="0" applyNumberFormat="1" applyFont="1" applyFill="1" applyBorder="1" applyAlignment="1">
      <alignment vertical="center"/>
    </xf>
    <xf numFmtId="14" fontId="60" fillId="2" borderId="14" xfId="0" applyNumberFormat="1" applyFont="1" applyFill="1" applyBorder="1" applyAlignment="1">
      <alignment vertical="center"/>
    </xf>
    <xf numFmtId="1" fontId="7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14" fontId="21" fillId="2" borderId="20" xfId="0" applyNumberFormat="1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0" fillId="2" borderId="12" xfId="0" applyNumberFormat="1" applyFont="1" applyFill="1" applyBorder="1" applyAlignment="1">
      <alignment horizontal="center" vertical="center"/>
    </xf>
    <xf numFmtId="1" fontId="60" fillId="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20" fontId="60" fillId="23" borderId="12" xfId="0" applyNumberFormat="1" applyFont="1" applyFill="1" applyBorder="1" applyAlignment="1">
      <alignment horizontal="center" vertical="center"/>
    </xf>
    <xf numFmtId="1" fontId="60" fillId="23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20" fontId="60" fillId="22" borderId="12" xfId="0" applyNumberFormat="1" applyFont="1" applyFill="1" applyBorder="1" applyAlignment="1">
      <alignment horizontal="center" vertical="center"/>
    </xf>
    <xf numFmtId="1" fontId="60" fillId="22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14" fontId="31" fillId="22" borderId="10" xfId="0" applyNumberFormat="1" applyFont="1" applyFill="1" applyBorder="1" applyAlignment="1">
      <alignment horizontal="center" vertical="center"/>
    </xf>
    <xf numFmtId="14" fontId="31" fillId="22" borderId="17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1" fillId="23" borderId="17" xfId="0" applyNumberFormat="1" applyFont="1" applyFill="1" applyBorder="1" applyAlignment="1">
      <alignment horizontal="center" vertical="center"/>
    </xf>
    <xf numFmtId="14" fontId="60" fillId="23" borderId="17" xfId="0" applyNumberFormat="1" applyFont="1" applyFill="1" applyBorder="1" applyAlignment="1">
      <alignment horizontal="center" vertical="center"/>
    </xf>
    <xf numFmtId="14" fontId="3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4" fillId="22" borderId="28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2" fillId="23" borderId="20" xfId="0" applyNumberFormat="1" applyFont="1" applyFill="1" applyBorder="1" applyAlignment="1">
      <alignment horizontal="center" vertical="center"/>
    </xf>
    <xf numFmtId="14" fontId="21" fillId="23" borderId="20" xfId="0" applyNumberFormat="1" applyFont="1" applyFill="1" applyBorder="1" applyAlignment="1">
      <alignment horizontal="center" vertical="center"/>
    </xf>
    <xf numFmtId="14" fontId="2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1" fillId="2" borderId="0" xfId="0" applyFont="1" applyFill="1"/>
    <xf numFmtId="0" fontId="61" fillId="22" borderId="10" xfId="0" applyFont="1" applyFill="1" applyBorder="1" applyAlignment="1">
      <alignment horizontal="center"/>
    </xf>
    <xf numFmtId="0" fontId="61" fillId="22" borderId="17" xfId="0" applyFont="1" applyFill="1" applyBorder="1" applyAlignment="1">
      <alignment horizontal="center"/>
    </xf>
    <xf numFmtId="0" fontId="61" fillId="23" borderId="10" xfId="0" applyFont="1" applyFill="1" applyBorder="1" applyAlignment="1">
      <alignment horizontal="center"/>
    </xf>
    <xf numFmtId="0" fontId="61" fillId="23" borderId="17" xfId="0" applyFont="1" applyFill="1" applyBorder="1" applyAlignment="1">
      <alignment horizontal="center"/>
    </xf>
    <xf numFmtId="0" fontId="61" fillId="23" borderId="28" xfId="0" applyFont="1" applyFill="1" applyBorder="1" applyAlignment="1">
      <alignment horizontal="center"/>
    </xf>
    <xf numFmtId="0" fontId="61" fillId="23" borderId="20" xfId="0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/>
    </xf>
    <xf numFmtId="0" fontId="61" fillId="22" borderId="28" xfId="0" applyFont="1" applyFill="1" applyBorder="1" applyAlignment="1">
      <alignment horizontal="center"/>
    </xf>
    <xf numFmtId="0" fontId="61" fillId="23" borderId="12" xfId="0" applyFont="1" applyFill="1" applyBorder="1" applyAlignment="1">
      <alignment horizontal="center"/>
    </xf>
    <xf numFmtId="0" fontId="61" fillId="2" borderId="20" xfId="0" applyFont="1" applyFill="1" applyBorder="1" applyAlignment="1">
      <alignment horizontal="center"/>
    </xf>
    <xf numFmtId="0" fontId="61" fillId="2" borderId="10" xfId="0" applyFont="1" applyFill="1" applyBorder="1" applyAlignment="1">
      <alignment horizontal="center"/>
    </xf>
    <xf numFmtId="14" fontId="28" fillId="22" borderId="12" xfId="0" applyNumberFormat="1" applyFont="1" applyFill="1" applyBorder="1" applyAlignment="1">
      <alignment horizontal="center" vertical="center" wrapText="1"/>
    </xf>
    <xf numFmtId="14" fontId="2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0" fontId="61" fillId="3" borderId="0" xfId="0" applyFont="1" applyFill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top" wrapText="1"/>
    </xf>
    <xf numFmtId="0" fontId="30" fillId="22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left" vertical="center" wrapText="1"/>
    </xf>
    <xf numFmtId="20" fontId="54" fillId="23" borderId="12" xfId="0" applyNumberFormat="1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/>
    </xf>
    <xf numFmtId="0" fontId="5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1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8" fillId="2" borderId="20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" fontId="60" fillId="23" borderId="28" xfId="0" applyNumberFormat="1" applyFont="1" applyFill="1" applyBorder="1" applyAlignment="1">
      <alignment horizontal="center" vertical="center"/>
    </xf>
    <xf numFmtId="0" fontId="47" fillId="23" borderId="20" xfId="0" applyFont="1" applyFill="1" applyBorder="1" applyAlignment="1">
      <alignment horizontal="center" vertical="center"/>
    </xf>
    <xf numFmtId="20" fontId="60" fillId="23" borderId="20" xfId="0" applyNumberFormat="1" applyFont="1" applyFill="1" applyBorder="1" applyAlignment="1">
      <alignment horizontal="center" vertical="center"/>
    </xf>
    <xf numFmtId="0" fontId="46" fillId="23" borderId="28" xfId="0" applyFont="1" applyFill="1" applyBorder="1" applyAlignment="1">
      <alignment horizontal="center" vertical="center"/>
    </xf>
    <xf numFmtId="20" fontId="60" fillId="23" borderId="28" xfId="0" applyNumberFormat="1" applyFont="1" applyFill="1" applyBorder="1" applyAlignment="1">
      <alignment horizontal="center" vertical="center"/>
    </xf>
    <xf numFmtId="0" fontId="46" fillId="23" borderId="70" xfId="0" applyFont="1" applyFill="1" applyBorder="1" applyAlignment="1">
      <alignment horizontal="center" vertical="center"/>
    </xf>
    <xf numFmtId="20" fontId="60" fillId="23" borderId="70" xfId="0" applyNumberFormat="1" applyFont="1" applyFill="1" applyBorder="1" applyAlignment="1">
      <alignment horizontal="center" vertical="center"/>
    </xf>
    <xf numFmtId="1" fontId="60" fillId="23" borderId="70" xfId="0" applyNumberFormat="1" applyFont="1" applyFill="1" applyBorder="1" applyAlignment="1">
      <alignment horizontal="center" vertical="center"/>
    </xf>
    <xf numFmtId="0" fontId="18" fillId="23" borderId="70" xfId="0" applyFont="1" applyFill="1" applyBorder="1" applyAlignment="1">
      <alignment horizontal="left" vertical="center" wrapText="1"/>
    </xf>
    <xf numFmtId="1" fontId="60" fillId="22" borderId="7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left"/>
    </xf>
    <xf numFmtId="0" fontId="18" fillId="22" borderId="68" xfId="0" applyFont="1" applyFill="1" applyBorder="1" applyAlignment="1">
      <alignment horizontal="left" vertical="center" wrapText="1"/>
    </xf>
    <xf numFmtId="1" fontId="6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6" fillId="23" borderId="68" xfId="0" applyFont="1" applyFill="1" applyBorder="1" applyAlignment="1">
      <alignment horizontal="left" vertical="center" wrapText="1"/>
    </xf>
    <xf numFmtId="0" fontId="16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6" fillId="24" borderId="47" xfId="0" applyFont="1" applyFill="1" applyBorder="1"/>
    <xf numFmtId="173" fontId="66" fillId="24" borderId="48" xfId="0" applyNumberFormat="1" applyFont="1" applyFill="1" applyBorder="1" applyAlignment="1">
      <alignment horizontal="center"/>
    </xf>
    <xf numFmtId="1" fontId="66" fillId="24" borderId="48" xfId="0" applyNumberFormat="1" applyFont="1" applyFill="1" applyBorder="1" applyAlignment="1">
      <alignment horizontal="center"/>
    </xf>
    <xf numFmtId="174" fontId="66" fillId="24" borderId="48" xfId="0" applyNumberFormat="1" applyFont="1" applyFill="1" applyBorder="1" applyAlignment="1">
      <alignment horizontal="center"/>
    </xf>
    <xf numFmtId="176" fontId="66" fillId="24" borderId="48" xfId="0" applyNumberFormat="1" applyFont="1" applyFill="1" applyBorder="1" applyAlignment="1">
      <alignment horizontal="center"/>
    </xf>
    <xf numFmtId="9" fontId="66" fillId="24" borderId="48" xfId="0" applyNumberFormat="1" applyFont="1" applyFill="1" applyBorder="1" applyAlignment="1">
      <alignment horizontal="center"/>
    </xf>
    <xf numFmtId="9" fontId="66" fillId="24" borderId="49" xfId="0" applyNumberFormat="1" applyFont="1" applyFill="1" applyBorder="1" applyAlignment="1">
      <alignment horizontal="center"/>
    </xf>
    <xf numFmtId="9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/>
    <xf numFmtId="0" fontId="66" fillId="24" borderId="48" xfId="0" applyFont="1" applyFill="1" applyBorder="1"/>
    <xf numFmtId="0" fontId="66" fillId="24" borderId="48" xfId="0" applyFont="1" applyFill="1" applyBorder="1" applyAlignment="1">
      <alignment horizontal="center"/>
    </xf>
    <xf numFmtId="9" fontId="66" fillId="24" borderId="48" xfId="2" applyFont="1" applyFill="1" applyBorder="1" applyAlignment="1">
      <alignment horizontal="center" vertical="center"/>
    </xf>
    <xf numFmtId="0" fontId="66" fillId="24" borderId="0" xfId="0" applyFont="1" applyFill="1"/>
    <xf numFmtId="0" fontId="0" fillId="24" borderId="0" xfId="0" applyFill="1"/>
    <xf numFmtId="0" fontId="66" fillId="24" borderId="47" xfId="0" applyFont="1" applyFill="1" applyBorder="1" applyAlignment="1">
      <alignment horizontal="center"/>
    </xf>
    <xf numFmtId="0" fontId="66" fillId="24" borderId="50" xfId="0" applyFont="1" applyFill="1" applyBorder="1" applyAlignment="1">
      <alignment horizontal="center"/>
    </xf>
    <xf numFmtId="1" fontId="66" fillId="24" borderId="50" xfId="0" applyNumberFormat="1" applyFont="1" applyFill="1" applyBorder="1" applyAlignment="1">
      <alignment horizontal="center"/>
    </xf>
    <xf numFmtId="176" fontId="6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6" fillId="24" borderId="49" xfId="0" applyFont="1" applyFill="1" applyBorder="1"/>
    <xf numFmtId="0" fontId="66" fillId="24" borderId="49" xfId="0" applyFont="1" applyFill="1" applyBorder="1" applyAlignment="1">
      <alignment horizontal="center"/>
    </xf>
    <xf numFmtId="9" fontId="66" fillId="24" borderId="47" xfId="0" applyNumberFormat="1" applyFont="1" applyFill="1" applyBorder="1" applyAlignment="1">
      <alignment horizontal="center"/>
    </xf>
    <xf numFmtId="2" fontId="66" fillId="24" borderId="48" xfId="0" applyNumberFormat="1" applyFont="1" applyFill="1" applyBorder="1" applyAlignment="1">
      <alignment horizontal="center"/>
    </xf>
    <xf numFmtId="1" fontId="66" fillId="24" borderId="47" xfId="0" applyNumberFormat="1" applyFont="1" applyFill="1" applyBorder="1" applyAlignment="1">
      <alignment horizontal="center"/>
    </xf>
    <xf numFmtId="174" fontId="66" fillId="24" borderId="47" xfId="0" applyNumberFormat="1" applyFont="1" applyFill="1" applyBorder="1" applyAlignment="1">
      <alignment horizontal="center"/>
    </xf>
    <xf numFmtId="9" fontId="66" fillId="24" borderId="47" xfId="2" applyFont="1" applyFill="1" applyBorder="1" applyAlignment="1">
      <alignment horizontal="center" vertical="center"/>
    </xf>
    <xf numFmtId="1" fontId="66" fillId="24" borderId="12" xfId="0" applyNumberFormat="1" applyFont="1" applyFill="1" applyBorder="1" applyAlignment="1">
      <alignment horizontal="center"/>
    </xf>
    <xf numFmtId="174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 applyAlignment="1">
      <alignment horizontal="center"/>
    </xf>
    <xf numFmtId="9" fontId="66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4" fillId="2" borderId="17" xfId="0" applyNumberFormat="1" applyFont="1" applyFill="1" applyBorder="1" applyAlignment="1">
      <alignment horizontal="center" vertical="center"/>
    </xf>
    <xf numFmtId="0" fontId="61" fillId="17" borderId="0" xfId="0" applyFont="1" applyFill="1" applyAlignment="1">
      <alignment horizontal="center" vertical="center"/>
    </xf>
    <xf numFmtId="14" fontId="19" fillId="22" borderId="20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8" fillId="23" borderId="28" xfId="0" applyNumberFormat="1" applyFont="1" applyFill="1" applyBorder="1" applyAlignment="1">
      <alignment horizontal="left" vertical="center" wrapText="1"/>
    </xf>
    <xf numFmtId="0" fontId="61" fillId="23" borderId="21" xfId="0" applyFont="1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4" fontId="18" fillId="23" borderId="17" xfId="0" applyNumberFormat="1" applyFont="1" applyFill="1" applyBorder="1" applyAlignment="1">
      <alignment horizontal="left" vertical="center" wrapText="1"/>
    </xf>
    <xf numFmtId="14" fontId="1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2" fillId="17" borderId="28" xfId="0" applyNumberFormat="1" applyFont="1" applyFill="1" applyBorder="1" applyAlignment="1">
      <alignment horizontal="left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4" fillId="5" borderId="18" xfId="0" applyFont="1" applyFill="1" applyBorder="1"/>
    <xf numFmtId="0" fontId="64" fillId="5" borderId="67" xfId="0" applyFont="1" applyFill="1" applyBorder="1"/>
    <xf numFmtId="170" fontId="64" fillId="5" borderId="0" xfId="3" applyNumberFormat="1" applyFont="1" applyFill="1" applyBorder="1"/>
    <xf numFmtId="0" fontId="64" fillId="5" borderId="13" xfId="0" applyFont="1" applyFill="1" applyBorder="1"/>
    <xf numFmtId="0" fontId="64" fillId="5" borderId="51" xfId="0" applyFont="1" applyFill="1" applyBorder="1"/>
    <xf numFmtId="0" fontId="64" fillId="5" borderId="26" xfId="0" applyFont="1" applyFill="1" applyBorder="1"/>
    <xf numFmtId="181" fontId="0" fillId="2" borderId="0" xfId="0" applyNumberFormat="1" applyFill="1"/>
    <xf numFmtId="0" fontId="65" fillId="5" borderId="0" xfId="0" applyFont="1" applyFill="1"/>
    <xf numFmtId="169" fontId="64" fillId="5" borderId="0" xfId="3" applyNumberFormat="1" applyFont="1" applyFill="1" applyBorder="1"/>
    <xf numFmtId="10" fontId="6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3" fillId="2" borderId="0" xfId="0" applyFont="1" applyFill="1"/>
    <xf numFmtId="180" fontId="64" fillId="0" borderId="72" xfId="3" applyNumberFormat="1" applyFont="1" applyFill="1" applyBorder="1"/>
    <xf numFmtId="0" fontId="61" fillId="3" borderId="71" xfId="0" applyFont="1" applyFill="1" applyBorder="1"/>
    <xf numFmtId="178" fontId="0" fillId="2" borderId="72" xfId="0" applyNumberFormat="1" applyFill="1" applyBorder="1"/>
    <xf numFmtId="0" fontId="64" fillId="23" borderId="18" xfId="0" applyFont="1" applyFill="1" applyBorder="1"/>
    <xf numFmtId="0" fontId="64" fillId="23" borderId="0" xfId="0" applyFont="1" applyFill="1"/>
    <xf numFmtId="171" fontId="64" fillId="23" borderId="0" xfId="0" applyNumberFormat="1" applyFont="1" applyFill="1"/>
    <xf numFmtId="0" fontId="64" fillId="23" borderId="67" xfId="0" applyFont="1" applyFill="1" applyBorder="1"/>
    <xf numFmtId="172" fontId="64" fillId="23" borderId="0" xfId="0" applyNumberFormat="1" applyFont="1" applyFill="1"/>
    <xf numFmtId="1" fontId="60" fillId="23" borderId="20" xfId="0" applyNumberFormat="1" applyFont="1" applyFill="1" applyBorder="1" applyAlignment="1">
      <alignment horizontal="center" vertical="center"/>
    </xf>
    <xf numFmtId="0" fontId="16" fillId="23" borderId="20" xfId="0" applyFont="1" applyFill="1" applyBorder="1" applyAlignment="1">
      <alignment horizontal="left" vertical="center"/>
    </xf>
    <xf numFmtId="14" fontId="60" fillId="23" borderId="74" xfId="0" applyNumberFormat="1" applyFont="1" applyFill="1" applyBorder="1" applyAlignment="1">
      <alignment horizontal="center" vertical="center"/>
    </xf>
    <xf numFmtId="20" fontId="60" fillId="23" borderId="74" xfId="0" applyNumberFormat="1" applyFont="1" applyFill="1" applyBorder="1" applyAlignment="1">
      <alignment horizontal="center" vertical="center"/>
    </xf>
    <xf numFmtId="1" fontId="60" fillId="23" borderId="74" xfId="0" applyNumberFormat="1" applyFont="1" applyFill="1" applyBorder="1" applyAlignment="1">
      <alignment horizontal="center" vertical="center"/>
    </xf>
    <xf numFmtId="0" fontId="19" fillId="23" borderId="74" xfId="0" applyFont="1" applyFill="1" applyBorder="1" applyAlignment="1">
      <alignment horizontal="left" vertical="center" wrapText="1"/>
    </xf>
    <xf numFmtId="0" fontId="45" fillId="23" borderId="76" xfId="0" applyFont="1" applyFill="1" applyBorder="1" applyAlignment="1">
      <alignment horizontal="center" vertical="center"/>
    </xf>
    <xf numFmtId="20" fontId="60" fillId="23" borderId="76" xfId="0" applyNumberFormat="1" applyFont="1" applyFill="1" applyBorder="1" applyAlignment="1">
      <alignment horizontal="center" vertical="center"/>
    </xf>
    <xf numFmtId="1" fontId="60" fillId="23" borderId="76" xfId="0" applyNumberFormat="1" applyFont="1" applyFill="1" applyBorder="1" applyAlignment="1">
      <alignment horizontal="center" vertical="center"/>
    </xf>
    <xf numFmtId="0" fontId="45" fillId="23" borderId="76" xfId="0" applyFont="1" applyFill="1" applyBorder="1" applyAlignment="1">
      <alignment horizontal="left" vertical="center"/>
    </xf>
    <xf numFmtId="20" fontId="60" fillId="22" borderId="28" xfId="0" applyNumberFormat="1" applyFont="1" applyFill="1" applyBorder="1" applyAlignment="1">
      <alignment horizontal="center" vertical="center"/>
    </xf>
    <xf numFmtId="1" fontId="60" fillId="22" borderId="28" xfId="0" applyNumberFormat="1" applyFont="1" applyFill="1" applyBorder="1" applyAlignment="1">
      <alignment horizontal="center" vertical="center"/>
    </xf>
    <xf numFmtId="0" fontId="12" fillId="22" borderId="28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left" vertical="center" wrapText="1"/>
    </xf>
    <xf numFmtId="14" fontId="14" fillId="23" borderId="12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1" fillId="23" borderId="74" xfId="0" applyFont="1" applyFill="1" applyBorder="1" applyAlignment="1">
      <alignment horizontal="center" vertical="center"/>
    </xf>
    <xf numFmtId="0" fontId="1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9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/>
    </xf>
    <xf numFmtId="1" fontId="61" fillId="22" borderId="27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/>
    </xf>
    <xf numFmtId="176" fontId="61" fillId="22" borderId="23" xfId="0" applyNumberFormat="1" applyFont="1" applyFill="1" applyBorder="1" applyAlignment="1">
      <alignment horizontal="center" vertical="center"/>
    </xf>
    <xf numFmtId="176" fontId="61" fillId="22" borderId="11" xfId="0" applyNumberFormat="1" applyFont="1" applyFill="1" applyBorder="1" applyAlignment="1">
      <alignment horizontal="center" vertical="center"/>
    </xf>
    <xf numFmtId="176" fontId="61" fillId="22" borderId="25" xfId="0" applyNumberFormat="1" applyFont="1" applyFill="1" applyBorder="1" applyAlignment="1">
      <alignment horizontal="center" vertical="center"/>
    </xf>
    <xf numFmtId="176" fontId="61" fillId="22" borderId="54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1" fillId="23" borderId="10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horizontal="center"/>
    </xf>
    <xf numFmtId="0" fontId="54" fillId="22" borderId="12" xfId="0" applyFont="1" applyFill="1" applyBorder="1" applyAlignment="1">
      <alignment horizontal="center" vertical="center"/>
    </xf>
    <xf numFmtId="20" fontId="54" fillId="22" borderId="12" xfId="0" applyNumberFormat="1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left" vertical="center" wrapText="1"/>
    </xf>
    <xf numFmtId="14" fontId="31" fillId="23" borderId="20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9" fillId="2" borderId="28" xfId="0" applyNumberFormat="1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 wrapText="1"/>
    </xf>
    <xf numFmtId="1" fontId="61" fillId="23" borderId="74" xfId="0" applyNumberFormat="1" applyFont="1" applyFill="1" applyBorder="1" applyAlignment="1">
      <alignment horizontal="center"/>
    </xf>
    <xf numFmtId="1" fontId="6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14" fontId="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61" fillId="23" borderId="7" xfId="0" applyFont="1" applyFill="1" applyBorder="1" applyAlignment="1">
      <alignment horizontal="center"/>
    </xf>
    <xf numFmtId="1" fontId="61" fillId="23" borderId="12" xfId="0" applyNumberFormat="1" applyFont="1" applyFill="1" applyBorder="1" applyAlignment="1">
      <alignment horizontal="center"/>
    </xf>
    <xf numFmtId="14" fontId="61" fillId="23" borderId="12" xfId="0" applyNumberFormat="1" applyFont="1" applyFill="1" applyBorder="1" applyAlignment="1">
      <alignment horizontal="center" vertical="center"/>
    </xf>
    <xf numFmtId="176" fontId="61" fillId="23" borderId="25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center" vertical="center"/>
    </xf>
    <xf numFmtId="166" fontId="60" fillId="23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0" fontId="5" fillId="22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/>
    </xf>
    <xf numFmtId="14" fontId="61" fillId="22" borderId="12" xfId="0" applyNumberFormat="1" applyFont="1" applyFill="1" applyBorder="1" applyAlignment="1">
      <alignment horizontal="center" vertical="center" wrapText="1"/>
    </xf>
    <xf numFmtId="14" fontId="18" fillId="23" borderId="12" xfId="0" applyNumberFormat="1" applyFont="1" applyFill="1" applyBorder="1" applyAlignment="1">
      <alignment horizontal="center" vertical="center" wrapText="1"/>
    </xf>
    <xf numFmtId="14" fontId="17" fillId="22" borderId="12" xfId="0" applyNumberFormat="1" applyFont="1" applyFill="1" applyBorder="1" applyAlignment="1">
      <alignment horizontal="center" vertical="center" wrapText="1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4" fillId="2" borderId="1" xfId="0" applyFont="1" applyFill="1" applyBorder="1"/>
    <xf numFmtId="0" fontId="84" fillId="2" borderId="2" xfId="0" applyFont="1" applyFill="1" applyBorder="1"/>
    <xf numFmtId="0" fontId="84" fillId="2" borderId="3" xfId="0" applyFont="1" applyFill="1" applyBorder="1"/>
    <xf numFmtId="0" fontId="84" fillId="2" borderId="0" xfId="0" applyFont="1" applyFill="1"/>
    <xf numFmtId="0" fontId="85" fillId="2" borderId="18" xfId="0" applyFont="1" applyFill="1" applyBorder="1" applyAlignment="1">
      <alignment horizontal="center"/>
    </xf>
    <xf numFmtId="0" fontId="86" fillId="2" borderId="18" xfId="0" applyFont="1" applyFill="1" applyBorder="1"/>
    <xf numFmtId="0" fontId="85" fillId="2" borderId="1" xfId="0" applyFont="1" applyFill="1" applyBorder="1"/>
    <xf numFmtId="0" fontId="85" fillId="2" borderId="2" xfId="0" applyFont="1" applyFill="1" applyBorder="1"/>
    <xf numFmtId="0" fontId="85" fillId="2" borderId="3" xfId="0" applyFont="1" applyFill="1" applyBorder="1"/>
    <xf numFmtId="0" fontId="85" fillId="2" borderId="0" xfId="0" applyFont="1" applyFill="1"/>
    <xf numFmtId="0" fontId="84" fillId="2" borderId="18" xfId="0" applyFont="1" applyFill="1" applyBorder="1"/>
    <xf numFmtId="0" fontId="84" fillId="2" borderId="67" xfId="0" applyFont="1" applyFill="1" applyBorder="1"/>
    <xf numFmtId="0" fontId="85" fillId="4" borderId="12" xfId="0" applyFont="1" applyFill="1" applyBorder="1" applyAlignment="1">
      <alignment horizontal="center"/>
    </xf>
    <xf numFmtId="0" fontId="84" fillId="2" borderId="18" xfId="0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4" fillId="2" borderId="12" xfId="0" applyFont="1" applyFill="1" applyBorder="1"/>
    <xf numFmtId="0" fontId="84" fillId="2" borderId="13" xfId="0" applyFont="1" applyFill="1" applyBorder="1"/>
    <xf numFmtId="0" fontId="84" fillId="2" borderId="51" xfId="0" applyFont="1" applyFill="1" applyBorder="1"/>
    <xf numFmtId="0" fontId="84" fillId="2" borderId="26" xfId="0" applyFont="1" applyFill="1" applyBorder="1"/>
    <xf numFmtId="14" fontId="86" fillId="2" borderId="12" xfId="0" applyNumberFormat="1" applyFont="1" applyFill="1" applyBorder="1" applyAlignment="1">
      <alignment horizontal="center"/>
    </xf>
    <xf numFmtId="14" fontId="84" fillId="2" borderId="12" xfId="0" applyNumberFormat="1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6" fillId="18" borderId="29" xfId="0" applyFont="1" applyFill="1" applyBorder="1" applyAlignment="1">
      <alignment vertical="center"/>
    </xf>
    <xf numFmtId="0" fontId="7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6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 vertical="center"/>
    </xf>
    <xf numFmtId="9" fontId="6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1" fillId="3" borderId="12" xfId="0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20" fontId="57" fillId="22" borderId="28" xfId="0" applyNumberFormat="1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 vertical="center"/>
    </xf>
    <xf numFmtId="0" fontId="61" fillId="22" borderId="10" xfId="0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 vertical="center"/>
    </xf>
    <xf numFmtId="0" fontId="61" fillId="23" borderId="10" xfId="0" applyFont="1" applyFill="1" applyBorder="1" applyAlignment="1">
      <alignment horizontal="center" vertical="center"/>
    </xf>
    <xf numFmtId="0" fontId="61" fillId="2" borderId="10" xfId="0" applyFont="1" applyFill="1" applyBorder="1" applyAlignment="1">
      <alignment horizontal="center" vertical="center"/>
    </xf>
    <xf numFmtId="0" fontId="61" fillId="3" borderId="78" xfId="0" applyFont="1" applyFill="1" applyBorder="1" applyAlignment="1">
      <alignment horizontal="center" vertical="center" wrapText="1"/>
    </xf>
    <xf numFmtId="0" fontId="61" fillId="23" borderId="81" xfId="0" applyFont="1" applyFill="1" applyBorder="1" applyAlignment="1">
      <alignment horizontal="center" vertical="center"/>
    </xf>
    <xf numFmtId="0" fontId="61" fillId="23" borderId="83" xfId="0" applyFont="1" applyFill="1" applyBorder="1" applyAlignment="1">
      <alignment horizontal="center" vertical="center"/>
    </xf>
    <xf numFmtId="1" fontId="0" fillId="23" borderId="25" xfId="0" applyNumberFormat="1" applyFill="1" applyBorder="1" applyAlignment="1">
      <alignment vertical="center"/>
    </xf>
    <xf numFmtId="1" fontId="0" fillId="23" borderId="54" xfId="0" applyNumberFormat="1" applyFill="1" applyBorder="1" applyAlignment="1">
      <alignment vertical="center"/>
    </xf>
    <xf numFmtId="0" fontId="61" fillId="23" borderId="12" xfId="0" applyFont="1" applyFill="1" applyBorder="1" applyAlignment="1">
      <alignment horizontal="center" wrapText="1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9" fontId="0" fillId="2" borderId="0" xfId="2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" fillId="23" borderId="12" xfId="0" applyFont="1" applyFill="1" applyBorder="1" applyAlignment="1">
      <alignment horizontal="left" vertical="center" wrapText="1"/>
    </xf>
    <xf numFmtId="166" fontId="60" fillId="17" borderId="12" xfId="0" applyNumberFormat="1" applyFont="1" applyFill="1" applyBorder="1" applyAlignment="1">
      <alignment horizontal="center" vertical="center"/>
    </xf>
    <xf numFmtId="1" fontId="6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14" fontId="1" fillId="17" borderId="12" xfId="0" applyNumberFormat="1" applyFont="1" applyFill="1" applyBorder="1" applyAlignment="1">
      <alignment horizontal="center" vertical="center"/>
    </xf>
    <xf numFmtId="0" fontId="61" fillId="17" borderId="20" xfId="0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left" vertical="center" wrapText="1"/>
    </xf>
    <xf numFmtId="165" fontId="0" fillId="2" borderId="0" xfId="0" applyNumberFormat="1" applyFill="1" applyAlignment="1">
      <alignment vertical="center"/>
    </xf>
    <xf numFmtId="0" fontId="83" fillId="23" borderId="28" xfId="0" applyFont="1" applyFill="1" applyBorder="1" applyAlignment="1">
      <alignment vertical="center" wrapText="1"/>
    </xf>
    <xf numFmtId="1" fontId="0" fillId="2" borderId="0" xfId="2" applyNumberFormat="1" applyFont="1" applyFill="1" applyAlignment="1">
      <alignment horizontal="center"/>
    </xf>
    <xf numFmtId="0" fontId="77" fillId="2" borderId="72" xfId="0" applyFont="1" applyFill="1" applyBorder="1" applyAlignment="1">
      <alignment wrapText="1"/>
    </xf>
    <xf numFmtId="1" fontId="88" fillId="2" borderId="71" xfId="0" applyNumberFormat="1" applyFont="1" applyFill="1" applyBorder="1" applyAlignment="1">
      <alignment horizontal="center" vertical="center"/>
    </xf>
    <xf numFmtId="1" fontId="89" fillId="2" borderId="71" xfId="0" applyNumberFormat="1" applyFont="1" applyFill="1" applyBorder="1" applyAlignment="1">
      <alignment horizontal="center" vertical="center"/>
    </xf>
    <xf numFmtId="9" fontId="90" fillId="2" borderId="71" xfId="0" applyNumberFormat="1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/>
    </xf>
    <xf numFmtId="0" fontId="61" fillId="18" borderId="12" xfId="0" applyFont="1" applyFill="1" applyBorder="1" applyAlignment="1">
      <alignment horizontal="center" vertical="center"/>
    </xf>
    <xf numFmtId="0" fontId="61" fillId="20" borderId="12" xfId="0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 vertical="center"/>
    </xf>
    <xf numFmtId="0" fontId="61" fillId="18" borderId="34" xfId="0" applyFont="1" applyFill="1" applyBorder="1" applyAlignment="1">
      <alignment horizontal="center" vertical="center"/>
    </xf>
    <xf numFmtId="0" fontId="61" fillId="18" borderId="31" xfId="0" applyFont="1" applyFill="1" applyBorder="1" applyAlignment="1">
      <alignment horizontal="center" vertical="center"/>
    </xf>
    <xf numFmtId="0" fontId="61" fillId="18" borderId="32" xfId="0" applyFont="1" applyFill="1" applyBorder="1" applyAlignment="1">
      <alignment horizontal="center" vertical="center"/>
    </xf>
    <xf numFmtId="0" fontId="61" fillId="18" borderId="53" xfId="0" applyFont="1" applyFill="1" applyBorder="1" applyAlignment="1">
      <alignment horizontal="center" vertical="center"/>
    </xf>
    <xf numFmtId="0" fontId="61" fillId="18" borderId="33" xfId="0" applyFont="1" applyFill="1" applyBorder="1" applyAlignment="1">
      <alignment horizontal="center" vertical="center"/>
    </xf>
    <xf numFmtId="0" fontId="61" fillId="18" borderId="20" xfId="0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0" fontId="61" fillId="18" borderId="20" xfId="0" applyFont="1" applyFill="1" applyBorder="1" applyAlignment="1">
      <alignment horizontal="center" wrapText="1"/>
    </xf>
    <xf numFmtId="0" fontId="61" fillId="18" borderId="28" xfId="0" applyFont="1" applyFill="1" applyBorder="1" applyAlignment="1">
      <alignment horizontal="center" wrapText="1"/>
    </xf>
    <xf numFmtId="0" fontId="61" fillId="18" borderId="7" xfId="0" applyFont="1" applyFill="1" applyBorder="1" applyAlignment="1">
      <alignment horizontal="center"/>
    </xf>
    <xf numFmtId="0" fontId="61" fillId="18" borderId="29" xfId="0" applyFont="1" applyFill="1" applyBorder="1" applyAlignment="1">
      <alignment horizontal="center"/>
    </xf>
    <xf numFmtId="0" fontId="61" fillId="18" borderId="8" xfId="0" applyFont="1" applyFill="1" applyBorder="1" applyAlignment="1">
      <alignment horizontal="center"/>
    </xf>
    <xf numFmtId="0" fontId="80" fillId="4" borderId="36" xfId="0" applyFont="1" applyFill="1" applyBorder="1" applyAlignment="1">
      <alignment horizontal="center"/>
    </xf>
    <xf numFmtId="0" fontId="80" fillId="4" borderId="55" xfId="0" applyFont="1" applyFill="1" applyBorder="1" applyAlignment="1">
      <alignment horizontal="center"/>
    </xf>
    <xf numFmtId="0" fontId="80" fillId="4" borderId="56" xfId="0" applyFont="1" applyFill="1" applyBorder="1" applyAlignment="1">
      <alignment horizontal="center"/>
    </xf>
    <xf numFmtId="0" fontId="61" fillId="18" borderId="21" xfId="0" applyFont="1" applyFill="1" applyBorder="1" applyAlignment="1">
      <alignment horizontal="center" vertical="center"/>
    </xf>
    <xf numFmtId="17" fontId="80" fillId="4" borderId="36" xfId="0" applyNumberFormat="1" applyFont="1" applyFill="1" applyBorder="1" applyAlignment="1">
      <alignment horizontal="center"/>
    </xf>
    <xf numFmtId="17" fontId="80" fillId="4" borderId="55" xfId="0" applyNumberFormat="1" applyFont="1" applyFill="1" applyBorder="1" applyAlignment="1">
      <alignment horizontal="center"/>
    </xf>
    <xf numFmtId="17" fontId="80" fillId="4" borderId="56" xfId="0" applyNumberFormat="1" applyFont="1" applyFill="1" applyBorder="1" applyAlignment="1">
      <alignment horizontal="center"/>
    </xf>
    <xf numFmtId="0" fontId="68" fillId="3" borderId="40" xfId="0" applyFont="1" applyFill="1" applyBorder="1" applyAlignment="1">
      <alignment horizontal="center" vertical="center" wrapText="1"/>
    </xf>
    <xf numFmtId="0" fontId="67" fillId="3" borderId="44" xfId="0" applyFont="1" applyFill="1" applyBorder="1" applyAlignment="1">
      <alignment vertical="center"/>
    </xf>
    <xf numFmtId="1" fontId="68" fillId="3" borderId="41" xfId="0" applyNumberFormat="1" applyFont="1" applyFill="1" applyBorder="1" applyAlignment="1">
      <alignment horizontal="center" vertical="center" wrapText="1"/>
    </xf>
    <xf numFmtId="0" fontId="67" fillId="3" borderId="42" xfId="0" applyFont="1" applyFill="1" applyBorder="1" applyAlignment="1">
      <alignment vertical="center"/>
    </xf>
    <xf numFmtId="0" fontId="67" fillId="3" borderId="43" xfId="0" applyFont="1" applyFill="1" applyBorder="1" applyAlignment="1">
      <alignment vertical="center"/>
    </xf>
    <xf numFmtId="1" fontId="68" fillId="3" borderId="40" xfId="0" applyNumberFormat="1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67" fillId="3" borderId="46" xfId="0" applyFont="1" applyFill="1" applyBorder="1" applyAlignment="1">
      <alignment vertical="center"/>
    </xf>
    <xf numFmtId="1" fontId="68" fillId="3" borderId="44" xfId="0" applyNumberFormat="1" applyFont="1" applyFill="1" applyBorder="1" applyAlignment="1">
      <alignment horizontal="center" vertical="center" wrapText="1"/>
    </xf>
    <xf numFmtId="0" fontId="73" fillId="15" borderId="51" xfId="0" applyFont="1" applyFill="1" applyBorder="1" applyAlignment="1">
      <alignment horizontal="center"/>
    </xf>
    <xf numFmtId="0" fontId="74" fillId="15" borderId="0" xfId="0" applyFont="1" applyFill="1" applyAlignment="1">
      <alignment horizontal="center"/>
    </xf>
    <xf numFmtId="0" fontId="78" fillId="3" borderId="42" xfId="0" applyFont="1" applyFill="1" applyBorder="1" applyAlignment="1">
      <alignment horizontal="center" vertical="center"/>
    </xf>
    <xf numFmtId="0" fontId="78" fillId="3" borderId="43" xfId="0" applyFont="1" applyFill="1" applyBorder="1" applyAlignment="1">
      <alignment horizontal="center" vertical="center"/>
    </xf>
    <xf numFmtId="0" fontId="68" fillId="3" borderId="42" xfId="0" applyFont="1" applyFill="1" applyBorder="1" applyAlignment="1">
      <alignment horizontal="center" vertical="center" wrapText="1"/>
    </xf>
    <xf numFmtId="0" fontId="68" fillId="3" borderId="43" xfId="0" applyFont="1" applyFill="1" applyBorder="1" applyAlignment="1">
      <alignment horizontal="center" vertical="center" wrapText="1"/>
    </xf>
    <xf numFmtId="0" fontId="61" fillId="4" borderId="12" xfId="0" applyFont="1" applyFill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0" fontId="61" fillId="19" borderId="57" xfId="0" applyFont="1" applyFill="1" applyBorder="1" applyAlignment="1">
      <alignment horizontal="center"/>
    </xf>
    <xf numFmtId="0" fontId="61" fillId="19" borderId="10" xfId="0" applyFont="1" applyFill="1" applyBorder="1" applyAlignment="1">
      <alignment horizontal="center"/>
    </xf>
    <xf numFmtId="177" fontId="61" fillId="19" borderId="10" xfId="0" applyNumberFormat="1" applyFont="1" applyFill="1" applyBorder="1" applyAlignment="1">
      <alignment horizontal="center"/>
    </xf>
    <xf numFmtId="0" fontId="61" fillId="19" borderId="23" xfId="0" applyFont="1" applyFill="1" applyBorder="1" applyAlignment="1">
      <alignment horizontal="center"/>
    </xf>
    <xf numFmtId="0" fontId="76" fillId="18" borderId="0" xfId="0" applyFont="1" applyFill="1" applyAlignment="1">
      <alignment horizontal="center"/>
    </xf>
    <xf numFmtId="0" fontId="61" fillId="3" borderId="7" xfId="0" applyFont="1" applyFill="1" applyBorder="1" applyAlignment="1">
      <alignment horizontal="center"/>
    </xf>
    <xf numFmtId="0" fontId="61" fillId="3" borderId="8" xfId="0" applyFont="1" applyFill="1" applyBorder="1" applyAlignment="1">
      <alignment horizontal="center"/>
    </xf>
    <xf numFmtId="0" fontId="61" fillId="3" borderId="29" xfId="0" applyFont="1" applyFill="1" applyBorder="1" applyAlignment="1">
      <alignment horizontal="center"/>
    </xf>
    <xf numFmtId="0" fontId="61" fillId="3" borderId="0" xfId="0" applyFont="1" applyFill="1" applyAlignment="1">
      <alignment horizontal="center"/>
    </xf>
    <xf numFmtId="0" fontId="71" fillId="16" borderId="36" xfId="0" applyFont="1" applyFill="1" applyBorder="1" applyAlignment="1">
      <alignment horizontal="center"/>
    </xf>
    <xf numFmtId="0" fontId="71" fillId="16" borderId="55" xfId="0" applyFont="1" applyFill="1" applyBorder="1" applyAlignment="1">
      <alignment horizontal="center"/>
    </xf>
    <xf numFmtId="0" fontId="71" fillId="16" borderId="56" xfId="0" applyFont="1" applyFill="1" applyBorder="1" applyAlignment="1">
      <alignment horizontal="center"/>
    </xf>
    <xf numFmtId="0" fontId="61" fillId="4" borderId="1" xfId="0" applyFont="1" applyFill="1" applyBorder="1" applyAlignment="1">
      <alignment horizontal="center"/>
    </xf>
    <xf numFmtId="0" fontId="61" fillId="4" borderId="2" xfId="0" applyFont="1" applyFill="1" applyBorder="1" applyAlignment="1">
      <alignment horizontal="center"/>
    </xf>
    <xf numFmtId="0" fontId="61" fillId="4" borderId="3" xfId="0" applyFont="1" applyFill="1" applyBorder="1" applyAlignment="1">
      <alignment horizontal="center"/>
    </xf>
    <xf numFmtId="0" fontId="61" fillId="4" borderId="18" xfId="0" applyFont="1" applyFill="1" applyBorder="1" applyAlignment="1">
      <alignment horizontal="center"/>
    </xf>
    <xf numFmtId="0" fontId="61" fillId="4" borderId="0" xfId="0" applyFont="1" applyFill="1" applyAlignment="1">
      <alignment horizontal="center"/>
    </xf>
    <xf numFmtId="0" fontId="61" fillId="4" borderId="67" xfId="0" applyFont="1" applyFill="1" applyBorder="1" applyAlignment="1">
      <alignment horizontal="center"/>
    </xf>
    <xf numFmtId="0" fontId="76" fillId="4" borderId="0" xfId="0" applyFont="1" applyFill="1" applyAlignment="1">
      <alignment horizontal="center"/>
    </xf>
    <xf numFmtId="0" fontId="81" fillId="2" borderId="20" xfId="0" applyFont="1" applyFill="1" applyBorder="1" applyAlignment="1">
      <alignment horizontal="left" wrapText="1"/>
    </xf>
    <xf numFmtId="0" fontId="81" fillId="2" borderId="28" xfId="0" applyFont="1" applyFill="1" applyBorder="1" applyAlignment="1">
      <alignment horizontal="left" wrapText="1"/>
    </xf>
    <xf numFmtId="14" fontId="81" fillId="2" borderId="1" xfId="0" applyNumberFormat="1" applyFont="1" applyFill="1" applyBorder="1" applyAlignment="1">
      <alignment horizontal="center" vertical="center"/>
    </xf>
    <xf numFmtId="14" fontId="81" fillId="2" borderId="4" xfId="0" applyNumberFormat="1" applyFont="1" applyFill="1" applyBorder="1" applyAlignment="1">
      <alignment horizontal="center" vertical="center"/>
    </xf>
    <xf numFmtId="14" fontId="81" fillId="2" borderId="13" xfId="0" applyNumberFormat="1" applyFont="1" applyFill="1" applyBorder="1" applyAlignment="1">
      <alignment horizontal="center" vertical="center"/>
    </xf>
    <xf numFmtId="14" fontId="81" fillId="2" borderId="14" xfId="0" applyNumberFormat="1" applyFont="1" applyFill="1" applyBorder="1" applyAlignment="1">
      <alignment horizontal="center" vertical="center"/>
    </xf>
    <xf numFmtId="165" fontId="81" fillId="2" borderId="0" xfId="0" applyNumberFormat="1" applyFont="1" applyFill="1" applyAlignment="1">
      <alignment horizontal="center" vertical="center"/>
    </xf>
    <xf numFmtId="0" fontId="81" fillId="2" borderId="53" xfId="0" applyFont="1" applyFill="1" applyBorder="1" applyAlignment="1">
      <alignment horizontal="center" vertical="center"/>
    </xf>
    <xf numFmtId="165" fontId="81" fillId="2" borderId="6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14" fontId="76" fillId="4" borderId="18" xfId="0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4" xfId="0" applyFont="1" applyFill="1" applyBorder="1" applyAlignment="1">
      <alignment horizontal="center"/>
    </xf>
    <xf numFmtId="0" fontId="76" fillId="4" borderId="17" xfId="0" applyFont="1" applyFill="1" applyBorder="1" applyAlignment="1">
      <alignment horizontal="center"/>
    </xf>
    <xf numFmtId="165" fontId="81" fillId="2" borderId="5" xfId="0" applyNumberFormat="1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horizontal="center" vertical="center"/>
    </xf>
    <xf numFmtId="14" fontId="81" fillId="17" borderId="1" xfId="0" applyNumberFormat="1" applyFont="1" applyFill="1" applyBorder="1" applyAlignment="1">
      <alignment horizontal="center" vertical="center"/>
    </xf>
    <xf numFmtId="14" fontId="81" fillId="17" borderId="4" xfId="0" applyNumberFormat="1" applyFont="1" applyFill="1" applyBorder="1" applyAlignment="1">
      <alignment horizontal="center" vertical="center"/>
    </xf>
    <xf numFmtId="14" fontId="81" fillId="17" borderId="13" xfId="0" applyNumberFormat="1" applyFont="1" applyFill="1" applyBorder="1" applyAlignment="1">
      <alignment horizontal="center" vertical="center"/>
    </xf>
    <xf numFmtId="14" fontId="81" fillId="17" borderId="14" xfId="0" applyNumberFormat="1" applyFont="1" applyFill="1" applyBorder="1" applyAlignment="1">
      <alignment horizontal="center" vertical="center"/>
    </xf>
    <xf numFmtId="165" fontId="81" fillId="17" borderId="5" xfId="0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0" fontId="76" fillId="3" borderId="18" xfId="0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0" fontId="76" fillId="3" borderId="36" xfId="0" applyFont="1" applyFill="1" applyBorder="1" applyAlignment="1">
      <alignment horizontal="center"/>
    </xf>
    <xf numFmtId="0" fontId="76" fillId="3" borderId="55" xfId="0" applyFont="1" applyFill="1" applyBorder="1" applyAlignment="1">
      <alignment horizontal="center"/>
    </xf>
    <xf numFmtId="0" fontId="76" fillId="3" borderId="56" xfId="0" applyFont="1" applyFill="1" applyBorder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14" fontId="60" fillId="2" borderId="33" xfId="0" applyNumberFormat="1" applyFont="1" applyFill="1" applyBorder="1" applyAlignment="1">
      <alignment horizontal="center" vertical="center"/>
    </xf>
    <xf numFmtId="0" fontId="71" fillId="20" borderId="7" xfId="0" applyFont="1" applyFill="1" applyBorder="1" applyAlignment="1">
      <alignment horizontal="center"/>
    </xf>
    <xf numFmtId="0" fontId="71" fillId="20" borderId="8" xfId="0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0" fontId="61" fillId="3" borderId="30" xfId="0" applyFont="1" applyFill="1" applyBorder="1" applyAlignment="1">
      <alignment horizontal="center"/>
    </xf>
    <xf numFmtId="0" fontId="61" fillId="3" borderId="34" xfId="0" applyFont="1" applyFill="1" applyBorder="1" applyAlignment="1">
      <alignment horizontal="center"/>
    </xf>
    <xf numFmtId="0" fontId="61" fillId="3" borderId="31" xfId="0" applyFont="1" applyFill="1" applyBorder="1" applyAlignment="1">
      <alignment horizontal="center"/>
    </xf>
    <xf numFmtId="0" fontId="60" fillId="3" borderId="36" xfId="0" applyFont="1" applyFill="1" applyBorder="1" applyAlignment="1">
      <alignment horizontal="center"/>
    </xf>
    <xf numFmtId="0" fontId="60" fillId="3" borderId="37" xfId="0" applyFont="1" applyFill="1" applyBorder="1" applyAlignment="1">
      <alignment horizontal="center"/>
    </xf>
    <xf numFmtId="0" fontId="76" fillId="2" borderId="0" xfId="0" applyFont="1" applyFill="1" applyAlignment="1">
      <alignment horizontal="center"/>
    </xf>
    <xf numFmtId="0" fontId="83" fillId="22" borderId="20" xfId="0" applyFont="1" applyFill="1" applyBorder="1" applyAlignment="1">
      <alignment horizontal="center" vertical="center"/>
    </xf>
    <xf numFmtId="0" fontId="83" fillId="22" borderId="21" xfId="0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center" vertical="center"/>
    </xf>
    <xf numFmtId="0" fontId="61" fillId="18" borderId="0" xfId="0" applyFont="1" applyFill="1" applyAlignment="1">
      <alignment horizontal="center"/>
    </xf>
    <xf numFmtId="0" fontId="83" fillId="23" borderId="20" xfId="0" applyFont="1" applyFill="1" applyBorder="1" applyAlignment="1">
      <alignment horizontal="center" vertical="center"/>
    </xf>
    <xf numFmtId="0" fontId="83" fillId="23" borderId="21" xfId="0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61" fillId="3" borderId="22" xfId="0" applyFont="1" applyFill="1" applyBorder="1" applyAlignment="1">
      <alignment horizontal="center"/>
    </xf>
    <xf numFmtId="14" fontId="43" fillId="22" borderId="28" xfId="0" applyNumberFormat="1" applyFont="1" applyFill="1" applyBorder="1" applyAlignment="1">
      <alignment horizontal="center" vertical="center"/>
    </xf>
    <xf numFmtId="14" fontId="60" fillId="22" borderId="28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14" fontId="43" fillId="23" borderId="69" xfId="0" applyNumberFormat="1" applyFont="1" applyFill="1" applyBorder="1" applyAlignment="1">
      <alignment horizontal="center" vertical="center"/>
    </xf>
    <xf numFmtId="14" fontId="60" fillId="23" borderId="70" xfId="0" applyNumberFormat="1" applyFont="1" applyFill="1" applyBorder="1" applyAlignment="1">
      <alignment horizontal="center" vertical="center"/>
    </xf>
    <xf numFmtId="14" fontId="43" fillId="23" borderId="28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43" fillId="23" borderId="73" xfId="0" applyNumberFormat="1" applyFont="1" applyFill="1" applyBorder="1" applyAlignment="1">
      <alignment horizontal="center" vertical="center"/>
    </xf>
    <xf numFmtId="14" fontId="60" fillId="23" borderId="74" xfId="0" applyNumberFormat="1" applyFont="1" applyFill="1" applyBorder="1" applyAlignment="1">
      <alignment horizontal="center" vertical="center"/>
    </xf>
    <xf numFmtId="0" fontId="83" fillId="22" borderId="80" xfId="0" applyFont="1" applyFill="1" applyBorder="1" applyAlignment="1">
      <alignment horizontal="center" vertical="center"/>
    </xf>
    <xf numFmtId="0" fontId="83" fillId="22" borderId="30" xfId="0" applyFont="1" applyFill="1" applyBorder="1" applyAlignment="1">
      <alignment horizontal="center" vertical="center"/>
    </xf>
    <xf numFmtId="0" fontId="83" fillId="22" borderId="22" xfId="0" applyFont="1" applyFill="1" applyBorder="1" applyAlignment="1">
      <alignment horizontal="center" vertical="center"/>
    </xf>
    <xf numFmtId="0" fontId="83" fillId="22" borderId="53" xfId="0" applyFont="1" applyFill="1" applyBorder="1" applyAlignment="1">
      <alignment horizontal="center" vertical="center"/>
    </xf>
    <xf numFmtId="14" fontId="43" fillId="23" borderId="75" xfId="0" applyNumberFormat="1" applyFont="1" applyFill="1" applyBorder="1" applyAlignment="1">
      <alignment horizontal="center" vertical="center"/>
    </xf>
    <xf numFmtId="14" fontId="60" fillId="23" borderId="76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 wrapText="1"/>
    </xf>
    <xf numFmtId="0" fontId="83" fillId="23" borderId="21" xfId="0" applyFont="1" applyFill="1" applyBorder="1" applyAlignment="1">
      <alignment horizontal="center" vertical="center" wrapText="1"/>
    </xf>
    <xf numFmtId="0" fontId="83" fillId="23" borderId="34" xfId="0" applyFont="1" applyFill="1" applyBorder="1" applyAlignment="1">
      <alignment horizontal="center" vertical="center"/>
    </xf>
    <xf numFmtId="0" fontId="83" fillId="23" borderId="0" xfId="0" applyFont="1" applyFill="1" applyAlignment="1">
      <alignment horizontal="center" vertical="center"/>
    </xf>
    <xf numFmtId="0" fontId="83" fillId="23" borderId="77" xfId="0" applyFont="1" applyFill="1" applyBorder="1" applyAlignment="1">
      <alignment horizontal="center" vertical="center"/>
    </xf>
    <xf numFmtId="0" fontId="83" fillId="23" borderId="30" xfId="0" applyFont="1" applyFill="1" applyBorder="1" applyAlignment="1">
      <alignment horizontal="center" vertical="center"/>
    </xf>
    <xf numFmtId="0" fontId="83" fillId="23" borderId="22" xfId="0" applyFont="1" applyFill="1" applyBorder="1" applyAlignment="1">
      <alignment horizontal="center" vertical="center"/>
    </xf>
    <xf numFmtId="0" fontId="83" fillId="23" borderId="32" xfId="0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0" fontId="62" fillId="25" borderId="36" xfId="0" applyFont="1" applyFill="1" applyBorder="1" applyAlignment="1">
      <alignment horizontal="center" vertical="center" wrapText="1"/>
    </xf>
    <xf numFmtId="0" fontId="62" fillId="25" borderId="55" xfId="0" applyFont="1" applyFill="1" applyBorder="1" applyAlignment="1">
      <alignment horizontal="center" vertical="center" wrapText="1"/>
    </xf>
    <xf numFmtId="0" fontId="62" fillId="25" borderId="56" xfId="0" applyFont="1" applyFill="1" applyBorder="1" applyAlignment="1">
      <alignment horizontal="center" vertical="center" wrapText="1"/>
    </xf>
    <xf numFmtId="14" fontId="60" fillId="2" borderId="1" xfId="0" applyNumberFormat="1" applyFont="1" applyFill="1" applyBorder="1" applyAlignment="1">
      <alignment horizontal="center" vertical="center"/>
    </xf>
    <xf numFmtId="14" fontId="60" fillId="2" borderId="4" xfId="0" applyNumberFormat="1" applyFont="1" applyFill="1" applyBorder="1" applyAlignment="1">
      <alignment horizontal="center" vertical="center"/>
    </xf>
    <xf numFmtId="14" fontId="60" fillId="2" borderId="13" xfId="0" applyNumberFormat="1" applyFont="1" applyFill="1" applyBorder="1" applyAlignment="1">
      <alignment horizontal="center" vertical="center"/>
    </xf>
    <xf numFmtId="14" fontId="60" fillId="2" borderId="1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0" fillId="2" borderId="18" xfId="0" applyNumberFormat="1" applyFont="1" applyFill="1" applyBorder="1" applyAlignment="1">
      <alignment horizontal="center" vertical="center"/>
    </xf>
    <xf numFmtId="14" fontId="60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60" fillId="23" borderId="1" xfId="0" applyNumberFormat="1" applyFont="1" applyFill="1" applyBorder="1" applyAlignment="1">
      <alignment horizontal="center" vertical="center"/>
    </xf>
    <xf numFmtId="14" fontId="60" fillId="23" borderId="4" xfId="0" applyNumberFormat="1" applyFont="1" applyFill="1" applyBorder="1" applyAlignment="1">
      <alignment horizontal="center" vertical="center"/>
    </xf>
    <xf numFmtId="14" fontId="60" fillId="23" borderId="13" xfId="0" applyNumberFormat="1" applyFont="1" applyFill="1" applyBorder="1" applyAlignment="1">
      <alignment horizontal="center" vertical="center"/>
    </xf>
    <xf numFmtId="14" fontId="60" fillId="23" borderId="14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 vertical="center"/>
    </xf>
    <xf numFmtId="14" fontId="60" fillId="22" borderId="1" xfId="0" applyNumberFormat="1" applyFont="1" applyFill="1" applyBorder="1" applyAlignment="1">
      <alignment horizontal="center" vertical="center"/>
    </xf>
    <xf numFmtId="14" fontId="60" fillId="22" borderId="4" xfId="0" applyNumberFormat="1" applyFont="1" applyFill="1" applyBorder="1" applyAlignment="1">
      <alignment horizontal="center" vertical="center"/>
    </xf>
    <xf numFmtId="14" fontId="60" fillId="22" borderId="13" xfId="0" applyNumberFormat="1" applyFont="1" applyFill="1" applyBorder="1" applyAlignment="1">
      <alignment horizontal="center" vertical="center"/>
    </xf>
    <xf numFmtId="14" fontId="60" fillId="22" borderId="14" xfId="0" applyNumberFormat="1" applyFont="1" applyFill="1" applyBorder="1" applyAlignment="1">
      <alignment horizontal="center" vertical="center"/>
    </xf>
    <xf numFmtId="14" fontId="60" fillId="2" borderId="84" xfId="0" applyNumberFormat="1" applyFont="1" applyFill="1" applyBorder="1" applyAlignment="1">
      <alignment horizontal="center" vertical="center"/>
    </xf>
    <xf numFmtId="14" fontId="60" fillId="2" borderId="31" xfId="0" applyNumberFormat="1" applyFont="1" applyFill="1" applyBorder="1" applyAlignment="1">
      <alignment horizontal="center" vertical="center"/>
    </xf>
    <xf numFmtId="14" fontId="60" fillId="22" borderId="84" xfId="0" applyNumberFormat="1" applyFont="1" applyFill="1" applyBorder="1" applyAlignment="1">
      <alignment horizontal="center" vertical="center"/>
    </xf>
    <xf numFmtId="14" fontId="6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1" fontId="61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29" fillId="23" borderId="74" xfId="0" applyNumberFormat="1" applyFont="1" applyFill="1" applyBorder="1" applyAlignment="1">
      <alignment horizontal="center" vertical="center" wrapText="1"/>
    </xf>
    <xf numFmtId="14" fontId="60" fillId="23" borderId="76" xfId="0" applyNumberFormat="1" applyFont="1" applyFill="1" applyBorder="1" applyAlignment="1">
      <alignment horizontal="center" vertical="center" wrapText="1"/>
    </xf>
    <xf numFmtId="0" fontId="61" fillId="23" borderId="67" xfId="0" applyFont="1" applyFill="1" applyBorder="1" applyAlignment="1">
      <alignment horizontal="center" vertical="center"/>
    </xf>
    <xf numFmtId="0" fontId="61" fillId="22" borderId="67" xfId="0" applyFont="1" applyFill="1" applyBorder="1" applyAlignment="1">
      <alignment horizontal="center" vertical="center"/>
    </xf>
    <xf numFmtId="1" fontId="61" fillId="23" borderId="20" xfId="0" applyNumberFormat="1" applyFont="1" applyFill="1" applyBorder="1" applyAlignment="1">
      <alignment horizontal="center" vertical="center"/>
    </xf>
    <xf numFmtId="1" fontId="6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1" fillId="23" borderId="21" xfId="0" applyFont="1" applyFill="1" applyBorder="1" applyAlignment="1">
      <alignment horizontal="center" vertical="center"/>
    </xf>
    <xf numFmtId="0" fontId="61" fillId="23" borderId="28" xfId="0" applyFont="1" applyFill="1" applyBorder="1" applyAlignment="1">
      <alignment horizontal="center" vertical="center"/>
    </xf>
    <xf numFmtId="0" fontId="61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0" fontId="87" fillId="2" borderId="67" xfId="0" applyFont="1" applyFill="1" applyBorder="1" applyAlignment="1">
      <alignment horizontal="center"/>
    </xf>
    <xf numFmtId="0" fontId="87" fillId="2" borderId="13" xfId="0" applyFont="1" applyFill="1" applyBorder="1" applyAlignment="1">
      <alignment horizontal="center"/>
    </xf>
    <xf numFmtId="0" fontId="87" fillId="2" borderId="51" xfId="0" applyFont="1" applyFill="1" applyBorder="1" applyAlignment="1">
      <alignment horizontal="center"/>
    </xf>
    <xf numFmtId="0" fontId="87" fillId="2" borderId="26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60" fillId="2" borderId="32" xfId="0" applyNumberFormat="1" applyFont="1" applyFill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0" fontId="75" fillId="4" borderId="2" xfId="0" applyFont="1" applyFill="1" applyBorder="1" applyAlignment="1">
      <alignment horizontal="center" vertical="center"/>
    </xf>
    <xf numFmtId="0" fontId="75" fillId="4" borderId="3" xfId="0" applyFont="1" applyFill="1" applyBorder="1" applyAlignment="1">
      <alignment horizontal="center" vertical="center"/>
    </xf>
    <xf numFmtId="0" fontId="75" fillId="4" borderId="13" xfId="0" applyFont="1" applyFill="1" applyBorder="1" applyAlignment="1">
      <alignment horizontal="center" vertical="center"/>
    </xf>
    <xf numFmtId="0" fontId="75" fillId="4" borderId="51" xfId="0" applyFont="1" applyFill="1" applyBorder="1" applyAlignment="1">
      <alignment horizontal="center" vertical="center"/>
    </xf>
    <xf numFmtId="0" fontId="75" fillId="4" borderId="26" xfId="0" applyFont="1" applyFill="1" applyBorder="1" applyAlignment="1">
      <alignment horizontal="center" vertical="center"/>
    </xf>
    <xf numFmtId="20" fontId="68" fillId="11" borderId="7" xfId="0" applyNumberFormat="1" applyFont="1" applyFill="1" applyBorder="1" applyAlignment="1">
      <alignment horizontal="center" vertical="center"/>
    </xf>
    <xf numFmtId="20" fontId="68" fillId="11" borderId="29" xfId="0" applyNumberFormat="1" applyFont="1" applyFill="1" applyBorder="1" applyAlignment="1">
      <alignment horizontal="center" vertical="center"/>
    </xf>
    <xf numFmtId="20" fontId="68" fillId="11" borderId="8" xfId="0" applyNumberFormat="1" applyFont="1" applyFill="1" applyBorder="1" applyAlignment="1">
      <alignment horizontal="center" vertical="center"/>
    </xf>
    <xf numFmtId="20" fontId="70" fillId="10" borderId="7" xfId="0" applyNumberFormat="1" applyFont="1" applyFill="1" applyBorder="1" applyAlignment="1">
      <alignment horizontal="center"/>
    </xf>
    <xf numFmtId="20" fontId="70" fillId="10" borderId="29" xfId="0" applyNumberFormat="1" applyFont="1" applyFill="1" applyBorder="1" applyAlignment="1">
      <alignment horizontal="center"/>
    </xf>
    <xf numFmtId="20" fontId="70" fillId="10" borderId="8" xfId="0" applyNumberFormat="1" applyFont="1" applyFill="1" applyBorder="1" applyAlignment="1">
      <alignment horizontal="center"/>
    </xf>
    <xf numFmtId="0" fontId="68" fillId="11" borderId="29" xfId="0" applyFont="1" applyFill="1" applyBorder="1" applyAlignment="1">
      <alignment horizontal="center" vertical="center"/>
    </xf>
    <xf numFmtId="0" fontId="68" fillId="11" borderId="8" xfId="0" applyFont="1" applyFill="1" applyBorder="1" applyAlignment="1">
      <alignment horizontal="center" vertical="center"/>
    </xf>
    <xf numFmtId="0" fontId="68" fillId="11" borderId="7" xfId="0" applyFont="1" applyFill="1" applyBorder="1" applyAlignment="1">
      <alignment horizontal="center" vertical="center"/>
    </xf>
    <xf numFmtId="14" fontId="66" fillId="7" borderId="5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horizontal="center"/>
    </xf>
    <xf numFmtId="0" fontId="67" fillId="2" borderId="21" xfId="0" applyFont="1" applyFill="1" applyBorder="1" applyAlignment="1">
      <alignment horizontal="center"/>
    </xf>
    <xf numFmtId="0" fontId="67" fillId="2" borderId="28" xfId="0" applyFont="1" applyFill="1" applyBorder="1" applyAlignment="1">
      <alignment horizontal="center"/>
    </xf>
    <xf numFmtId="0" fontId="67" fillId="2" borderId="20" xfId="0" applyFont="1" applyFill="1" applyBorder="1" applyAlignment="1">
      <alignment horizontal="center" vertical="center"/>
    </xf>
    <xf numFmtId="0" fontId="67" fillId="2" borderId="21" xfId="0" applyFont="1" applyFill="1" applyBorder="1" applyAlignment="1">
      <alignment horizontal="center" vertical="center"/>
    </xf>
    <xf numFmtId="0" fontId="6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1" fillId="10" borderId="12" xfId="0" applyFont="1" applyFill="1" applyBorder="1" applyAlignment="1">
      <alignment horizontal="center" vertical="center"/>
    </xf>
    <xf numFmtId="14" fontId="66" fillId="7" borderId="20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14" fontId="66" fillId="7" borderId="57" xfId="0" applyNumberFormat="1" applyFont="1" applyFill="1" applyBorder="1" applyAlignment="1">
      <alignment horizontal="center" vertical="center"/>
    </xf>
    <xf numFmtId="14" fontId="66" fillId="7" borderId="60" xfId="0" applyNumberFormat="1" applyFont="1" applyFill="1" applyBorder="1" applyAlignment="1">
      <alignment horizontal="center" vertical="center"/>
    </xf>
    <xf numFmtId="14" fontId="66" fillId="7" borderId="24" xfId="0" applyNumberFormat="1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7" fillId="2" borderId="12" xfId="0" applyFont="1" applyFill="1" applyBorder="1"/>
    <xf numFmtId="14" fontId="6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6" fillId="2" borderId="12" xfId="0" applyFont="1" applyFill="1" applyBorder="1" applyAlignment="1">
      <alignment horizontal="left" vertical="top" wrapText="1"/>
    </xf>
    <xf numFmtId="0" fontId="66" fillId="8" borderId="12" xfId="0" applyFon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0" fontId="66" fillId="8" borderId="21" xfId="0" applyFont="1" applyFill="1" applyBorder="1" applyAlignment="1">
      <alignment horizontal="center" vertical="center"/>
    </xf>
    <xf numFmtId="0" fontId="66" fillId="8" borderId="28" xfId="0" applyFont="1" applyFill="1" applyBorder="1" applyAlignment="1">
      <alignment horizontal="center" vertical="center"/>
    </xf>
    <xf numFmtId="0" fontId="66" fillId="2" borderId="59" xfId="0" applyFont="1" applyFill="1" applyBorder="1" applyAlignment="1">
      <alignment horizontal="center" vertical="top" wrapText="1"/>
    </xf>
    <xf numFmtId="0" fontId="66" fillId="2" borderId="61" xfId="0" applyFont="1" applyFill="1" applyBorder="1" applyAlignment="1">
      <alignment horizontal="center" vertical="top" wrapText="1"/>
    </xf>
    <xf numFmtId="0" fontId="66" fillId="2" borderId="62" xfId="0" applyFont="1" applyFill="1" applyBorder="1" applyAlignment="1">
      <alignment horizontal="center" vertical="top" wrapText="1"/>
    </xf>
    <xf numFmtId="0" fontId="66" fillId="2" borderId="63" xfId="0" applyFont="1" applyFill="1" applyBorder="1" applyAlignment="1">
      <alignment horizontal="center" vertical="top" wrapText="1"/>
    </xf>
    <xf numFmtId="0" fontId="66" fillId="2" borderId="64" xfId="0" applyFont="1" applyFill="1" applyBorder="1" applyAlignment="1">
      <alignment horizontal="center" vertical="top" wrapText="1"/>
    </xf>
    <xf numFmtId="0" fontId="6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0" fillId="23" borderId="18" xfId="0" applyNumberFormat="1" applyFont="1" applyFill="1" applyBorder="1" applyAlignment="1">
      <alignment horizontal="center" vertical="center"/>
    </xf>
    <xf numFmtId="14" fontId="6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0" fillId="23" borderId="36" xfId="0" applyNumberFormat="1" applyFont="1" applyFill="1" applyBorder="1" applyAlignment="1">
      <alignment horizontal="center" vertical="center"/>
    </xf>
    <xf numFmtId="14" fontId="60" fillId="23" borderId="37" xfId="0" applyNumberFormat="1" applyFont="1" applyFill="1" applyBorder="1" applyAlignment="1">
      <alignment horizontal="center" vertical="center"/>
    </xf>
    <xf numFmtId="14" fontId="60" fillId="0" borderId="30" xfId="0" applyNumberFormat="1" applyFont="1" applyBorder="1" applyAlignment="1">
      <alignment horizontal="center" vertical="center"/>
    </xf>
    <xf numFmtId="14" fontId="6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9" fillId="23" borderId="5" xfId="0" applyNumberFormat="1" applyFont="1" applyFill="1" applyBorder="1" applyAlignment="1">
      <alignment horizontal="center" vertical="center" wrapText="1"/>
    </xf>
    <xf numFmtId="14" fontId="6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61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1.561351540310091</c:v>
                </c:pt>
                <c:pt idx="1">
                  <c:v>1.4670417157276023</c:v>
                </c:pt>
                <c:pt idx="2">
                  <c:v>1.2574643277665163</c:v>
                </c:pt>
                <c:pt idx="3">
                  <c:v>5.2394346990271512E-2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8" zoomScale="70" zoomScaleNormal="40" workbookViewId="0">
      <pane xSplit="2" topLeftCell="C1" activePane="topRight" state="frozen"/>
      <selection activeCell="A2" sqref="A2"/>
      <selection pane="topRight" activeCell="C37" sqref="C3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32" t="s">
        <v>125</v>
      </c>
      <c r="I1" s="1032"/>
      <c r="J1" s="1032"/>
      <c r="K1" s="1032"/>
      <c r="L1" s="1032"/>
      <c r="M1" s="1032"/>
      <c r="N1" s="1032"/>
      <c r="O1" s="1032"/>
      <c r="P1" s="1032"/>
      <c r="Q1" s="1032"/>
      <c r="R1" s="1032"/>
      <c r="S1" s="1032"/>
      <c r="T1" s="1032"/>
      <c r="U1" s="1032"/>
      <c r="V1" s="1032"/>
      <c r="W1" s="1032"/>
      <c r="X1" s="1032"/>
      <c r="Y1" s="1032"/>
      <c r="Z1" s="1032"/>
      <c r="AA1" s="1032"/>
      <c r="AB1" s="1032"/>
      <c r="AC1" s="1032"/>
      <c r="AD1" s="1032"/>
      <c r="AE1" s="1032"/>
      <c r="AF1" s="1032"/>
      <c r="AG1" s="1032"/>
      <c r="AH1" s="1032"/>
      <c r="AI1" s="1032"/>
      <c r="AJ1" s="1032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33" t="s">
        <v>126</v>
      </c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33"/>
      <c r="V2" s="1033"/>
      <c r="W2" s="1033"/>
      <c r="X2" s="1033"/>
      <c r="Y2" s="1033"/>
      <c r="Z2" s="1033"/>
      <c r="AA2" s="1033"/>
      <c r="AB2" s="1033"/>
      <c r="AC2" s="1033"/>
      <c r="AD2" s="1033"/>
      <c r="AE2" s="1033"/>
      <c r="AF2" s="1033"/>
      <c r="AG2" s="1033"/>
      <c r="AH2" s="1033"/>
      <c r="AI2" s="1033"/>
      <c r="AJ2" s="1033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23" t="s">
        <v>73</v>
      </c>
      <c r="C5" s="1025" t="s">
        <v>74</v>
      </c>
      <c r="D5" s="1026"/>
      <c r="E5" s="1026"/>
      <c r="F5" s="1026"/>
      <c r="G5" s="1026"/>
      <c r="H5" s="1027"/>
      <c r="I5" s="1028" t="s">
        <v>438</v>
      </c>
      <c r="J5" s="1028" t="s">
        <v>322</v>
      </c>
      <c r="K5" s="1029" t="s">
        <v>75</v>
      </c>
      <c r="L5" s="1026"/>
      <c r="M5" s="1026"/>
      <c r="N5" s="1023" t="s">
        <v>76</v>
      </c>
      <c r="O5" s="1034" t="s">
        <v>178</v>
      </c>
      <c r="P5" s="1034"/>
      <c r="Q5" s="1034"/>
      <c r="R5" s="1034"/>
      <c r="S5" s="1034"/>
      <c r="T5" s="1034"/>
      <c r="U5" s="1034"/>
      <c r="V5" s="1034"/>
      <c r="W5" s="1034"/>
      <c r="X5" s="1034"/>
      <c r="Y5" s="1035"/>
      <c r="Z5" s="1029" t="s">
        <v>77</v>
      </c>
      <c r="AA5" s="1036"/>
      <c r="AB5" s="1036"/>
      <c r="AC5" s="1036"/>
      <c r="AD5" s="1036"/>
      <c r="AE5" s="1036"/>
      <c r="AF5" s="1036"/>
      <c r="AG5" s="1037"/>
      <c r="AH5" s="1029" t="s">
        <v>78</v>
      </c>
      <c r="AI5" s="1027"/>
      <c r="AJ5" s="1029" t="s">
        <v>79</v>
      </c>
      <c r="AK5" s="1026"/>
      <c r="AL5" s="1026"/>
      <c r="AM5" s="1026"/>
      <c r="AN5" s="1026"/>
      <c r="AO5" s="1027"/>
      <c r="AP5" s="1029" t="s">
        <v>80</v>
      </c>
      <c r="AQ5" s="1027"/>
      <c r="AR5" s="75"/>
      <c r="AS5" s="85" t="s">
        <v>81</v>
      </c>
    </row>
    <row r="6" spans="1:45" ht="29.4" thickBot="1" x14ac:dyDescent="0.35">
      <c r="A6" s="84"/>
      <c r="B6" s="1024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24"/>
      <c r="J6" s="1031"/>
      <c r="K6" s="86" t="s">
        <v>87</v>
      </c>
      <c r="L6" s="86" t="s">
        <v>88</v>
      </c>
      <c r="M6" s="86" t="s">
        <v>127</v>
      </c>
      <c r="N6" s="1030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3" customFormat="1" ht="14.4" x14ac:dyDescent="0.3">
      <c r="A7" s="660"/>
      <c r="B7" s="661">
        <v>46174</v>
      </c>
      <c r="C7" s="662">
        <f>Crushing!N6</f>
        <v>0</v>
      </c>
      <c r="D7" s="662">
        <f>C7</f>
        <v>0</v>
      </c>
      <c r="E7" s="662" t="e">
        <f>C7/I7</f>
        <v>#DIV/0!</v>
      </c>
      <c r="F7" s="670"/>
      <c r="G7" s="663">
        <f>C7*F7</f>
        <v>0</v>
      </c>
      <c r="H7" s="664">
        <f>G7/1000</f>
        <v>0</v>
      </c>
      <c r="I7" s="662"/>
      <c r="J7" s="662">
        <v>0</v>
      </c>
      <c r="K7" s="665"/>
      <c r="L7" s="665">
        <f>J7/24</f>
        <v>0</v>
      </c>
      <c r="M7" s="665">
        <v>1</v>
      </c>
      <c r="N7" s="665">
        <f>IF(L7=100%,I7/24*100%,L7)</f>
        <v>0</v>
      </c>
      <c r="O7" s="674"/>
      <c r="P7" s="674"/>
      <c r="Q7" s="670"/>
      <c r="R7" s="670"/>
      <c r="S7" s="670"/>
      <c r="T7" s="670">
        <f>(O7*R7)-(S7*O7)</f>
        <v>0</v>
      </c>
      <c r="U7" s="671" t="e">
        <f>((R7-S7)/R7)</f>
        <v>#DIV/0!</v>
      </c>
      <c r="V7" s="669"/>
      <c r="W7" s="669"/>
      <c r="X7" s="669"/>
      <c r="Y7" s="669"/>
      <c r="Z7" s="670">
        <f>'Reagent Consumption'!O7</f>
        <v>0</v>
      </c>
      <c r="AA7" s="662">
        <f>'Fuel Consumption'!F4</f>
        <v>0</v>
      </c>
      <c r="AB7" s="670">
        <f>'Reagent Consumption'!Q7</f>
        <v>0</v>
      </c>
      <c r="AC7" s="670">
        <f>'Reagent Consumption'!P7</f>
        <v>0</v>
      </c>
      <c r="AD7" s="670">
        <f>'Reagent Consumption'!R7</f>
        <v>0</v>
      </c>
      <c r="AE7" s="670">
        <f>'Reagent Consumption'!S7</f>
        <v>0</v>
      </c>
      <c r="AF7" s="670">
        <f>'Reagent Consumption'!T7</f>
        <v>0</v>
      </c>
      <c r="AG7" s="670">
        <f>'Fuel Consumption'!F4</f>
        <v>0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69"/>
      <c r="AR7" s="672"/>
      <c r="AS7" s="672" t="s">
        <v>111</v>
      </c>
    </row>
    <row r="8" spans="1:45" s="673" customFormat="1" ht="14.4" x14ac:dyDescent="0.3">
      <c r="A8" s="660"/>
      <c r="B8" s="661">
        <v>46175</v>
      </c>
      <c r="C8" s="662">
        <f>Crushing!N8</f>
        <v>78.043500000000009</v>
      </c>
      <c r="D8" s="662">
        <f t="shared" ref="D8:D13" si="0">D7+C8</f>
        <v>78.043500000000009</v>
      </c>
      <c r="E8" s="662">
        <f t="shared" ref="E8:E11" si="1">C8/I8</f>
        <v>7.0734290030211486</v>
      </c>
      <c r="F8" s="670">
        <v>1.45</v>
      </c>
      <c r="G8" s="662">
        <f>C8*F8</f>
        <v>113.16307500000001</v>
      </c>
      <c r="H8" s="664">
        <f>G8/1000</f>
        <v>0.113163075</v>
      </c>
      <c r="I8" s="662">
        <f>'Crushing Down Time Hours'!L7</f>
        <v>11.033333333333333</v>
      </c>
      <c r="J8" s="662">
        <v>0</v>
      </c>
      <c r="K8" s="665"/>
      <c r="L8" s="665">
        <f t="shared" ref="L8:L45" si="2">J8/24</f>
        <v>0</v>
      </c>
      <c r="M8" s="665">
        <v>1</v>
      </c>
      <c r="N8" s="665">
        <f>IF(L8=100%,I8/24*100%,L8)</f>
        <v>0</v>
      </c>
      <c r="O8" s="668"/>
      <c r="P8" s="668"/>
      <c r="Q8" s="669"/>
      <c r="R8" s="669"/>
      <c r="S8" s="669"/>
      <c r="T8" s="670">
        <f t="shared" ref="T8:T37" si="3">(P8*R8)-(S8*P8)</f>
        <v>0</v>
      </c>
      <c r="U8" s="671" t="e">
        <f t="shared" ref="U8:U37" si="4">((R8-S8)/R8)</f>
        <v>#DIV/0!</v>
      </c>
      <c r="V8" s="669"/>
      <c r="W8" s="669"/>
      <c r="X8" s="669"/>
      <c r="Y8" s="669"/>
      <c r="Z8" s="670">
        <f>'Reagent Consumption'!O8</f>
        <v>0</v>
      </c>
      <c r="AA8" s="662">
        <f>'Fuel Consumption'!F5</f>
        <v>0</v>
      </c>
      <c r="AB8" s="670">
        <f>'Reagent Consumption'!Q8</f>
        <v>0</v>
      </c>
      <c r="AC8" s="670">
        <f>'Reagent Consumption'!P8</f>
        <v>0</v>
      </c>
      <c r="AD8" s="670">
        <f>'Reagent Consumption'!R8</f>
        <v>0</v>
      </c>
      <c r="AE8" s="670">
        <f>'Reagent Consumption'!S8</f>
        <v>0</v>
      </c>
      <c r="AF8" s="670">
        <f>'Reagent Consumption'!T8</f>
        <v>0</v>
      </c>
      <c r="AG8" s="670">
        <f>'Fuel Consumption'!F5</f>
        <v>0</v>
      </c>
      <c r="AH8" s="670"/>
      <c r="AI8" s="670"/>
      <c r="AJ8" s="670"/>
      <c r="AK8" s="670"/>
      <c r="AL8" s="670"/>
      <c r="AM8" s="670"/>
      <c r="AN8" s="670"/>
      <c r="AO8" s="670"/>
      <c r="AP8" s="670"/>
      <c r="AQ8" s="669"/>
      <c r="AR8" s="672"/>
      <c r="AS8" s="672" t="s">
        <v>112</v>
      </c>
    </row>
    <row r="9" spans="1:45" s="673" customFormat="1" ht="14.4" x14ac:dyDescent="0.3">
      <c r="A9" s="660"/>
      <c r="B9" s="661">
        <v>46176</v>
      </c>
      <c r="C9" s="662">
        <f>Crushing!N10</f>
        <v>17.712000000000003</v>
      </c>
      <c r="D9" s="662">
        <f t="shared" si="0"/>
        <v>95.755500000000012</v>
      </c>
      <c r="E9" s="662">
        <f t="shared" si="1"/>
        <v>1.6053172205438069</v>
      </c>
      <c r="F9" s="675">
        <v>1.45</v>
      </c>
      <c r="G9" s="676">
        <f t="shared" ref="G9:G16" si="5">F9*C9</f>
        <v>25.682400000000005</v>
      </c>
      <c r="H9" s="677">
        <f t="shared" ref="H9:H17" si="6">G9/1000</f>
        <v>2.5682400000000005E-2</v>
      </c>
      <c r="I9" s="662">
        <f>'Crushing Down Time Hours'!L8</f>
        <v>11.033333333333333</v>
      </c>
      <c r="J9" s="662">
        <v>0</v>
      </c>
      <c r="K9" s="665"/>
      <c r="L9" s="665">
        <f t="shared" si="2"/>
        <v>0</v>
      </c>
      <c r="M9" s="665">
        <v>1</v>
      </c>
      <c r="N9" s="665">
        <f>IF(L9=100%,(I9/24),L9)</f>
        <v>0</v>
      </c>
      <c r="O9" s="668"/>
      <c r="P9" s="668"/>
      <c r="Q9" s="669"/>
      <c r="R9" s="669"/>
      <c r="S9" s="669"/>
      <c r="T9" s="670">
        <f t="shared" si="3"/>
        <v>0</v>
      </c>
      <c r="U9" s="671" t="e">
        <f>((R9-S9)/R9)</f>
        <v>#DIV/0!</v>
      </c>
      <c r="V9" s="669"/>
      <c r="W9" s="669"/>
      <c r="X9" s="669"/>
      <c r="Y9" s="669"/>
      <c r="Z9" s="670">
        <f>'Reagent Consumption'!O9</f>
        <v>0</v>
      </c>
      <c r="AA9" s="662">
        <f>'Fuel Consumption'!F6</f>
        <v>0</v>
      </c>
      <c r="AB9" s="670">
        <f>'Reagent Consumption'!Q9</f>
        <v>0</v>
      </c>
      <c r="AC9" s="670">
        <f>'Reagent Consumption'!P9</f>
        <v>0</v>
      </c>
      <c r="AD9" s="670">
        <f>'Reagent Consumption'!R9</f>
        <v>0</v>
      </c>
      <c r="AE9" s="670">
        <f>'Reagent Consumption'!S9</f>
        <v>0</v>
      </c>
      <c r="AF9" s="670">
        <f>'Reagent Consumption'!T9</f>
        <v>0</v>
      </c>
      <c r="AG9" s="670">
        <f>'Fuel Consumption'!F6</f>
        <v>0</v>
      </c>
      <c r="AH9" s="670"/>
      <c r="AI9" s="670"/>
      <c r="AJ9" s="670"/>
      <c r="AK9" s="670"/>
      <c r="AL9" s="670"/>
      <c r="AM9" s="670"/>
      <c r="AN9" s="670"/>
      <c r="AO9" s="670"/>
      <c r="AP9" s="670"/>
      <c r="AQ9" s="669"/>
      <c r="AR9" s="672"/>
      <c r="AS9" s="672" t="s">
        <v>113</v>
      </c>
    </row>
    <row r="10" spans="1:45" s="673" customFormat="1" ht="14.4" x14ac:dyDescent="0.3">
      <c r="A10" s="660"/>
      <c r="B10" s="661">
        <v>46177</v>
      </c>
      <c r="C10" s="662">
        <f>Crushing!N12</f>
        <v>157.9905</v>
      </c>
      <c r="D10" s="662">
        <f t="shared" si="0"/>
        <v>253.74600000000001</v>
      </c>
      <c r="E10" s="662">
        <f t="shared" si="1"/>
        <v>16.74810954063604</v>
      </c>
      <c r="F10" s="670">
        <v>1.45</v>
      </c>
      <c r="G10" s="676">
        <f t="shared" si="5"/>
        <v>229.08622499999998</v>
      </c>
      <c r="H10" s="677">
        <f t="shared" si="6"/>
        <v>0.22908622499999998</v>
      </c>
      <c r="I10" s="662">
        <f>'Crushing Down Time Hours'!L9</f>
        <v>9.4333333333333353</v>
      </c>
      <c r="J10" s="662">
        <v>0</v>
      </c>
      <c r="K10" s="665"/>
      <c r="L10" s="665">
        <f t="shared" si="2"/>
        <v>0</v>
      </c>
      <c r="M10" s="665">
        <v>1</v>
      </c>
      <c r="N10" s="665">
        <f t="shared" ref="N10:N45" si="7">IF(L10=100%,I10/24*100%,L10)</f>
        <v>0</v>
      </c>
      <c r="O10" s="678"/>
      <c r="P10" s="668"/>
      <c r="Q10" s="669"/>
      <c r="R10" s="660"/>
      <c r="S10" s="669"/>
      <c r="T10" s="670">
        <f t="shared" si="3"/>
        <v>0</v>
      </c>
      <c r="U10" s="671" t="e">
        <f>((R10-S10)/R10)</f>
        <v>#DIV/0!</v>
      </c>
      <c r="V10" s="669"/>
      <c r="W10" s="669"/>
      <c r="X10" s="669"/>
      <c r="Y10" s="669"/>
      <c r="Z10" s="670">
        <f>'Reagent Consumption'!O10</f>
        <v>150</v>
      </c>
      <c r="AA10" s="662">
        <f>'Fuel Consumption'!F7</f>
        <v>0</v>
      </c>
      <c r="AB10" s="670">
        <f>'Reagent Consumption'!Q10</f>
        <v>0</v>
      </c>
      <c r="AC10" s="670">
        <f>'Reagent Consumption'!P10</f>
        <v>250</v>
      </c>
      <c r="AD10" s="670">
        <f>'Reagent Consumption'!R10</f>
        <v>0</v>
      </c>
      <c r="AE10" s="670">
        <f>'Reagent Consumption'!S10</f>
        <v>0</v>
      </c>
      <c r="AF10" s="670">
        <f>'Reagent Consumption'!T10</f>
        <v>0</v>
      </c>
      <c r="AG10" s="670">
        <f>'Fuel Consumption'!F7</f>
        <v>0</v>
      </c>
      <c r="AH10" s="670"/>
      <c r="AI10" s="670"/>
      <c r="AJ10" s="670"/>
      <c r="AK10" s="670"/>
      <c r="AL10" s="670"/>
      <c r="AM10" s="670"/>
      <c r="AN10" s="670"/>
      <c r="AO10" s="670"/>
      <c r="AP10" s="670"/>
      <c r="AQ10" s="669"/>
      <c r="AR10" s="672"/>
      <c r="AS10" s="672" t="s">
        <v>114</v>
      </c>
    </row>
    <row r="11" spans="1:45" s="673" customFormat="1" ht="14.4" x14ac:dyDescent="0.3">
      <c r="A11" s="660"/>
      <c r="B11" s="661">
        <v>46252</v>
      </c>
      <c r="C11" s="662">
        <f>Crushing!N14</f>
        <v>37.919199999999996</v>
      </c>
      <c r="D11" s="662">
        <f t="shared" si="0"/>
        <v>291.66520000000003</v>
      </c>
      <c r="E11" s="662">
        <f t="shared" si="1"/>
        <v>18.648786885245901</v>
      </c>
      <c r="F11" s="670">
        <v>0.77</v>
      </c>
      <c r="G11" s="676">
        <f t="shared" si="5"/>
        <v>29.197783999999999</v>
      </c>
      <c r="H11" s="677">
        <f t="shared" si="6"/>
        <v>2.9197783999999997E-2</v>
      </c>
      <c r="I11" s="662">
        <f>'Crushing Down Time Hours'!L6</f>
        <v>2.0333333333333332</v>
      </c>
      <c r="J11" s="662">
        <v>0</v>
      </c>
      <c r="K11" s="665">
        <f>'Crushing Down Time Hours'!M6</f>
        <v>0.16944444444444443</v>
      </c>
      <c r="L11" s="665">
        <f t="shared" si="2"/>
        <v>0</v>
      </c>
      <c r="M11" s="665">
        <v>1</v>
      </c>
      <c r="N11" s="665">
        <f t="shared" si="7"/>
        <v>0</v>
      </c>
      <c r="O11" s="669"/>
      <c r="P11" s="669"/>
      <c r="Q11" s="679"/>
      <c r="R11" s="678"/>
      <c r="S11" s="669"/>
      <c r="T11" s="670">
        <f t="shared" si="3"/>
        <v>0</v>
      </c>
      <c r="U11" s="671" t="e">
        <f>((Q12-S11)/Q12)</f>
        <v>#DIV/0!</v>
      </c>
      <c r="V11" s="669"/>
      <c r="W11" s="669"/>
      <c r="X11" s="669"/>
      <c r="Y11" s="669"/>
      <c r="Z11" s="670">
        <f>'Reagent Consumption'!O11</f>
        <v>225</v>
      </c>
      <c r="AA11" s="662">
        <f>'Fuel Consumption'!F8</f>
        <v>0</v>
      </c>
      <c r="AB11" s="670">
        <f>'Reagent Consumption'!Q11</f>
        <v>1000</v>
      </c>
      <c r="AC11" s="670">
        <f>'Reagent Consumption'!P11</f>
        <v>1250</v>
      </c>
      <c r="AD11" s="670">
        <f>'Reagent Consumption'!R11</f>
        <v>0</v>
      </c>
      <c r="AE11" s="670">
        <f>'Reagent Consumption'!S11</f>
        <v>0</v>
      </c>
      <c r="AF11" s="670">
        <f>'Reagent Consumption'!T11</f>
        <v>25</v>
      </c>
      <c r="AG11" s="670">
        <f>'Fuel Consumption'!F8</f>
        <v>0</v>
      </c>
      <c r="AH11" s="670"/>
      <c r="AI11" s="670"/>
      <c r="AJ11" s="670"/>
      <c r="AK11" s="670"/>
      <c r="AL11" s="670"/>
      <c r="AM11" s="670"/>
      <c r="AN11" s="670"/>
      <c r="AO11" s="670"/>
      <c r="AP11" s="670"/>
      <c r="AQ11" s="669"/>
      <c r="AR11" s="672"/>
      <c r="AS11" s="672" t="s">
        <v>115</v>
      </c>
    </row>
    <row r="12" spans="1:45" s="673" customFormat="1" ht="14.4" x14ac:dyDescent="0.3">
      <c r="A12" s="660"/>
      <c r="B12" s="661">
        <v>46253</v>
      </c>
      <c r="C12" s="662">
        <f>Crushing!N16</f>
        <v>283.17079999999999</v>
      </c>
      <c r="D12" s="662">
        <f t="shared" si="0"/>
        <v>574.83600000000001</v>
      </c>
      <c r="E12" s="662">
        <f>C12/I12</f>
        <v>25.665027190332324</v>
      </c>
      <c r="F12" s="680">
        <v>1.0209999999999999</v>
      </c>
      <c r="G12" s="676">
        <f>F12*C12</f>
        <v>289.11738679999996</v>
      </c>
      <c r="H12" s="677">
        <f t="shared" si="6"/>
        <v>0.28911738679999999</v>
      </c>
      <c r="I12" s="662">
        <f>'Crushing Down Time Hours'!L7</f>
        <v>11.033333333333333</v>
      </c>
      <c r="J12" s="662">
        <v>0</v>
      </c>
      <c r="K12" s="665">
        <f>'Crushing Down Time Hours'!M7</f>
        <v>0.9194444444444444</v>
      </c>
      <c r="L12" s="665">
        <f t="shared" si="2"/>
        <v>0</v>
      </c>
      <c r="M12" s="665">
        <v>1</v>
      </c>
      <c r="N12" s="665">
        <f t="shared" si="7"/>
        <v>0</v>
      </c>
      <c r="O12" s="669"/>
      <c r="P12" s="669"/>
      <c r="Q12" s="679"/>
      <c r="R12" s="678"/>
      <c r="S12" s="669"/>
      <c r="T12" s="670">
        <f t="shared" si="3"/>
        <v>0</v>
      </c>
      <c r="U12" s="671" t="e">
        <f>((Q13-S12)/Q13)</f>
        <v>#DIV/0!</v>
      </c>
      <c r="V12" s="669"/>
      <c r="W12" s="669"/>
      <c r="X12" s="669"/>
      <c r="Y12" s="669"/>
      <c r="Z12" s="670">
        <f>'Reagent Consumption'!O13</f>
        <v>275</v>
      </c>
      <c r="AA12" s="662">
        <f>'Fuel Consumption'!F9</f>
        <v>0</v>
      </c>
      <c r="AB12" s="670">
        <f>'Reagent Consumption'!Q13</f>
        <v>1000</v>
      </c>
      <c r="AC12" s="670">
        <f>'Reagent Consumption'!P13</f>
        <v>500</v>
      </c>
      <c r="AD12" s="670">
        <f>'Reagent Consumption'!R13</f>
        <v>0</v>
      </c>
      <c r="AE12" s="670">
        <f>'Reagent Consumption'!S13</f>
        <v>0</v>
      </c>
      <c r="AF12" s="670">
        <f>'Reagent Consumption'!T13</f>
        <v>25</v>
      </c>
      <c r="AG12" s="670">
        <f>'Fuel Consumption'!F9</f>
        <v>0</v>
      </c>
      <c r="AH12" s="670"/>
      <c r="AI12" s="670"/>
      <c r="AJ12" s="670"/>
      <c r="AK12" s="670"/>
      <c r="AL12" s="670"/>
      <c r="AM12" s="670"/>
      <c r="AN12" s="670"/>
      <c r="AO12" s="670"/>
      <c r="AP12" s="670"/>
      <c r="AQ12" s="669"/>
      <c r="AR12" s="672"/>
      <c r="AS12" s="672" t="s">
        <v>116</v>
      </c>
    </row>
    <row r="13" spans="1:45" s="673" customFormat="1" ht="14.4" x14ac:dyDescent="0.3">
      <c r="A13" s="660"/>
      <c r="B13" s="661">
        <v>46254</v>
      </c>
      <c r="C13" s="662">
        <f>Crushing!N18</f>
        <v>337.14449999999999</v>
      </c>
      <c r="D13" s="662">
        <f t="shared" si="0"/>
        <v>911.98050000000001</v>
      </c>
      <c r="E13" s="663">
        <f t="shared" ref="E13:E36" si="8">C13/I13</f>
        <v>33.658352745424288</v>
      </c>
      <c r="F13" s="670">
        <v>0.60399999999999998</v>
      </c>
      <c r="G13" s="662">
        <f>F13*C13</f>
        <v>203.635278</v>
      </c>
      <c r="H13" s="664">
        <f t="shared" si="6"/>
        <v>0.203635278</v>
      </c>
      <c r="I13" s="662">
        <f>'Crushing Down Time Hours'!L12</f>
        <v>10.016666666666667</v>
      </c>
      <c r="J13" s="662">
        <v>0</v>
      </c>
      <c r="K13" s="665">
        <f>'Crushing Down Time Hours'!M8</f>
        <v>0.9194444444444444</v>
      </c>
      <c r="L13" s="665">
        <f t="shared" si="2"/>
        <v>0</v>
      </c>
      <c r="M13" s="665">
        <v>1</v>
      </c>
      <c r="N13" s="665">
        <f t="shared" si="7"/>
        <v>0</v>
      </c>
      <c r="O13" s="669"/>
      <c r="P13" s="669"/>
      <c r="Q13" s="679"/>
      <c r="R13" s="678"/>
      <c r="S13" s="669"/>
      <c r="T13" s="670">
        <f t="shared" si="3"/>
        <v>0</v>
      </c>
      <c r="U13" s="671" t="e">
        <f>((Q14-S13)/Q14)</f>
        <v>#DIV/0!</v>
      </c>
      <c r="V13" s="669" t="s">
        <v>117</v>
      </c>
      <c r="W13" s="669"/>
      <c r="X13" s="669"/>
      <c r="Y13" s="669"/>
      <c r="Z13" s="670">
        <f>'Reagent Consumption'!O15</f>
        <v>100</v>
      </c>
      <c r="AA13" s="662">
        <f>'Fuel Consumption'!F10</f>
        <v>0</v>
      </c>
      <c r="AB13" s="670">
        <f>'Reagent Consumption'!Q15</f>
        <v>0</v>
      </c>
      <c r="AC13" s="670">
        <f>'Reagent Consumption'!P15</f>
        <v>250</v>
      </c>
      <c r="AD13" s="670">
        <f>'Reagent Consumption'!R15</f>
        <v>0</v>
      </c>
      <c r="AE13" s="670">
        <f>'Reagent Consumption'!S15</f>
        <v>0</v>
      </c>
      <c r="AF13" s="670">
        <f>'Reagent Consumption'!T15</f>
        <v>0</v>
      </c>
      <c r="AG13" s="670">
        <f>'Fuel Consumption'!F10</f>
        <v>0</v>
      </c>
      <c r="AH13" s="670"/>
      <c r="AI13" s="670"/>
      <c r="AJ13" s="670"/>
      <c r="AK13" s="670"/>
      <c r="AL13" s="670"/>
      <c r="AM13" s="670"/>
      <c r="AN13" s="670"/>
      <c r="AO13" s="670"/>
      <c r="AP13" s="670"/>
      <c r="AQ13" s="669"/>
      <c r="AR13" s="672"/>
      <c r="AS13" s="672" t="s">
        <v>118</v>
      </c>
    </row>
    <row r="14" spans="1:45" s="673" customFormat="1" ht="14.4" x14ac:dyDescent="0.3">
      <c r="A14" s="660"/>
      <c r="B14" s="661">
        <v>46255</v>
      </c>
      <c r="C14" s="662">
        <f>Crushing!N20</f>
        <v>290.85750000000002</v>
      </c>
      <c r="D14" s="662">
        <f>D13+C14</f>
        <v>1202.838</v>
      </c>
      <c r="E14" s="663">
        <f t="shared" si="8"/>
        <v>30.83295053003533</v>
      </c>
      <c r="F14" s="670">
        <v>0.442</v>
      </c>
      <c r="G14" s="662">
        <f>F14*C14</f>
        <v>128.55901500000002</v>
      </c>
      <c r="H14" s="664">
        <f t="shared" si="6"/>
        <v>0.12855901500000003</v>
      </c>
      <c r="I14" s="662">
        <f>'Crushing Down Time Hours'!L9</f>
        <v>9.4333333333333353</v>
      </c>
      <c r="J14" s="662">
        <v>0</v>
      </c>
      <c r="K14" s="665">
        <f>'Crushing Down Time Hours'!M9</f>
        <v>0.78611111111111132</v>
      </c>
      <c r="L14" s="665">
        <f t="shared" si="2"/>
        <v>0</v>
      </c>
      <c r="M14" s="665">
        <v>1</v>
      </c>
      <c r="N14" s="665">
        <f t="shared" si="7"/>
        <v>0</v>
      </c>
      <c r="O14" s="669"/>
      <c r="P14" s="669"/>
      <c r="Q14" s="679"/>
      <c r="R14" s="668"/>
      <c r="S14" s="669"/>
      <c r="T14" s="670">
        <f t="shared" si="3"/>
        <v>0</v>
      </c>
      <c r="U14" s="671" t="e">
        <f t="shared" si="4"/>
        <v>#DIV/0!</v>
      </c>
      <c r="V14" s="669"/>
      <c r="W14" s="669"/>
      <c r="X14" s="669"/>
      <c r="Y14" s="669"/>
      <c r="Z14" s="670">
        <f>'Reagent Consumption'!O16</f>
        <v>0</v>
      </c>
      <c r="AA14" s="662">
        <f>'Fuel Consumption'!F11</f>
        <v>0</v>
      </c>
      <c r="AB14" s="670">
        <f>'Reagent Consumption'!Q16</f>
        <v>0</v>
      </c>
      <c r="AC14" s="670">
        <f>'Reagent Consumption'!P16</f>
        <v>0</v>
      </c>
      <c r="AD14" s="670">
        <f>'Reagent Consumption'!R16</f>
        <v>0</v>
      </c>
      <c r="AE14" s="670">
        <f>'Reagent Consumption'!S16</f>
        <v>0</v>
      </c>
      <c r="AF14" s="670">
        <f>'Reagent Consumption'!T16</f>
        <v>25</v>
      </c>
      <c r="AG14" s="670">
        <f>'Fuel Consumption'!F11</f>
        <v>0</v>
      </c>
      <c r="AH14" s="670"/>
      <c r="AI14" s="670"/>
      <c r="AJ14" s="670"/>
      <c r="AK14" s="670"/>
      <c r="AL14" s="670"/>
      <c r="AM14" s="670"/>
      <c r="AN14" s="670"/>
      <c r="AO14" s="670"/>
      <c r="AP14" s="670"/>
      <c r="AQ14" s="669"/>
      <c r="AR14" s="672"/>
      <c r="AS14" s="672" t="s">
        <v>119</v>
      </c>
    </row>
    <row r="15" spans="1:45" s="673" customFormat="1" ht="14.4" x14ac:dyDescent="0.3">
      <c r="A15" s="660"/>
      <c r="B15" s="661">
        <v>46256</v>
      </c>
      <c r="C15" s="662">
        <f>Crushing!N22</f>
        <v>197.0325</v>
      </c>
      <c r="D15" s="662">
        <f t="shared" ref="D15:D36" si="9">D14+C15</f>
        <v>1399.8705</v>
      </c>
      <c r="E15" s="663">
        <f t="shared" si="8"/>
        <v>21.852033271719037</v>
      </c>
      <c r="F15" s="664">
        <f>AVERAGE('Rom File Inventory'!T93:T101)</f>
        <v>0.62933333333333319</v>
      </c>
      <c r="G15" s="662">
        <f t="shared" si="5"/>
        <v>123.99911999999998</v>
      </c>
      <c r="H15" s="664">
        <f t="shared" si="6"/>
        <v>0.12399911999999998</v>
      </c>
      <c r="I15" s="662">
        <f>'Crushing Down Time Hours'!L10</f>
        <v>9.0166666666666675</v>
      </c>
      <c r="J15" s="662">
        <v>0</v>
      </c>
      <c r="K15" s="665">
        <f>'Crushing Down Time Hours'!M10</f>
        <v>0.75138888888888899</v>
      </c>
      <c r="L15" s="665">
        <f t="shared" si="2"/>
        <v>0</v>
      </c>
      <c r="M15" s="665">
        <v>1</v>
      </c>
      <c r="N15" s="681">
        <f t="shared" si="7"/>
        <v>0</v>
      </c>
      <c r="O15" s="660"/>
      <c r="P15" s="660"/>
      <c r="Q15" s="669"/>
      <c r="R15" s="669"/>
      <c r="S15" s="669"/>
      <c r="T15" s="670">
        <f t="shared" si="3"/>
        <v>0</v>
      </c>
      <c r="U15" s="671" t="e">
        <f t="shared" si="4"/>
        <v>#DIV/0!</v>
      </c>
      <c r="V15" s="669"/>
      <c r="W15" s="669"/>
      <c r="X15" s="669"/>
      <c r="Y15" s="669"/>
      <c r="Z15" s="670">
        <f>'Reagent Consumption'!O17</f>
        <v>100</v>
      </c>
      <c r="AA15" s="662">
        <f>'Fuel Consumption'!F12</f>
        <v>0</v>
      </c>
      <c r="AB15" s="670">
        <f>'Reagent Consumption'!Q17</f>
        <v>0</v>
      </c>
      <c r="AC15" s="670">
        <f>'Reagent Consumption'!P17</f>
        <v>0</v>
      </c>
      <c r="AD15" s="670">
        <f>'Reagent Consumption'!R17</f>
        <v>0</v>
      </c>
      <c r="AE15" s="670">
        <f>'Reagent Consumption'!S17</f>
        <v>0</v>
      </c>
      <c r="AF15" s="670">
        <f>'Reagent Consumption'!T17</f>
        <v>0</v>
      </c>
      <c r="AG15" s="670">
        <f>'Fuel Consumption'!F12</f>
        <v>0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69"/>
      <c r="AR15" s="672"/>
      <c r="AS15" s="672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3" customFormat="1" ht="14.4" x14ac:dyDescent="0.3">
      <c r="A17" s="660"/>
      <c r="B17" s="661">
        <v>46258</v>
      </c>
      <c r="C17" s="662">
        <f>Crushing!N26</f>
        <v>163.881</v>
      </c>
      <c r="D17" s="662">
        <f>D16+C17</f>
        <v>1563.7515000000001</v>
      </c>
      <c r="E17" s="663">
        <f>C17/I17</f>
        <v>16.360831946755408</v>
      </c>
      <c r="F17" s="682">
        <f>AVERAGE('Rom File Inventory'!T102:T110)</f>
        <v>1.0302222222222222</v>
      </c>
      <c r="G17" s="662">
        <f>F17*C17</f>
        <v>168.83384799999999</v>
      </c>
      <c r="H17" s="664">
        <f t="shared" si="6"/>
        <v>0.16883384799999998</v>
      </c>
      <c r="I17" s="662">
        <f>'Crushing Down Time Hours'!L12</f>
        <v>10.016666666666667</v>
      </c>
      <c r="J17" s="662">
        <v>0</v>
      </c>
      <c r="K17" s="665">
        <f>'Crushing Down Time Hours'!M12</f>
        <v>0.83472222222222225</v>
      </c>
      <c r="L17" s="665">
        <f t="shared" si="2"/>
        <v>0</v>
      </c>
      <c r="M17" s="666">
        <v>1</v>
      </c>
      <c r="N17" s="667">
        <f t="shared" si="7"/>
        <v>0</v>
      </c>
      <c r="O17" s="668"/>
      <c r="P17" s="668"/>
      <c r="Q17" s="669"/>
      <c r="R17" s="669"/>
      <c r="S17" s="669"/>
      <c r="T17" s="670">
        <f t="shared" si="3"/>
        <v>0</v>
      </c>
      <c r="U17" s="671" t="e">
        <f t="shared" si="4"/>
        <v>#DIV/0!</v>
      </c>
      <c r="V17" s="669"/>
      <c r="W17" s="669"/>
      <c r="X17" s="669"/>
      <c r="Y17" s="669"/>
      <c r="Z17" s="670">
        <f>'Reagent Consumption'!O19</f>
        <v>300</v>
      </c>
      <c r="AA17" s="662">
        <f>'Fuel Consumption'!F14</f>
        <v>0</v>
      </c>
      <c r="AB17" s="670">
        <f>'Reagent Consumption'!Q19</f>
        <v>0</v>
      </c>
      <c r="AC17" s="670">
        <f>'Reagent Consumption'!P19</f>
        <v>750</v>
      </c>
      <c r="AD17" s="670">
        <f>'Reagent Consumption'!R19</f>
        <v>0</v>
      </c>
      <c r="AE17" s="670">
        <f>'Reagent Consumption'!S19</f>
        <v>0</v>
      </c>
      <c r="AF17" s="670">
        <f>'Reagent Consumption'!T19</f>
        <v>0</v>
      </c>
      <c r="AG17" s="670">
        <f>'Fuel Consumption'!F14</f>
        <v>0</v>
      </c>
      <c r="AH17" s="670"/>
      <c r="AI17" s="670"/>
      <c r="AJ17" s="670"/>
      <c r="AK17" s="670"/>
      <c r="AL17" s="670"/>
      <c r="AM17" s="670"/>
      <c r="AN17" s="670"/>
      <c r="AO17" s="670"/>
      <c r="AP17" s="670"/>
      <c r="AQ17" s="669"/>
      <c r="AR17" s="672"/>
      <c r="AS17" s="672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3" customFormat="1" ht="14.4" x14ac:dyDescent="0.3">
      <c r="A20" s="660"/>
      <c r="B20" s="661">
        <v>46261</v>
      </c>
      <c r="C20" s="662">
        <f>Crushing!N32</f>
        <v>124.94709999999999</v>
      </c>
      <c r="D20" s="662">
        <f t="shared" si="9"/>
        <v>1688.6986000000002</v>
      </c>
      <c r="E20" s="663">
        <f t="shared" si="8"/>
        <v>23.724132911392402</v>
      </c>
      <c r="F20" s="664">
        <f>AVERAGE('Rom File Inventory'!T111:T117)</f>
        <v>0.751142857142857</v>
      </c>
      <c r="G20" s="662">
        <f t="shared" si="10"/>
        <v>93.853121685714257</v>
      </c>
      <c r="H20" s="664">
        <f t="shared" si="11"/>
        <v>9.3853121685714261E-2</v>
      </c>
      <c r="I20" s="662">
        <f>'Crushing Down Time Hours'!L15</f>
        <v>5.2666666666666666</v>
      </c>
      <c r="J20" s="662">
        <v>0</v>
      </c>
      <c r="K20" s="665">
        <f>'Crushing Down Time Hours'!M15</f>
        <v>0.43888888888888888</v>
      </c>
      <c r="L20" s="665">
        <f t="shared" si="2"/>
        <v>0</v>
      </c>
      <c r="M20" s="666">
        <f>'Milling Down Time Hours'!R6</f>
        <v>0.95416666666666661</v>
      </c>
      <c r="N20" s="667">
        <f t="shared" si="7"/>
        <v>0</v>
      </c>
      <c r="O20" s="668"/>
      <c r="P20" s="678"/>
      <c r="Q20" s="669"/>
      <c r="R20" s="669"/>
      <c r="S20" s="669"/>
      <c r="T20" s="670">
        <f t="shared" si="3"/>
        <v>0</v>
      </c>
      <c r="U20" s="671" t="e">
        <f t="shared" si="4"/>
        <v>#DIV/0!</v>
      </c>
      <c r="V20" s="669"/>
      <c r="W20" s="669"/>
      <c r="X20" s="669"/>
      <c r="Y20" s="669"/>
      <c r="Z20" s="670">
        <f>'Reagent Consumption'!O24</f>
        <v>300</v>
      </c>
      <c r="AA20" s="662">
        <f>'Fuel Consumption'!F17</f>
        <v>0</v>
      </c>
      <c r="AB20" s="670">
        <f>'Reagent Consumption'!Q24</f>
        <v>500</v>
      </c>
      <c r="AC20" s="670">
        <f>'Reagent Consumption'!P24</f>
        <v>0</v>
      </c>
      <c r="AD20" s="670">
        <f>'Reagent Consumption'!R24</f>
        <v>0</v>
      </c>
      <c r="AE20" s="670">
        <f>'Reagent Consumption'!S24</f>
        <v>0</v>
      </c>
      <c r="AF20" s="670">
        <f>'Reagent Consumption'!T24</f>
        <v>0</v>
      </c>
      <c r="AG20" s="670">
        <f>'Fuel Consumption'!F17</f>
        <v>0</v>
      </c>
      <c r="AH20" s="670"/>
      <c r="AI20" s="670"/>
      <c r="AJ20" s="670"/>
      <c r="AK20" s="670"/>
      <c r="AL20" s="670"/>
      <c r="AM20" s="670"/>
      <c r="AN20" s="670"/>
      <c r="AO20" s="670"/>
      <c r="AP20" s="670"/>
      <c r="AQ20" s="669"/>
      <c r="AR20" s="672"/>
      <c r="AS20" s="672"/>
    </row>
    <row r="21" spans="1:45" s="673" customFormat="1" ht="14.4" x14ac:dyDescent="0.3">
      <c r="A21" s="660"/>
      <c r="B21" s="661">
        <v>46262</v>
      </c>
      <c r="C21" s="662">
        <f>Crushing!N34</f>
        <v>167.76500000000001</v>
      </c>
      <c r="D21" s="662">
        <f t="shared" si="9"/>
        <v>1856.4636000000003</v>
      </c>
      <c r="E21" s="663">
        <f>C21/I21</f>
        <v>20.927027027027027</v>
      </c>
      <c r="F21" s="664">
        <f>AVERAGE('Rom File Inventory'!T118:T126)</f>
        <v>0.6641111111111111</v>
      </c>
      <c r="G21" s="662">
        <f t="shared" si="10"/>
        <v>111.41460055555557</v>
      </c>
      <c r="H21" s="664">
        <f t="shared" si="11"/>
        <v>0.11141460055555556</v>
      </c>
      <c r="I21" s="662">
        <f>'Crushing Down Time Hours'!L16</f>
        <v>8.0166666666666675</v>
      </c>
      <c r="J21" s="662">
        <v>0</v>
      </c>
      <c r="K21" s="665">
        <f>'Crushing Down Time Hours'!M16</f>
        <v>0.66805555555555562</v>
      </c>
      <c r="L21" s="665">
        <f t="shared" si="2"/>
        <v>0</v>
      </c>
      <c r="M21" s="666">
        <f>'Milling Down Time Hours'!R7</f>
        <v>0.91666666666666663</v>
      </c>
      <c r="N21" s="667">
        <f t="shared" si="7"/>
        <v>0</v>
      </c>
      <c r="O21" s="668"/>
      <c r="P21" s="668"/>
      <c r="Q21" s="669"/>
      <c r="R21" s="669"/>
      <c r="S21" s="669"/>
      <c r="T21" s="670">
        <f t="shared" si="3"/>
        <v>0</v>
      </c>
      <c r="U21" s="671" t="e">
        <f t="shared" si="4"/>
        <v>#DIV/0!</v>
      </c>
      <c r="V21" s="669"/>
      <c r="W21" s="669"/>
      <c r="X21" s="669"/>
      <c r="Y21" s="669"/>
      <c r="Z21" s="670">
        <f>'Reagent Consumption'!O26</f>
        <v>200</v>
      </c>
      <c r="AA21" s="662">
        <f>'Fuel Consumption'!F18</f>
        <v>0</v>
      </c>
      <c r="AB21" s="670">
        <f>'Reagent Consumption'!Q26</f>
        <v>500</v>
      </c>
      <c r="AC21" s="670">
        <f>'Reagent Consumption'!P26</f>
        <v>0</v>
      </c>
      <c r="AD21" s="670">
        <f>'Reagent Consumption'!R26</f>
        <v>0</v>
      </c>
      <c r="AE21" s="670">
        <f>'Reagent Consumption'!S26</f>
        <v>0</v>
      </c>
      <c r="AF21" s="670">
        <f>'Reagent Consumption'!T26</f>
        <v>50</v>
      </c>
      <c r="AG21" s="670">
        <f>'Fuel Consumption'!F18</f>
        <v>0</v>
      </c>
      <c r="AH21" s="670"/>
      <c r="AI21" s="670"/>
      <c r="AJ21" s="670"/>
      <c r="AK21" s="670"/>
      <c r="AL21" s="670"/>
      <c r="AM21" s="670"/>
      <c r="AN21" s="670"/>
      <c r="AO21" s="670"/>
      <c r="AP21" s="670"/>
      <c r="AQ21" s="669"/>
      <c r="AR21" s="672"/>
      <c r="AS21" s="672"/>
    </row>
    <row r="22" spans="1:45" s="673" customFormat="1" ht="14.4" x14ac:dyDescent="0.3">
      <c r="A22" s="660"/>
      <c r="B22" s="661">
        <v>46263</v>
      </c>
      <c r="C22" s="662">
        <f>Crushing!N36</f>
        <v>240.43500000000003</v>
      </c>
      <c r="D22" s="662">
        <f t="shared" si="9"/>
        <v>2096.8986000000004</v>
      </c>
      <c r="E22" s="663">
        <f t="shared" si="8"/>
        <v>24.003494176372712</v>
      </c>
      <c r="F22" s="670">
        <f>AVERAGE('Rom File Inventory'!T127:T137)</f>
        <v>0.872</v>
      </c>
      <c r="G22" s="662">
        <f t="shared" si="10"/>
        <v>209.65932000000004</v>
      </c>
      <c r="H22" s="664">
        <f t="shared" si="11"/>
        <v>0.20965932000000004</v>
      </c>
      <c r="I22" s="662">
        <f>'Crushing Down Time Hours'!L17</f>
        <v>10.016666666666667</v>
      </c>
      <c r="J22" s="662">
        <v>0</v>
      </c>
      <c r="K22" s="665">
        <f>'Crushing Down Time Hours'!M17</f>
        <v>0.83472222222222225</v>
      </c>
      <c r="L22" s="665">
        <f t="shared" si="2"/>
        <v>0</v>
      </c>
      <c r="M22" s="666">
        <f>'Milling Down Time Hours'!R8</f>
        <v>0.95833333333333337</v>
      </c>
      <c r="N22" s="667">
        <f t="shared" si="7"/>
        <v>0</v>
      </c>
      <c r="O22" s="668"/>
      <c r="P22" s="668"/>
      <c r="Q22" s="669"/>
      <c r="R22" s="669"/>
      <c r="S22" s="669"/>
      <c r="T22" s="670">
        <f t="shared" si="3"/>
        <v>0</v>
      </c>
      <c r="U22" s="671" t="e">
        <f t="shared" si="4"/>
        <v>#DIV/0!</v>
      </c>
      <c r="V22" s="669"/>
      <c r="W22" s="669"/>
      <c r="X22" s="669"/>
      <c r="Y22" s="669"/>
      <c r="Z22" s="670">
        <f>'Reagent Consumption'!O27</f>
        <v>100</v>
      </c>
      <c r="AA22" s="662">
        <f>'Fuel Consumption'!F19</f>
        <v>0</v>
      </c>
      <c r="AB22" s="670">
        <f>'Reagent Consumption'!Q27</f>
        <v>0</v>
      </c>
      <c r="AC22" s="670">
        <f>'Reagent Consumption'!P27</f>
        <v>0</v>
      </c>
      <c r="AD22" s="670">
        <f>'Reagent Consumption'!R27</f>
        <v>0</v>
      </c>
      <c r="AE22" s="670">
        <f>'Reagent Consumption'!S27</f>
        <v>0</v>
      </c>
      <c r="AF22" s="670">
        <f>'Reagent Consumption'!T27</f>
        <v>0</v>
      </c>
      <c r="AG22" s="670">
        <f>'Fuel Consumption'!F19</f>
        <v>0</v>
      </c>
      <c r="AH22" s="670"/>
      <c r="AI22" s="670"/>
      <c r="AJ22" s="670"/>
      <c r="AK22" s="670"/>
      <c r="AL22" s="670"/>
      <c r="AM22" s="670"/>
      <c r="AN22" s="670"/>
      <c r="AO22" s="670"/>
      <c r="AP22" s="670"/>
      <c r="AQ22" s="669"/>
      <c r="AR22" s="672"/>
      <c r="AS22" s="672"/>
    </row>
    <row r="23" spans="1:45" s="673" customFormat="1" ht="14.4" x14ac:dyDescent="0.3">
      <c r="A23" s="660"/>
      <c r="B23" s="661">
        <v>46264</v>
      </c>
      <c r="C23" s="662">
        <f>Crushing!N38</f>
        <v>53.820000000000007</v>
      </c>
      <c r="D23" s="662">
        <f t="shared" si="9"/>
        <v>2150.7186000000006</v>
      </c>
      <c r="E23" s="663">
        <f t="shared" si="8"/>
        <v>26.4688524590164</v>
      </c>
      <c r="F23" s="670">
        <f>AVERAGE('Rom File Inventory'!T138:T141)</f>
        <v>0.98899999999999999</v>
      </c>
      <c r="G23" s="662">
        <f t="shared" si="10"/>
        <v>53.227980000000009</v>
      </c>
      <c r="H23" s="664">
        <f t="shared" si="11"/>
        <v>5.3227980000000008E-2</v>
      </c>
      <c r="I23" s="662">
        <f>'Crushing Down Time Hours'!L18</f>
        <v>2.0333333333333332</v>
      </c>
      <c r="J23" s="662">
        <v>0</v>
      </c>
      <c r="K23" s="665">
        <f>'Crushing Down Time Hours'!M18</f>
        <v>0.16944444444444443</v>
      </c>
      <c r="L23" s="665">
        <f t="shared" si="2"/>
        <v>0</v>
      </c>
      <c r="M23" s="666">
        <f>'Milling Down Time Hours'!R9</f>
        <v>0</v>
      </c>
      <c r="N23" s="665">
        <f t="shared" si="7"/>
        <v>0</v>
      </c>
      <c r="O23" s="669"/>
      <c r="P23" s="669"/>
      <c r="Q23" s="669"/>
      <c r="R23" s="669"/>
      <c r="S23" s="669"/>
      <c r="T23" s="670">
        <f t="shared" si="3"/>
        <v>0</v>
      </c>
      <c r="U23" s="671" t="e">
        <f t="shared" si="4"/>
        <v>#DIV/0!</v>
      </c>
      <c r="V23" s="669"/>
      <c r="W23" s="669"/>
      <c r="X23" s="669"/>
      <c r="Y23" s="669"/>
      <c r="Z23" s="670">
        <f>'Reagent Consumption'!O28</f>
        <v>225</v>
      </c>
      <c r="AA23" s="662">
        <f>'Fuel Consumption'!F20</f>
        <v>0</v>
      </c>
      <c r="AB23" s="670">
        <f>'Reagent Consumption'!Q28</f>
        <v>0</v>
      </c>
      <c r="AC23" s="670">
        <f>'Reagent Consumption'!P28</f>
        <v>0</v>
      </c>
      <c r="AD23" s="670">
        <f>'Reagent Consumption'!R28</f>
        <v>0</v>
      </c>
      <c r="AE23" s="670">
        <f>'Reagent Consumption'!S28</f>
        <v>0</v>
      </c>
      <c r="AF23" s="670">
        <f>'Reagent Consumption'!T28</f>
        <v>0</v>
      </c>
      <c r="AG23" s="670">
        <f>'Fuel Consumption'!F20</f>
        <v>0</v>
      </c>
      <c r="AH23" s="670"/>
      <c r="AI23" s="670"/>
      <c r="AJ23" s="670"/>
      <c r="AK23" s="670"/>
      <c r="AL23" s="670"/>
      <c r="AM23" s="670"/>
      <c r="AN23" s="670"/>
      <c r="AO23" s="670"/>
      <c r="AP23" s="670"/>
      <c r="AQ23" s="669"/>
      <c r="AR23" s="672"/>
      <c r="AS23" s="672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275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Consumption'!F26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Consumption'!F27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Consumption'!F28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Consumption'!F29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Consumption'!F30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3" customFormat="1" ht="14.4" x14ac:dyDescent="0.3">
      <c r="A34" s="660"/>
      <c r="B34" s="661">
        <v>46275</v>
      </c>
      <c r="C34" s="662">
        <f>Crushing!N60</f>
        <v>72.657000000000011</v>
      </c>
      <c r="D34" s="662">
        <f t="shared" si="9"/>
        <v>2223.3756000000008</v>
      </c>
      <c r="E34" s="663" t="e">
        <f t="shared" si="8"/>
        <v>#DIV/0!</v>
      </c>
      <c r="F34" s="669"/>
      <c r="G34" s="662">
        <f t="shared" si="10"/>
        <v>0</v>
      </c>
      <c r="H34" s="664">
        <f t="shared" si="11"/>
        <v>0</v>
      </c>
      <c r="I34" s="662">
        <f>'Crushing Down Time Hours'!L29</f>
        <v>0</v>
      </c>
      <c r="J34" s="662">
        <f>'Milling Down Time Hours'!Q16</f>
        <v>12.983333333333333</v>
      </c>
      <c r="K34" s="665">
        <f>'Crushing Down Time Hours'!M34</f>
        <v>0</v>
      </c>
      <c r="L34" s="665">
        <f t="shared" si="2"/>
        <v>0.54097222222222219</v>
      </c>
      <c r="M34" s="665">
        <v>1</v>
      </c>
      <c r="N34" s="665">
        <f t="shared" si="7"/>
        <v>0.54097222222222219</v>
      </c>
      <c r="O34" s="669"/>
      <c r="P34" s="669"/>
      <c r="Q34" s="669"/>
      <c r="R34" s="669"/>
      <c r="S34" s="669"/>
      <c r="T34" s="670">
        <f t="shared" si="3"/>
        <v>0</v>
      </c>
      <c r="U34" s="671" t="e">
        <f t="shared" si="4"/>
        <v>#DIV/0!</v>
      </c>
      <c r="V34" s="669"/>
      <c r="W34" s="669"/>
      <c r="X34" s="669"/>
      <c r="Y34" s="669"/>
      <c r="Z34" s="670">
        <f>'Reagent Consumption'!O43</f>
        <v>0</v>
      </c>
      <c r="AA34" s="662">
        <f>'Fuel Consumption'!F31</f>
        <v>0</v>
      </c>
      <c r="AB34" s="670">
        <f>'Reagent Consumption'!Q43</f>
        <v>0</v>
      </c>
      <c r="AC34" s="670">
        <f>'Reagent Consumption'!P43</f>
        <v>0</v>
      </c>
      <c r="AD34" s="670">
        <f>'Reagent Consumption'!R43</f>
        <v>0</v>
      </c>
      <c r="AE34" s="670">
        <f>'Reagent Consumption'!S43</f>
        <v>0</v>
      </c>
      <c r="AF34" s="670">
        <f>'Reagent Consumption'!T43</f>
        <v>0</v>
      </c>
      <c r="AG34" s="670">
        <f>'Fuel Consumption'!F31</f>
        <v>0</v>
      </c>
      <c r="AH34" s="670"/>
      <c r="AI34" s="670"/>
      <c r="AJ34" s="670"/>
      <c r="AK34" s="670"/>
      <c r="AL34" s="670"/>
      <c r="AM34" s="670"/>
      <c r="AN34" s="670"/>
      <c r="AO34" s="670"/>
      <c r="AP34" s="670"/>
      <c r="AQ34" s="669"/>
      <c r="AR34" s="672"/>
      <c r="AS34" s="672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Consumption'!F32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3" customFormat="1" ht="14.4" x14ac:dyDescent="0.3">
      <c r="A36" s="660"/>
      <c r="B36" s="661">
        <v>46277</v>
      </c>
      <c r="C36" s="662">
        <f>Crushing!N64</f>
        <v>328.77</v>
      </c>
      <c r="D36" s="683">
        <f t="shared" si="9"/>
        <v>2552.1456000000007</v>
      </c>
      <c r="E36" s="684" t="e">
        <f t="shared" si="8"/>
        <v>#DIV/0!</v>
      </c>
      <c r="F36" s="978">
        <f>AVERAGE('Rom File Inventory'!$T$142:$T$153)</f>
        <v>0.37108333333333338</v>
      </c>
      <c r="G36" s="662">
        <f t="shared" si="10"/>
        <v>122.0010675</v>
      </c>
      <c r="H36" s="664">
        <f t="shared" si="11"/>
        <v>0.1220010675</v>
      </c>
      <c r="I36" s="662">
        <f>'Crushing Down Time Hours'!L31</f>
        <v>0</v>
      </c>
      <c r="J36" s="662">
        <f>'Milling Down Time Hours'!Q19</f>
        <v>10</v>
      </c>
      <c r="K36" s="665">
        <f>'Crushing Down Time Hours'!M36</f>
        <v>0</v>
      </c>
      <c r="L36" s="665">
        <f t="shared" si="2"/>
        <v>0.41666666666666669</v>
      </c>
      <c r="M36" s="681">
        <v>1</v>
      </c>
      <c r="N36" s="681">
        <f t="shared" si="7"/>
        <v>0.41666666666666669</v>
      </c>
      <c r="O36" s="660"/>
      <c r="P36" s="660"/>
      <c r="Q36" s="660"/>
      <c r="R36" s="660"/>
      <c r="S36" s="660"/>
      <c r="T36" s="674">
        <f t="shared" si="3"/>
        <v>0</v>
      </c>
      <c r="U36" s="685" t="e">
        <f t="shared" si="4"/>
        <v>#DIV/0!</v>
      </c>
      <c r="V36" s="660"/>
      <c r="W36" s="660"/>
      <c r="X36" s="660"/>
      <c r="Y36" s="660"/>
      <c r="Z36" s="674">
        <f>'Reagent Consumption'!O45</f>
        <v>0</v>
      </c>
      <c r="AA36" s="683">
        <f>'Fuel Consumption'!F33</f>
        <v>0</v>
      </c>
      <c r="AB36" s="674">
        <f>'Reagent Consumption'!Q45</f>
        <v>0</v>
      </c>
      <c r="AC36" s="674">
        <f>'Reagent Consumption'!P45</f>
        <v>0</v>
      </c>
      <c r="AD36" s="674">
        <f>'Reagent Consumption'!R45</f>
        <v>0</v>
      </c>
      <c r="AE36" s="674">
        <f>'Reagent Consumption'!S45</f>
        <v>0</v>
      </c>
      <c r="AF36" s="674">
        <f>'Reagent Consumption'!T45</f>
        <v>0</v>
      </c>
      <c r="AG36" s="674">
        <f>'Fuel Consumption'!F33</f>
        <v>0</v>
      </c>
      <c r="AH36" s="674"/>
      <c r="AI36" s="674"/>
      <c r="AJ36" s="674"/>
      <c r="AK36" s="674"/>
      <c r="AL36" s="674"/>
      <c r="AM36" s="674"/>
      <c r="AN36" s="674"/>
      <c r="AO36" s="674"/>
      <c r="AP36" s="674"/>
      <c r="AQ36" s="660"/>
      <c r="AR36" s="672"/>
      <c r="AS36" s="672"/>
    </row>
    <row r="37" spans="1:45" s="673" customFormat="1" ht="14.4" x14ac:dyDescent="0.3">
      <c r="A37" s="672"/>
      <c r="B37" s="661">
        <v>46278</v>
      </c>
      <c r="C37" s="662">
        <f>Crushing!N66</f>
        <v>262.66500000000002</v>
      </c>
      <c r="D37" s="686">
        <f>D36+C37</f>
        <v>2814.8106000000007</v>
      </c>
      <c r="E37" s="687" t="e">
        <f>C37/I37</f>
        <v>#DIV/0!</v>
      </c>
      <c r="F37" s="668"/>
      <c r="G37" s="662">
        <f t="shared" si="10"/>
        <v>0</v>
      </c>
      <c r="H37" s="664">
        <f t="shared" si="11"/>
        <v>0</v>
      </c>
      <c r="I37" s="662">
        <f>'Crushing Down Time Hours'!L32</f>
        <v>0</v>
      </c>
      <c r="J37" s="662">
        <f>'Milling Down Time Hours'!Q20</f>
        <v>24</v>
      </c>
      <c r="K37" s="665">
        <f>'Crushing Down Time Hours'!M37</f>
        <v>0</v>
      </c>
      <c r="L37" s="665">
        <f t="shared" si="2"/>
        <v>1</v>
      </c>
      <c r="M37" s="667">
        <v>1</v>
      </c>
      <c r="N37" s="667">
        <f t="shared" si="7"/>
        <v>0</v>
      </c>
      <c r="O37" s="668"/>
      <c r="P37" s="668"/>
      <c r="Q37" s="668"/>
      <c r="R37" s="668"/>
      <c r="S37" s="668"/>
      <c r="T37" s="688">
        <f t="shared" si="3"/>
        <v>0</v>
      </c>
      <c r="U37" s="689" t="e">
        <f t="shared" si="4"/>
        <v>#DIV/0!</v>
      </c>
      <c r="V37" s="668"/>
      <c r="W37" s="668"/>
      <c r="X37" s="668"/>
      <c r="Y37" s="668"/>
      <c r="Z37" s="674">
        <f>'Reagent Consumption'!O46</f>
        <v>0</v>
      </c>
      <c r="AA37" s="683">
        <f>'Fuel Consumption'!F34</f>
        <v>0</v>
      </c>
      <c r="AB37" s="674">
        <f>'Reagent Consumption'!Q46</f>
        <v>0</v>
      </c>
      <c r="AC37" s="674">
        <f>'Reagent Consumption'!P46</f>
        <v>0</v>
      </c>
      <c r="AD37" s="674">
        <f>'Reagent Consumption'!R46</f>
        <v>0</v>
      </c>
      <c r="AE37" s="674">
        <f>'Reagent Consumption'!S46</f>
        <v>0</v>
      </c>
      <c r="AF37" s="674">
        <f>'Reagent Consumption'!T46</f>
        <v>0</v>
      </c>
      <c r="AG37" s="674">
        <f>'Fuel Consumption'!F34</f>
        <v>0</v>
      </c>
      <c r="AH37" s="674"/>
      <c r="AI37" s="674"/>
      <c r="AJ37" s="674"/>
      <c r="AK37" s="674"/>
      <c r="AL37" s="674"/>
      <c r="AM37" s="674"/>
      <c r="AN37" s="674"/>
      <c r="AO37" s="674"/>
      <c r="AP37" s="688"/>
      <c r="AQ37" s="668"/>
      <c r="AR37" s="672"/>
      <c r="AS37" s="672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Consumption'!F35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Consumption'!F36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0</v>
      </c>
      <c r="K40" s="92">
        <f>'Crushing Down Time Hours'!M40</f>
        <v>0</v>
      </c>
      <c r="L40" s="92">
        <f t="shared" si="2"/>
        <v>0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Consumption'!F37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0</v>
      </c>
      <c r="K41" s="92">
        <f>'Crushing Down Time Hours'!M41</f>
        <v>0</v>
      </c>
      <c r="L41" s="92">
        <f t="shared" si="2"/>
        <v>0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Consumption'!F38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Consumption'!F39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Consumption'!F40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Consumption'!F41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Consumption'!F42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Consumption'!F43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Consumption'!F44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Consumption'!F45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1">
        <v>46290</v>
      </c>
      <c r="C49" s="89"/>
      <c r="D49" s="412">
        <f t="shared" si="13"/>
        <v>2814.8106000000007</v>
      </c>
      <c r="E49" s="413">
        <f t="shared" si="12"/>
        <v>0</v>
      </c>
      <c r="F49" s="414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2"/>
      <c r="K49" s="415"/>
      <c r="L49" s="415"/>
      <c r="M49" s="415"/>
      <c r="N49" s="415"/>
      <c r="O49" s="414"/>
      <c r="P49" s="414"/>
      <c r="Q49" s="414"/>
      <c r="R49" s="414"/>
      <c r="S49" s="414"/>
      <c r="T49" s="416"/>
      <c r="U49" s="417"/>
      <c r="V49" s="414"/>
      <c r="W49" s="414"/>
      <c r="X49" s="414"/>
      <c r="Y49" s="414"/>
      <c r="Z49" s="134">
        <f>'Reagent Consumption'!O58</f>
        <v>0</v>
      </c>
      <c r="AA49" s="213">
        <f>'Fuel Consumption'!F46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6"/>
      <c r="AQ49" s="414"/>
      <c r="AR49" s="75"/>
      <c r="AS49" s="75"/>
    </row>
    <row r="50" spans="1:45" ht="14.4" x14ac:dyDescent="0.3">
      <c r="A50" s="75"/>
      <c r="B50" s="418" t="s">
        <v>18</v>
      </c>
      <c r="C50" s="422">
        <f>SUM(C7:C49)</f>
        <v>2814.8106000000007</v>
      </c>
      <c r="D50" s="423"/>
      <c r="E50" s="423"/>
      <c r="F50" s="423"/>
      <c r="G50" s="422">
        <f>SUM(G7:G49)</f>
        <v>1901.4302215412699</v>
      </c>
      <c r="H50" s="424">
        <f>SUM(H7:H37)</f>
        <v>1.9014302215412702</v>
      </c>
      <c r="I50" s="429">
        <f>'Crushing Down Time Hours'!L45</f>
        <v>0</v>
      </c>
      <c r="J50" s="422"/>
      <c r="K50" s="425"/>
      <c r="L50" s="420"/>
      <c r="M50" s="420"/>
      <c r="N50" s="425"/>
      <c r="O50" s="420">
        <f t="shared" ref="O50:Y50" si="14">SUM(O7:O36)</f>
        <v>0</v>
      </c>
      <c r="P50" s="420">
        <f>SUM(P7:P36)</f>
        <v>0</v>
      </c>
      <c r="Q50" s="420">
        <f t="shared" si="14"/>
        <v>0</v>
      </c>
      <c r="R50" s="420"/>
      <c r="S50" s="420"/>
      <c r="T50" s="426">
        <f t="shared" ref="T50" si="15">R50-S50</f>
        <v>0</v>
      </c>
      <c r="U50" s="419"/>
      <c r="V50" s="420">
        <f t="shared" si="14"/>
        <v>0</v>
      </c>
      <c r="W50" s="420">
        <f t="shared" si="14"/>
        <v>0</v>
      </c>
      <c r="X50" s="420">
        <f t="shared" si="14"/>
        <v>0</v>
      </c>
      <c r="Y50" s="420">
        <f t="shared" si="14"/>
        <v>0</v>
      </c>
      <c r="Z50" s="420">
        <f>SUM(Z7:Z49)</f>
        <v>3725</v>
      </c>
      <c r="AA50" s="420"/>
      <c r="AB50" s="421">
        <f>SUM(AB7:AB49)</f>
        <v>3000</v>
      </c>
      <c r="AC50" s="421">
        <f>SUM(AC7:AC49)</f>
        <v>3500</v>
      </c>
      <c r="AD50" s="421"/>
      <c r="AE50" s="421"/>
      <c r="AF50" s="420">
        <f>SUM(AF7:AF49)</f>
        <v>125</v>
      </c>
      <c r="AG50" s="420">
        <f>SUM(AG7:AG37)</f>
        <v>0</v>
      </c>
      <c r="AH50" s="420"/>
      <c r="AI50" s="420"/>
      <c r="AJ50" s="420"/>
      <c r="AK50" s="420"/>
      <c r="AL50" s="420"/>
      <c r="AM50" s="420"/>
      <c r="AN50" s="421"/>
      <c r="AO50" s="420"/>
      <c r="AP50" s="420"/>
      <c r="AQ50" s="420"/>
      <c r="AR50" s="75"/>
      <c r="AS50" s="75"/>
    </row>
    <row r="51" spans="1:45" ht="14.4" x14ac:dyDescent="0.3">
      <c r="A51" s="75"/>
      <c r="B51" s="427" t="s">
        <v>122</v>
      </c>
      <c r="C51" s="422">
        <f>AVERAGE(C7:C15)</f>
        <v>155.54116666666667</v>
      </c>
      <c r="D51" s="422"/>
      <c r="E51" s="422" t="e">
        <f>AVERAGE(E7:E15)</f>
        <v>#DIV/0!</v>
      </c>
      <c r="F51" s="424">
        <f>AVERAGE(F7:F49)</f>
        <v>0.89242091836734694</v>
      </c>
      <c r="G51" s="422">
        <f>AVERAGE(G7:G37)</f>
        <v>61.336458759395803</v>
      </c>
      <c r="H51" s="422">
        <f t="shared" ref="H51:AF51" si="16">AVERAGE(H8:H36)</f>
        <v>6.556655936349208E-2</v>
      </c>
      <c r="I51" s="422">
        <f>AVERAGE(I7:I15)</f>
        <v>9.1291666666666664</v>
      </c>
      <c r="J51" s="422"/>
      <c r="K51" s="425">
        <f>AVERAGE(K7:K17)</f>
        <v>0.6261904761904763</v>
      </c>
      <c r="L51" s="425">
        <f t="shared" si="16"/>
        <v>0.3008860153256705</v>
      </c>
      <c r="M51" s="425">
        <f t="shared" si="16"/>
        <v>0.85261015325670508</v>
      </c>
      <c r="N51" s="425">
        <f>AVERAGE(N8:N45)</f>
        <v>0.2547697368421053</v>
      </c>
      <c r="O51" s="422" t="e">
        <f t="shared" si="16"/>
        <v>#DIV/0!</v>
      </c>
      <c r="P51" s="422" t="e">
        <f>AVERAGE(P8:P36)</f>
        <v>#DIV/0!</v>
      </c>
      <c r="Q51" s="422" t="e">
        <f t="shared" si="16"/>
        <v>#DIV/0!</v>
      </c>
      <c r="R51" s="422"/>
      <c r="S51" s="422"/>
      <c r="T51" s="422"/>
      <c r="U51" s="428"/>
      <c r="V51" s="422" t="e">
        <f t="shared" si="16"/>
        <v>#DIV/0!</v>
      </c>
      <c r="W51" s="422" t="e">
        <f t="shared" si="16"/>
        <v>#DIV/0!</v>
      </c>
      <c r="X51" s="422" t="e">
        <f t="shared" si="16"/>
        <v>#DIV/0!</v>
      </c>
      <c r="Y51" s="422" t="e">
        <f t="shared" si="16"/>
        <v>#DIV/0!</v>
      </c>
      <c r="Z51" s="423">
        <f t="shared" si="16"/>
        <v>128.44827586206895</v>
      </c>
      <c r="AA51" s="422">
        <f t="shared" si="16"/>
        <v>0</v>
      </c>
      <c r="AB51" s="422">
        <f t="shared" si="16"/>
        <v>103.44827586206897</v>
      </c>
      <c r="AC51" s="423">
        <f t="shared" si="16"/>
        <v>120.68965517241379</v>
      </c>
      <c r="AD51" s="423"/>
      <c r="AE51" s="423"/>
      <c r="AF51" s="422">
        <f t="shared" si="16"/>
        <v>4.3103448275862073</v>
      </c>
      <c r="AG51" s="422"/>
      <c r="AH51" s="422"/>
      <c r="AI51" s="422"/>
      <c r="AJ51" s="422"/>
      <c r="AK51" s="422"/>
      <c r="AL51" s="422"/>
      <c r="AM51" s="422"/>
      <c r="AN51" s="422"/>
      <c r="AO51" s="422"/>
      <c r="AP51" s="422"/>
      <c r="AQ51" s="422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2" t="s">
        <v>202</v>
      </c>
      <c r="F53" s="401">
        <f>MEDIAN(F7:F49)</f>
        <v>0.82099999999999995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2" t="s">
        <v>203</v>
      </c>
      <c r="F54" s="122">
        <f>MAX(F7:F17)</f>
        <v>1.45</v>
      </c>
      <c r="I54" s="76"/>
      <c r="J54" s="76"/>
      <c r="K54" s="77"/>
      <c r="L54" s="77"/>
      <c r="M54" s="77"/>
      <c r="W54" s="1002" t="s">
        <v>205</v>
      </c>
      <c r="X54" s="1002"/>
    </row>
    <row r="55" spans="1:45" ht="14.4" x14ac:dyDescent="0.3">
      <c r="C55" s="76"/>
      <c r="D55" s="77"/>
      <c r="E55" s="402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0.82099999999999995</v>
      </c>
    </row>
    <row r="56" spans="1:45" ht="43.2" x14ac:dyDescent="0.3">
      <c r="C56" s="76"/>
      <c r="D56" s="77"/>
      <c r="E56" s="77"/>
      <c r="G56" s="383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0.89242091836734694</v>
      </c>
      <c r="AI56">
        <f>0.6*1.4</f>
        <v>0.84</v>
      </c>
    </row>
    <row r="57" spans="1:45" ht="43.2" x14ac:dyDescent="0.3">
      <c r="C57" s="76"/>
      <c r="D57" s="77"/>
      <c r="E57" s="146"/>
      <c r="F57" s="403" t="s">
        <v>418</v>
      </c>
      <c r="G57" s="404">
        <f>G50/D49</f>
        <v>0.67550911650725964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02" t="s">
        <v>207</v>
      </c>
      <c r="X60" s="1002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38" t="s">
        <v>340</v>
      </c>
      <c r="D3" s="1038"/>
      <c r="E3" s="1038"/>
      <c r="F3" s="1038"/>
      <c r="G3" s="1038"/>
      <c r="H3" s="1038"/>
      <c r="L3" s="1038" t="s">
        <v>340</v>
      </c>
      <c r="M3" s="1038"/>
      <c r="N3" s="1038"/>
      <c r="O3" s="1038"/>
      <c r="P3" s="1038"/>
      <c r="Q3" s="1038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7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7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7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7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7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7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7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7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7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7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7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7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7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7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7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7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7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7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7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7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7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7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7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7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7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7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7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7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7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7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7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7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7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7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7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7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7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7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7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7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7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7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7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7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7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7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7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7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7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7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7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7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7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7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7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7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7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7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7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7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7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7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7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7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7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3"/>
  <sheetViews>
    <sheetView tabSelected="1" zoomScale="88" zoomScaleNormal="100" workbookViewId="0">
      <pane xSplit="1" ySplit="5" topLeftCell="B19" activePane="bottomRight" state="frozen"/>
      <selection pane="topRight" activeCell="B1" sqref="B1"/>
      <selection pane="bottomLeft" activeCell="A2" sqref="A2"/>
      <selection pane="bottomRight" activeCell="D35" sqref="D3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44" t="s">
        <v>280</v>
      </c>
      <c r="C1" s="1044"/>
      <c r="D1" s="1044"/>
      <c r="E1" s="1044"/>
      <c r="F1" s="1044"/>
      <c r="G1" s="1044"/>
      <c r="H1" s="1044"/>
      <c r="I1" s="1044"/>
      <c r="J1" s="1044"/>
      <c r="K1" s="1044"/>
      <c r="L1" s="1044"/>
      <c r="M1" s="1044"/>
      <c r="N1" s="1044"/>
      <c r="O1" s="1044"/>
      <c r="P1" s="1044"/>
      <c r="Q1" s="1044"/>
      <c r="R1" s="1044"/>
      <c r="S1" s="1044"/>
      <c r="T1">
        <f>125+150</f>
        <v>275</v>
      </c>
    </row>
    <row r="2" spans="1:42" ht="18" x14ac:dyDescent="0.35">
      <c r="B2" s="1044" t="s">
        <v>281</v>
      </c>
      <c r="C2" s="1044"/>
      <c r="D2" s="1044"/>
      <c r="E2" s="1044"/>
      <c r="F2" s="1044"/>
      <c r="G2" s="1044"/>
      <c r="H2" s="1044"/>
      <c r="I2" s="1044"/>
      <c r="J2" s="1044"/>
      <c r="K2" s="1044"/>
      <c r="L2" s="1044"/>
      <c r="M2" s="1044"/>
      <c r="N2" s="1044"/>
      <c r="O2" s="1044"/>
      <c r="P2" s="1044"/>
      <c r="Q2" s="1044"/>
      <c r="R2" s="1044"/>
      <c r="S2" s="1044"/>
    </row>
    <row r="3" spans="1:42" ht="18" x14ac:dyDescent="0.35">
      <c r="B3" s="1044" t="s">
        <v>282</v>
      </c>
      <c r="C3" s="1044"/>
      <c r="D3" s="1044"/>
      <c r="E3" s="1044"/>
      <c r="F3" s="1044"/>
      <c r="G3" s="1044"/>
      <c r="H3" s="1044"/>
      <c r="I3" s="1044"/>
      <c r="J3" s="1044"/>
      <c r="K3" s="1044"/>
      <c r="L3" s="1044"/>
      <c r="M3" s="1044"/>
      <c r="N3" s="1044"/>
      <c r="O3" s="1044"/>
      <c r="P3" s="1044"/>
      <c r="Q3" s="1044"/>
      <c r="R3" s="1044"/>
      <c r="S3" s="1044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45"/>
      <c r="C5" s="1046"/>
      <c r="D5" s="1045" t="s">
        <v>25</v>
      </c>
      <c r="E5" s="1047"/>
      <c r="F5" s="1046"/>
      <c r="G5" s="1045" t="s">
        <v>26</v>
      </c>
      <c r="H5" s="1047"/>
      <c r="I5" s="1046"/>
      <c r="J5" s="1045" t="s">
        <v>321</v>
      </c>
      <c r="K5" s="1046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48" t="s">
        <v>163</v>
      </c>
      <c r="Y6" s="1048"/>
      <c r="Z6" s="1048"/>
      <c r="AA6" s="1048"/>
      <c r="AB6" s="1048"/>
      <c r="AC6" s="1048"/>
    </row>
    <row r="7" spans="1:42" x14ac:dyDescent="0.3">
      <c r="A7" s="20">
        <v>46262</v>
      </c>
      <c r="B7" s="132" t="s">
        <v>13</v>
      </c>
      <c r="C7" s="387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>SUMIF(A$7:A$60,N8,K$7:K$60)</f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3725</v>
      </c>
      <c r="Y8" s="122">
        <f t="shared" ref="Y8:Z8" si="0">P60</f>
        <v>3500</v>
      </c>
      <c r="Z8" s="122">
        <f t="shared" si="0"/>
        <v>3000</v>
      </c>
      <c r="AA8" s="122">
        <f>T60</f>
        <v>125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>SUMIF(A$7:A$60,N9,K$7:K$60)</f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3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>SUMIF(A$7:A$60,N10,K$7:K$60)</f>
        <v>0</v>
      </c>
      <c r="U10" s="19">
        <f>SUMIF(A$7:A$60,N10,G$7:G$60)</f>
        <v>0</v>
      </c>
      <c r="V10" s="19">
        <f>SUMIF(A$7:A$60,N10,I$7:I$60)</f>
        <v>0</v>
      </c>
      <c r="X10" s="1000" t="s">
        <v>336</v>
      </c>
      <c r="Y10" s="1000"/>
      <c r="Z10" s="1000"/>
      <c r="AA10" s="1000"/>
      <c r="AB10" s="1000"/>
      <c r="AC10" s="208"/>
    </row>
    <row r="11" spans="1:42" x14ac:dyDescent="0.3">
      <c r="A11" s="20">
        <v>46266</v>
      </c>
      <c r="B11" s="17" t="s">
        <v>13</v>
      </c>
      <c r="C11" s="437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>SUMIF(A$7:A$60,N11,K$7:K$60)</f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Tank'!$O$61</f>
        <v>1.561351540310091</v>
      </c>
      <c r="Y11" s="125">
        <f>Y8/'Au Cal Leaching Tank'!$O$61</f>
        <v>1.4670417157276023</v>
      </c>
      <c r="Z11" s="125">
        <f>Z8/'Au Cal Leaching Tank'!$O$61</f>
        <v>1.2574643277665163</v>
      </c>
      <c r="AA11" s="125">
        <f>AA8/'Au Cal Leaching Tank'!$O$61</f>
        <v>5.2394346990271512E-2</v>
      </c>
      <c r="AB11" s="125">
        <f>AB8/'Au Cal Leaching Tank'!$O$61</f>
        <v>0</v>
      </c>
      <c r="AC11" s="125">
        <f>AC8/'Au Cal Leaching Tank'!$O$61</f>
        <v>0</v>
      </c>
    </row>
    <row r="12" spans="1:42" x14ac:dyDescent="0.3">
      <c r="A12" s="20">
        <v>46266</v>
      </c>
      <c r="B12" s="17" t="s">
        <v>14</v>
      </c>
      <c r="C12" s="437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SUMIF(A$7:A$60,N12,K$7:K$60)</f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7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>SUMIF(A$7:A$60,N13,K$7:K$60)</f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7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SUMIF(A$7:A$60,N14,K$7:K$60)</f>
        <v>0</v>
      </c>
      <c r="U14" s="19"/>
      <c r="V14" s="19"/>
      <c r="X14" s="441"/>
      <c r="Y14" s="441"/>
      <c r="Z14" s="441"/>
      <c r="AA14" s="441"/>
      <c r="AB14" s="441"/>
      <c r="AC14" s="441"/>
    </row>
    <row r="15" spans="1:42" x14ac:dyDescent="0.3">
      <c r="A15" s="20">
        <v>46268</v>
      </c>
      <c r="B15" s="17" t="s">
        <v>13</v>
      </c>
      <c r="C15" s="437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>SUMIF(A$7:A$60,N15,K$7:K$60)</f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1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>SUMIF(A$7:A$60,N16,K$7:K$60)</f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4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>SUMIF(A$7:A$60,N17,K$7:K$60)</f>
        <v>0</v>
      </c>
      <c r="U17" s="19">
        <f>SUMIF(A$7:A$60,N17,G$7:G$60)</f>
        <v>0</v>
      </c>
      <c r="V17" s="19">
        <f>SUMIF(A$7:A$60,N17,I$7:I$60)</f>
        <v>0</v>
      </c>
      <c r="Z17" s="249"/>
      <c r="AA17" s="249"/>
    </row>
    <row r="18" spans="1:29" x14ac:dyDescent="0.3">
      <c r="A18" s="20">
        <v>46271</v>
      </c>
      <c r="B18" s="17" t="s">
        <v>13</v>
      </c>
      <c r="C18" s="458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>SUMIF(A$7:A$60,N18,K$7:K$60)</f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8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>SUMIF(A$7:A$60,N19,K$7:K$60)</f>
        <v>0</v>
      </c>
      <c r="U19" s="19">
        <f>SUMIF(A$7:A$60,N19,G$7:G$60)</f>
        <v>0</v>
      </c>
      <c r="V19" s="19">
        <f>SUMIF(A$7:A$60,N19,I$7:I$60)</f>
        <v>0</v>
      </c>
      <c r="Y19" s="249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SUMIF(A$7:A$60,N20,E$7:E$60)+SUMIF(A$7:A$60,N20,J$7:J$60)</f>
        <v>0</v>
      </c>
      <c r="Q20" s="19"/>
      <c r="R20" s="19"/>
      <c r="S20" s="19"/>
      <c r="T20" s="19">
        <f>SUMIF(A$7:A$60,N20,K$7:K$60)</f>
        <v>0</v>
      </c>
      <c r="U20" s="19"/>
      <c r="V20" s="19"/>
      <c r="X20" s="1038" t="s">
        <v>585</v>
      </c>
      <c r="Y20" s="1038"/>
      <c r="Z20" s="1038"/>
      <c r="AA20" s="1038"/>
      <c r="AB20" s="1038"/>
      <c r="AC20" s="1038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>SUMIF(A$7:A$60,N21,E$7:E$60)+SUMIF(A$7:A$60,N21,J$7:J$60)</f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>SUMIF(A$7:A$60,N21,K$7:K$60)</f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>SUMIF(A$7:A$60,N22,E$7:E$60)+SUMIF(A$7:A$60,N22,J$7:J$60)</f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>SUMIF(A$7:A$60,N22,K$7:K$60)</f>
        <v>0</v>
      </c>
      <c r="U22" s="19">
        <f>SUMIF(A$7:A$60,N22,G$7:G$60)</f>
        <v>0</v>
      </c>
      <c r="V22" s="19">
        <f>SUMIF(A$7:A$60,N22,I$7:I$60)</f>
        <v>0</v>
      </c>
      <c r="X22" s="707">
        <v>48000</v>
      </c>
      <c r="Y22" s="707">
        <v>2300</v>
      </c>
      <c r="Z22" s="707">
        <v>44000</v>
      </c>
      <c r="AA22" s="707">
        <v>30000</v>
      </c>
      <c r="AB22" s="707">
        <v>28000</v>
      </c>
      <c r="AC22" s="707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SUMIF(A$7:A$60,N23,E$7:E$60)+SUMIF(A$7:A$60,N23,J$7:J$60)</f>
        <v>0</v>
      </c>
      <c r="Q23" s="19"/>
      <c r="R23" s="19"/>
      <c r="S23" s="19"/>
      <c r="T23" s="19">
        <f>SUMIF(A$7:A$60,N23,K$7:K$60)</f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1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>SUMIF(A$7:A$60,N24,E$7:E$60)+SUMIF(A$7:A$60,N24,J$7:J$60)</f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>SUMIF(A$7:A$60,N24,K$7:K$60)</f>
        <v>0</v>
      </c>
      <c r="U24" s="19">
        <f>SUMIF(A$7:A$60,N24,G$7:G$60)</f>
        <v>0</v>
      </c>
      <c r="V24" s="19">
        <f>SUMIF(A$7:A$60,N24,I$7:I$60)</f>
        <v>0</v>
      </c>
      <c r="X24" s="1039" t="s">
        <v>584</v>
      </c>
      <c r="Y24" s="1039"/>
      <c r="Z24" s="1039"/>
      <c r="AA24" s="1039"/>
      <c r="AB24" s="1039"/>
      <c r="AC24" s="1039"/>
    </row>
    <row r="25" spans="1:29" x14ac:dyDescent="0.3">
      <c r="A25" s="20">
        <v>46275</v>
      </c>
      <c r="B25" s="17" t="s">
        <v>14</v>
      </c>
      <c r="C25" s="472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SUMIF(A$7:A$60,N25,E$7:E$60)+SUMIF(A$7:A$60,N25,J$7:J$60)</f>
        <v>0</v>
      </c>
      <c r="Q25" s="19"/>
      <c r="R25" s="19"/>
      <c r="S25" s="19"/>
      <c r="T25" s="19">
        <f>SUMIF(A$7:A$60,N25,K$7:K$60)</f>
        <v>0</v>
      </c>
      <c r="U25" s="19"/>
      <c r="V25" s="19"/>
      <c r="X25" s="708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6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SUMIF(A$7:A$46,N26,D$7:D$46)+SUMIF(A$7:A$46,N26,G$7:G$46)</f>
        <v>200</v>
      </c>
      <c r="P26" s="19">
        <f>SUMIF(A$7:A$60,N26,E$7:E$60)+SUMIF(A$7:A$60,N26,J$7:J$60)</f>
        <v>0</v>
      </c>
      <c r="Q26" s="19">
        <f>SUMIF(A$7:A$46,N26,F$7:F$46)</f>
        <v>500</v>
      </c>
      <c r="R26" s="19">
        <f>SUMIF(A$7:A$59,N26,H$7:H$60)</f>
        <v>0</v>
      </c>
      <c r="S26" s="19">
        <f>SUMIF(A$7:A$59,N26,I$7:I$59)</f>
        <v>0</v>
      </c>
      <c r="T26" s="19">
        <f>SUMIF(A$7:A$60,N26,K$7:K$60)</f>
        <v>50</v>
      </c>
      <c r="U26" s="19">
        <f>SUMIF(A$7:A$60,N26,G$7:G$60)</f>
        <v>0</v>
      </c>
      <c r="V26" s="19">
        <f>SUMIF(A$7:A$60,N26,I$7:I$60)</f>
        <v>0</v>
      </c>
      <c r="X26" s="709">
        <f>X22*X8</f>
        <v>178800000</v>
      </c>
      <c r="Y26" s="709">
        <f t="shared" ref="Y26:AC26" si="1">Y22*Y8</f>
        <v>8050000</v>
      </c>
      <c r="Z26" s="709">
        <f t="shared" si="1"/>
        <v>132000000</v>
      </c>
      <c r="AA26" s="709">
        <f>AA22*AA8</f>
        <v>3750000</v>
      </c>
      <c r="AB26" s="709">
        <f t="shared" si="1"/>
        <v>0</v>
      </c>
      <c r="AC26" s="709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SUMIF(A$7:A$46,N27,D$7:D$46)+SUMIF(A$7:A$46,N27,G$7:G$46)</f>
        <v>100</v>
      </c>
      <c r="P27" s="19">
        <f>SUMIF(A$7:A$60,N27,E$7:E$60)+SUMIF(A$7:A$60,N27,J$7:J$60)</f>
        <v>0</v>
      </c>
      <c r="Q27" s="19">
        <f>SUMIF(A$7:A$46,N27,F$7:F$46)</f>
        <v>0</v>
      </c>
      <c r="R27" s="19">
        <f>SUMIF(A$7:A$59,N27,H$7:H$60)</f>
        <v>0</v>
      </c>
      <c r="S27" s="19">
        <f>SUMIF(A$7:A$59,N27,I$7:I$59)</f>
        <v>0</v>
      </c>
      <c r="T27" s="19">
        <f>SUMIF(A$7:A$60,N27,K$7:K$60)</f>
        <v>0</v>
      </c>
      <c r="U27" s="19">
        <f>SUMIF(A$7:A$60,N27,G$7:G$60)</f>
        <v>0</v>
      </c>
      <c r="V27" s="19">
        <f>SUMIF(A$7:A$60,N27,I$7:I$60)</f>
        <v>0</v>
      </c>
      <c r="X27" s="1040" t="s">
        <v>584</v>
      </c>
      <c r="Y27" s="1041"/>
      <c r="Z27" s="1042">
        <f>SUM(X26:AC26)</f>
        <v>322600000</v>
      </c>
      <c r="AA27" s="1041"/>
      <c r="AB27" s="1041"/>
      <c r="AC27" s="1043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>SUMIF(A$7:A$46,N28,D$7:D$46)+SUMIF(A$7:A$46,N28,G$7:G$46)</f>
        <v>225</v>
      </c>
      <c r="P28" s="19">
        <f>SUMIF(A$7:A$60,N28,E$7:E$60)+SUMIF(A$7:A$60,N28,J$7:J$60)</f>
        <v>0</v>
      </c>
      <c r="Q28" s="19">
        <f>SUMIF(A$7:A$46,N28,F$7:F$46)</f>
        <v>0</v>
      </c>
      <c r="R28" s="19">
        <f>SUMIF(A$7:A$59,N28,H$7:H$60)</f>
        <v>0</v>
      </c>
      <c r="S28" s="19">
        <f>SUMIF(A$7:A$59,N28,I$7:I$59)</f>
        <v>0</v>
      </c>
      <c r="T28" s="19">
        <f>SUMIF(A$7:A$60,N28,K$7:K$60)</f>
        <v>0</v>
      </c>
      <c r="U28" s="19">
        <f>SUMIF(A$7:A$60,N28,G$7:G$60)</f>
        <v>0</v>
      </c>
      <c r="V28" s="19">
        <f>SUMIF(A$7:A$60,N28,I$7:I$60)</f>
        <v>0</v>
      </c>
      <c r="X28" s="710">
        <f>X26/$Z$27</f>
        <v>0.55424674519528827</v>
      </c>
      <c r="Y28" s="711">
        <f t="shared" ref="Y28:AC28" si="2">Y26/$Z$27</f>
        <v>2.4953502789832611E-2</v>
      </c>
      <c r="Z28" s="711">
        <f t="shared" si="2"/>
        <v>0.40917544947303164</v>
      </c>
      <c r="AA28" s="711">
        <f t="shared" si="2"/>
        <v>1.1624302541847488E-2</v>
      </c>
      <c r="AB28" s="711">
        <f t="shared" si="2"/>
        <v>0</v>
      </c>
      <c r="AC28" s="712">
        <f t="shared" si="2"/>
        <v>0</v>
      </c>
    </row>
    <row r="29" spans="1:29" x14ac:dyDescent="0.3">
      <c r="A29" s="20">
        <v>46279</v>
      </c>
      <c r="B29" s="17" t="s">
        <v>14</v>
      </c>
      <c r="C29" s="870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SUMIF(A$7:A$46,N29,D$7:D$46)+SUMIF(A$7:A$46,N29,G$7:G$46)</f>
        <v>125</v>
      </c>
      <c r="P29" s="19">
        <f>SUMIF(A$7:A$60,N29,E$7:E$60)+SUMIF(A$7:A$60,N29,J$7:J$60)</f>
        <v>0</v>
      </c>
      <c r="Q29" s="19">
        <f>SUMIF(A$7:A$46,N29,F$7:F$46)</f>
        <v>0</v>
      </c>
      <c r="R29" s="19">
        <f>SUMIF(A$7:A$59,N29,H$7:H$60)</f>
        <v>0</v>
      </c>
      <c r="S29" s="19">
        <f>SUMIF(A$7:A$59,N29,I$7:I$59)</f>
        <v>0</v>
      </c>
      <c r="T29" s="19">
        <f>SUMIF(A$7:A$60,N29,K$7:K$60)</f>
        <v>0</v>
      </c>
      <c r="U29" s="19">
        <f>SUMIF(A$7:A$60,N29,G$7:G$60)</f>
        <v>0</v>
      </c>
      <c r="V29" s="19">
        <f>SUMIF(A$7:A$60,N29,I$7:I$60)</f>
        <v>0</v>
      </c>
    </row>
    <row r="30" spans="1:29" x14ac:dyDescent="0.3">
      <c r="A30" s="20">
        <v>46280</v>
      </c>
      <c r="B30" s="17" t="s">
        <v>13</v>
      </c>
      <c r="C30" s="870" t="s">
        <v>601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>SUMIF(A$7:A$46,N30,D$7:D$46)+SUMIF(A$7:A$46,N30,G$7:G$46)</f>
        <v>375</v>
      </c>
      <c r="P30" s="19">
        <f>SUMIF(A$7:A$60,N30,E$7:E$60)+SUMIF(A$7:A$60,N30,J$7:J$60)</f>
        <v>0</v>
      </c>
      <c r="Q30" s="19">
        <f>SUMIF(A$7:A$46,N30,F$7:F$46)</f>
        <v>0</v>
      </c>
      <c r="R30" s="19">
        <f>SUMIF(A$7:A$59,N30,H$7:H$60)</f>
        <v>0</v>
      </c>
      <c r="S30" s="19">
        <f>SUMIF(A$7:A$59,N30,I$7:I$59)</f>
        <v>0</v>
      </c>
      <c r="T30" s="19">
        <f>SUMIF(A$7:A$60,N30,K$7:K$60)</f>
        <v>0</v>
      </c>
      <c r="U30" s="19">
        <f>SUMIF(A$7:A$60,N30,G$7:G$60)</f>
        <v>0</v>
      </c>
      <c r="V30" s="19">
        <f>SUMIF(A$7:A$60,N30,I$7:I$60)</f>
        <v>0</v>
      </c>
    </row>
    <row r="31" spans="1:29" x14ac:dyDescent="0.3">
      <c r="A31" s="20">
        <v>46280</v>
      </c>
      <c r="B31" s="17" t="s">
        <v>14</v>
      </c>
      <c r="C31" s="870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SUMIF(A$7:A$46,N31,D$7:D$46)+SUMIF(A$7:A$46,N31,G$7:G$46)</f>
        <v>200</v>
      </c>
      <c r="P31" s="19">
        <f>SUMIF(A$7:A$60,N31,E$7:E$60)+SUMIF(A$7:A$60,N31,J$7:J$60)</f>
        <v>0</v>
      </c>
      <c r="Q31" s="19">
        <f>SUMIF(A$7:A$46,N31,F$7:F$46)</f>
        <v>0</v>
      </c>
      <c r="R31" s="19">
        <f>SUMIF(A$7:A$59,N31,H$7:H$60)</f>
        <v>0</v>
      </c>
      <c r="S31" s="19">
        <f>SUMIF(A$7:A$59,N31,I$7:I$59)</f>
        <v>0</v>
      </c>
      <c r="T31" s="19">
        <f>SUMIF(A$7:A$60,N31,K$7:K$60)</f>
        <v>0</v>
      </c>
      <c r="U31" s="19">
        <f>SUMIF(A$7:A$60,N31,G$7:G$60)</f>
        <v>0</v>
      </c>
      <c r="V31" s="19">
        <f>SUMIF(A$7:A$60,N31,I$7:I$60)</f>
        <v>0</v>
      </c>
    </row>
    <row r="32" spans="1:29" x14ac:dyDescent="0.3">
      <c r="A32" s="20">
        <v>46281</v>
      </c>
      <c r="B32" s="17" t="s">
        <v>13</v>
      </c>
      <c r="C32" s="908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>SUMIF(A$7:A$60,N32,E$7:E$60)+SUMIF(A$7:A$60,N32,J$7:J$60)</f>
        <v>0</v>
      </c>
      <c r="Q32" s="19">
        <f>SUMIF(A$7:A$46,N32,F$7:F$46)</f>
        <v>0</v>
      </c>
      <c r="R32" s="19">
        <f>SUMIF(A$7:A$59,N32,H$7:H$60)</f>
        <v>0</v>
      </c>
      <c r="S32" s="19">
        <f>SUMIF(A$7:A$59,N32,I$7:I$59)</f>
        <v>0</v>
      </c>
      <c r="T32" s="19">
        <f>SUMIF(A$7:A$60,N32,K$7:K$60)</f>
        <v>0</v>
      </c>
      <c r="U32" s="19">
        <f>SUMIF(A$7:A$60,N32,G$7:G$60)</f>
        <v>0</v>
      </c>
      <c r="V32" s="19">
        <f>SUMIF(A$7:A$60,N32,I$7:I$60)</f>
        <v>0</v>
      </c>
    </row>
    <row r="33" spans="1:22" x14ac:dyDescent="0.3">
      <c r="A33" s="20">
        <v>46281</v>
      </c>
      <c r="B33" s="17" t="s">
        <v>14</v>
      </c>
      <c r="C33" s="870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SUMIF(A$7:A$46,N33,D$7:D$46)+SUMIF(A$7:A$46,N33,G$7:G$46)</f>
        <v>275</v>
      </c>
      <c r="P33" s="19">
        <f>SUMIF(A$7:A$60,N33,E$7:E$60)+SUMIF(A$7:A$60,N33,J$7:J$60)</f>
        <v>0</v>
      </c>
      <c r="Q33" s="19">
        <f>SUMIF(A$7:A$46,N33,F$7:F$46)</f>
        <v>0</v>
      </c>
      <c r="R33" s="19">
        <f>SUMIF(A$7:A$59,N33,H$7:H$60)</f>
        <v>0</v>
      </c>
      <c r="S33" s="19">
        <f>SUMIF(A$7:A$59,N33,I$7:I$59)</f>
        <v>0</v>
      </c>
      <c r="T33" s="19">
        <f>SUMIF(A$7:A$60,N33,K$7:K$60)</f>
        <v>0</v>
      </c>
      <c r="U33" s="19">
        <f>SUMIF(A$7:A$60,N33,G$7:G$60)</f>
        <v>0</v>
      </c>
      <c r="V33" s="19">
        <f>SUMIF(A$7:A$60,N33,I$7:I$60)</f>
        <v>0</v>
      </c>
    </row>
    <row r="34" spans="1:22" x14ac:dyDescent="0.3">
      <c r="A34" s="20">
        <v>46282</v>
      </c>
      <c r="B34" s="17" t="s">
        <v>13</v>
      </c>
      <c r="C34" s="870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70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70"/>
      <c r="D36" s="14">
        <v>125</v>
      </c>
      <c r="E36" s="14"/>
      <c r="F36" s="6"/>
      <c r="G36" s="6"/>
      <c r="H36" s="5"/>
      <c r="I36" s="6"/>
      <c r="J36" s="14"/>
      <c r="K36" s="6"/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70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>SUMIF(A$7:A$60,N38,E$7:E$60)+SUMIF(A$7:A$60,N38,J$7:J$60)</f>
        <v>0</v>
      </c>
      <c r="Q38" s="19">
        <f>SUMIF(A$7:A$46,N38,F$7:F$46)</f>
        <v>0</v>
      </c>
      <c r="R38" s="19">
        <f>SUMIF(A$7:A$59,N38,H$7:H$60)</f>
        <v>0</v>
      </c>
      <c r="S38" s="19">
        <f>SUMIF(A$7:A$59,N38,I$7:I$59)</f>
        <v>0</v>
      </c>
      <c r="T38" s="19">
        <f>SUMIF(A$7:A$60,N38,K$7:K$60)</f>
        <v>0</v>
      </c>
      <c r="U38" s="19">
        <f>SUMIF(A$7:A$60,N38,G$7:G$60)</f>
        <v>0</v>
      </c>
      <c r="V38" s="19">
        <f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>SUMIF(A$7:A$60,N39,E$7:E$60)+SUMIF(A$7:A$60,N39,J$7:J$60)</f>
        <v>0</v>
      </c>
      <c r="Q39" s="19">
        <f>SUMIF(A$7:A$46,N39,F$7:F$46)</f>
        <v>0</v>
      </c>
      <c r="R39" s="19">
        <f>SUMIF(A$7:A$59,N39,H$7:H$60)</f>
        <v>0</v>
      </c>
      <c r="S39" s="19">
        <f>SUMIF(A$7:A$59,N39,I$7:I$59)</f>
        <v>0</v>
      </c>
      <c r="T39" s="19">
        <f>SUMIF(A$7:A$60,N39,K$7:K$60)</f>
        <v>0</v>
      </c>
      <c r="U39" s="19">
        <f>SUMIF(A$7:A$60,N39,G$7:G$60)</f>
        <v>0</v>
      </c>
      <c r="V39" s="19">
        <f>SUMIF(A$7:A$60,N39,I$7:I$60)</f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>SUMIF(A$7:A$60,N40,E$7:E$60)+SUMIF(A$7:A$60,N40,J$7:J$60)</f>
        <v>0</v>
      </c>
      <c r="Q40" s="19">
        <f>SUMIF(A$7:A$46,N40,F$7:F$46)</f>
        <v>0</v>
      </c>
      <c r="R40" s="19">
        <f>SUMIF(A$7:A$59,N40,H$7:H$60)</f>
        <v>0</v>
      </c>
      <c r="S40" s="19">
        <f>SUMIF(A$7:A$59,N40,I$7:I$59)</f>
        <v>0</v>
      </c>
      <c r="T40" s="19">
        <f>SUMIF(A$7:A$60,N40,K$7:K$60)</f>
        <v>0</v>
      </c>
      <c r="U40" s="19">
        <f>SUMIF(A$7:A$60,N40,G$7:G$60)</f>
        <v>0</v>
      </c>
      <c r="V40" s="19">
        <f>SUMIF(A$7:A$60,N40,I$7:I$60)</f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>SUMIF(A$7:A$60,N41,E$7:E$60)+SUMIF(A$7:A$60,N41,J$7:J$60)</f>
        <v>0</v>
      </c>
      <c r="Q41" s="19">
        <f>SUMIF(A$7:A$46,N41,F$7:F$46)</f>
        <v>0</v>
      </c>
      <c r="R41" s="19">
        <f>SUMIF(A$7:A$59,N41,H$7:H$60)</f>
        <v>0</v>
      </c>
      <c r="S41" s="19">
        <f>SUMIF(A$7:A$59,N41,I$7:I$59)</f>
        <v>0</v>
      </c>
      <c r="T41" s="19">
        <f>SUMIF(A$7:A$60,N41,K$7:K$60)</f>
        <v>0</v>
      </c>
      <c r="U41" s="19">
        <f>SUMIF(A$7:A$60,N41,G$7:G$60)</f>
        <v>0</v>
      </c>
      <c r="V41" s="19">
        <f>SUMIF(A$7:A$60,N41,I$7:I$60)</f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>SUMIF(A$7:A$60,N42,E$7:E$60)+SUMIF(A$7:A$60,N42,J$7:J$60)</f>
        <v>0</v>
      </c>
      <c r="Q42" s="19">
        <f>SUMIF(A$7:A$46,N42,F$7:F$46)</f>
        <v>0</v>
      </c>
      <c r="R42" s="19">
        <f>SUMIF(A$7:A$59,N42,H$7:H$60)</f>
        <v>0</v>
      </c>
      <c r="S42" s="19">
        <f>SUMIF(A$7:A$59,N42,I$7:I$59)</f>
        <v>0</v>
      </c>
      <c r="T42" s="19">
        <f>SUMIF(A$7:A$60,N42,K$7:K$60)</f>
        <v>0</v>
      </c>
      <c r="U42" s="19">
        <f>SUMIF(A$7:A$60,N42,G$7:G$60)</f>
        <v>0</v>
      </c>
      <c r="V42" s="19">
        <f>SUMIF(A$7:A$60,N42,I$7:I$60)</f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>SUMIF(A$7:A$60,N43,D$7:D$60)+SUMIF(A$7:A$46,N43,G$7:G$60)</f>
        <v>0</v>
      </c>
      <c r="P43" s="19">
        <f>SUMIF(A$7:A$60,N43,E$7:E$60)+SUMIF(A$7:A$60,N43,J$7:J$60)</f>
        <v>0</v>
      </c>
      <c r="Q43" s="19">
        <f>SUMIF(A$7:A$46,N43,F$7:F$46)</f>
        <v>0</v>
      </c>
      <c r="R43" s="19">
        <f>SUMIF(A$7:A$59,N43,H$7:H$60)</f>
        <v>0</v>
      </c>
      <c r="S43" s="19">
        <f>SUMIF(A$7:A$59,N43,I$7:I$59)</f>
        <v>0</v>
      </c>
      <c r="T43" s="19">
        <f>SUMIF(A$7:A$60,N43,K$7:K$60)</f>
        <v>0</v>
      </c>
      <c r="U43" s="19">
        <f>SUMIF(A$7:A$60,N43,G$7:G$60)</f>
        <v>0</v>
      </c>
      <c r="V43" s="19">
        <f>SUMIF(A$7:A$60,N43,I$7:I$60)</f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>SUMIF(A$7:A$60,N44,D$7:D$60)+SUMIF(A$7:A$46,N44,G$7:G$60)</f>
        <v>0</v>
      </c>
      <c r="P44" s="19">
        <f>SUMIF(A$7:A$60,N44,E$7:E$60)+SUMIF(A$7:A$60,N44,J$7:J$60)</f>
        <v>0</v>
      </c>
      <c r="Q44" s="19">
        <f>SUMIF(A$7:A$46,N44,F$7:F$46)</f>
        <v>0</v>
      </c>
      <c r="R44" s="19">
        <f>SUMIF(A$7:A$59,N44,H$7:H$60)</f>
        <v>0</v>
      </c>
      <c r="S44" s="19">
        <f>SUMIF(A$7:A$59,N44,I$7:I$59)</f>
        <v>0</v>
      </c>
      <c r="T44" s="19">
        <f>SUMIF(A$7:A$60,N44,K$7:K$60)</f>
        <v>0</v>
      </c>
      <c r="U44" s="19">
        <f>SUMIF(A$7:A$60,N44,G$7:G$60)</f>
        <v>0</v>
      </c>
      <c r="V44" s="19">
        <f>SUMIF(A$7:A$60,N44,I$7:I$60)</f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>SUMIF(A$7:A$60,N45,D$7:D$60)+SUMIF(A$7:A$46,N45,G$7:G$60)</f>
        <v>0</v>
      </c>
      <c r="P45" s="19">
        <f>SUMIF(A$7:A$60,N45,E$7:E$60)+SUMIF(A$7:A$60,N45,J$7:J$60)</f>
        <v>0</v>
      </c>
      <c r="Q45" s="19">
        <f>SUMIF(A$7:A$46,N45,F$7:F$46)</f>
        <v>0</v>
      </c>
      <c r="R45" s="19">
        <f>SUMIF(A$7:A$59,N45,H$7:H$60)</f>
        <v>0</v>
      </c>
      <c r="S45" s="19">
        <f>SUMIF(A$7:A$59,N45,I$7:I$59)</f>
        <v>0</v>
      </c>
      <c r="T45" s="19">
        <f>SUMIF(A$7:A$60,N45,K$7:K$60)</f>
        <v>0</v>
      </c>
      <c r="U45" s="19">
        <f>SUMIF(A$7:A$60,N45,G$7:G$60)</f>
        <v>0</v>
      </c>
      <c r="V45" s="19">
        <f>SUMIF(A$7:A$60,N45,I$7:I$60)</f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>SUMIF(A$7:A$60,N46,D$7:D$60)+SUMIF(A$7:A$46,N46,G$7:G$60)</f>
        <v>0</v>
      </c>
      <c r="P46" s="19">
        <f>SUMIF(A$7:A$60,N46,E$7:E$60)+SUMIF(A$7:A$60,N46,J$7:J$60)</f>
        <v>0</v>
      </c>
      <c r="Q46" s="19">
        <f>SUMIF(A$7:A$46,N46,F$7:F$46)</f>
        <v>0</v>
      </c>
      <c r="R46" s="19">
        <f>SUMIF(A$7:A$59,N46,H$7:H$60)</f>
        <v>0</v>
      </c>
      <c r="S46" s="19">
        <f>SUMIF(A$7:A$59,N46,I$7:I$59)</f>
        <v>0</v>
      </c>
      <c r="T46" s="19">
        <f>SUMIF(A$7:A$60,N46,K$7:K$60)</f>
        <v>0</v>
      </c>
      <c r="U46" s="19">
        <f>SUMIF(A$7:A$60,N46,G$7:G$60)</f>
        <v>0</v>
      </c>
      <c r="V46" s="19">
        <f>SUMIF(A$7:A$60,N46,I$7:I$60)</f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>SUMIF(A$7:A$60,N47,D$7:D$60)+SUMIF(A$7:A$46,N47,G$7:G$60)</f>
        <v>0</v>
      </c>
      <c r="P47" s="19">
        <f>SUMIF(A$7:A$60,N47,E$7:E$60)+SUMIF(A$7:A$60,N47,J$7:J$60)</f>
        <v>0</v>
      </c>
      <c r="Q47" s="19">
        <f>SUMIF(A$7:A$46,N47,F$7:F$46)</f>
        <v>0</v>
      </c>
      <c r="R47" s="19">
        <f>SUMIF(A$7:A$59,N47,H$7:H$60)</f>
        <v>0</v>
      </c>
      <c r="S47" s="19">
        <f>SUMIF(A$7:A$59,N47,I$7:I$59)</f>
        <v>0</v>
      </c>
      <c r="T47" s="19">
        <f>SUMIF(A$7:A$60,N47,K$7:K$60)</f>
        <v>0</v>
      </c>
      <c r="U47" s="19">
        <f>SUMIF(A$7:A$60,N47,G$7:G$60)</f>
        <v>0</v>
      </c>
      <c r="V47" s="19">
        <f>SUMIF(A$7:A$60,N47,I$7:I$60)</f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>SUMIF(A$7:A$60,N48,D$7:D$60)+SUMIF(A$7:A$46,N48,G$7:G$60)</f>
        <v>0</v>
      </c>
      <c r="P48" s="19">
        <f>SUMIF(A$7:A$60,N48,E$7:E$60)+SUMIF(A$7:A$60,N48,J$7:J$60)</f>
        <v>0</v>
      </c>
      <c r="Q48" s="19">
        <f>SUMIF(A$7:A$46,N48,F$7:F$46)</f>
        <v>0</v>
      </c>
      <c r="R48" s="19">
        <f>SUMIF(A$7:A$59,N48,H$7:H$60)</f>
        <v>0</v>
      </c>
      <c r="S48" s="19">
        <f>SUMIF(A$7:A$59,N48,I$7:I$59)</f>
        <v>0</v>
      </c>
      <c r="T48" s="19">
        <f>SUMIF(A$7:A$60,N48,K$7:K$60)</f>
        <v>0</v>
      </c>
      <c r="U48" s="19">
        <f>SUMIF(A$7:A$60,N48,G$7:G$60)</f>
        <v>0</v>
      </c>
      <c r="V48" s="19">
        <f>SUMIF(A$7:A$60,N48,I$7:I$60)</f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>SUMIF(A$7:A$60,N49,D$7:D$60)+SUMIF(A$7:A$46,N49,G$7:G$60)</f>
        <v>0</v>
      </c>
      <c r="P49" s="19">
        <f>SUMIF(A$7:A$60,N49,E$7:E$60)+SUMIF(A$7:A$60,N49,J$7:J$60)</f>
        <v>0</v>
      </c>
      <c r="Q49" s="19">
        <f>SUMIF(A$7:A$46,N49,F$7:F$46)</f>
        <v>0</v>
      </c>
      <c r="R49" s="19">
        <f>SUMIF(A$7:A$59,N49,H$7:H$60)</f>
        <v>0</v>
      </c>
      <c r="S49" s="19">
        <f>SUMIF(A$7:A$59,N49,I$7:I$59)</f>
        <v>0</v>
      </c>
      <c r="T49" s="19">
        <f>SUMIF(A$7:A$60,N49,K$7:K$60)</f>
        <v>0</v>
      </c>
      <c r="U49" s="19">
        <f>SUMIF(A$7:A$60,N49,G$7:G$60)</f>
        <v>0</v>
      </c>
      <c r="V49" s="19">
        <f>SUMIF(A$7:A$60,N49,I$7:I$60)</f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>SUMIF(A$7:A$60,N50,D$7:D$60)+SUMIF(A$7:A$46,N50,G$7:G$60)</f>
        <v>0</v>
      </c>
      <c r="P50" s="19">
        <f>SUMIF(A$7:A$60,N50,E$7:E$60)+SUMIF(A$7:A$60,N50,J$7:J$60)</f>
        <v>0</v>
      </c>
      <c r="Q50" s="19">
        <f>SUMIF(A$7:A$46,N50,F$7:F$46)</f>
        <v>0</v>
      </c>
      <c r="R50" s="19">
        <f>SUMIF(A$7:A$59,N50,H$7:H$60)</f>
        <v>0</v>
      </c>
      <c r="S50" s="19">
        <f>SUMIF(A$7:A$59,N50,I$7:I$59)</f>
        <v>0</v>
      </c>
      <c r="T50" s="19">
        <f>SUMIF(A$7:A$60,N50,K$7:K$60)</f>
        <v>0</v>
      </c>
      <c r="U50" s="19">
        <f>SUMIF(A$7:A$60,N50,G$7:G$60)</f>
        <v>0</v>
      </c>
      <c r="V50" s="19">
        <f>SUMIF(A$7:A$60,N50,I$7:I$60)</f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>SUMIF(A$7:A$60,N51,D$7:D$60)+SUMIF(A$7:A$46,N51,G$7:G$60)</f>
        <v>0</v>
      </c>
      <c r="P51" s="19">
        <f>SUMIF(A$7:A$60,N51,E$7:E$60)+SUMIF(A$7:A$60,N51,J$7:J$60)</f>
        <v>0</v>
      </c>
      <c r="Q51" s="19">
        <f>SUMIF(A$7:A$46,N51,F$7:F$46)</f>
        <v>0</v>
      </c>
      <c r="R51" s="19">
        <f>SUMIF(A$7:A$59,N51,H$7:H$60)</f>
        <v>0</v>
      </c>
      <c r="S51" s="19">
        <f>SUMIF(A$7:A$59,N51,I$7:I$59)</f>
        <v>0</v>
      </c>
      <c r="T51" s="19">
        <f>SUMIF(A$7:A$60,N51,K$7:K$60)</f>
        <v>0</v>
      </c>
      <c r="U51" s="19">
        <f>SUMIF(A$7:A$60,N51,G$7:G$60)</f>
        <v>0</v>
      </c>
      <c r="V51" s="19">
        <f>SUMIF(A$7:A$60,N51,I$7:I$60)</f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>SUMIF(A$7:A$60,N52,D$7:D$60)+SUMIF(A$7:A$46,N52,G$7:G$60)</f>
        <v>0</v>
      </c>
      <c r="P52" s="19">
        <f>SUMIF(A$7:A$60,N52,E$7:E$60)+SUMIF(A$7:A$60,N52,J$7:J$60)</f>
        <v>0</v>
      </c>
      <c r="Q52" s="19">
        <f>SUMIF(A$7:A$46,N52,F$7:F$46)</f>
        <v>0</v>
      </c>
      <c r="R52" s="19">
        <f>SUMIF(A$7:A$59,N52,H$7:H$60)</f>
        <v>0</v>
      </c>
      <c r="S52" s="19">
        <f>SUMIF(A$7:A$59,N52,I$7:I$59)</f>
        <v>0</v>
      </c>
      <c r="T52" s="19">
        <f>SUMIF(A$7:A$60,N52,K$7:K$60)</f>
        <v>0</v>
      </c>
      <c r="U52" s="19">
        <f>SUMIF(A$7:A$60,N52,G$7:G$60)</f>
        <v>0</v>
      </c>
      <c r="V52" s="19">
        <f>SUMIF(A$7:A$60,N52,I$7:I$60)</f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>SUMIF(A$7:A$60,N53,D$7:D$60)+SUMIF(A$7:A$46,N53,G$7:G$60)</f>
        <v>0</v>
      </c>
      <c r="P53" s="19">
        <f>SUMIF(A$7:A$60,N53,E$7:E$60)+SUMIF(A$7:A$60,N53,J$7:J$60)</f>
        <v>0</v>
      </c>
      <c r="Q53" s="19">
        <f>SUMIF(A$7:A$46,N53,F$7:F$46)</f>
        <v>0</v>
      </c>
      <c r="R53" s="19">
        <f>SUMIF(A$7:A$59,N53,H$7:H$60)</f>
        <v>0</v>
      </c>
      <c r="S53" s="19">
        <f>SUMIF(A$7:A$59,N53,I$7:I$59)</f>
        <v>0</v>
      </c>
      <c r="T53" s="19">
        <f>SUMIF(A$7:A$60,N53,K$7:K$60)</f>
        <v>0</v>
      </c>
      <c r="U53" s="19">
        <f>SUMIF(A$7:A$60,N53,G$7:G$60)</f>
        <v>0</v>
      </c>
      <c r="V53" s="19">
        <f>SUMIF(A$7:A$60,N53,I$7:I$60)</f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>SUMIF(A$7:A$60,N54,D$7:D$60)+SUMIF(A$7:A$46,N54,G$7:G$60)</f>
        <v>0</v>
      </c>
      <c r="P54" s="19">
        <f>SUMIF(A$7:A$60,N54,E$7:E$60)+SUMIF(A$7:A$60,N54,J$7:J$60)</f>
        <v>0</v>
      </c>
      <c r="Q54" s="19">
        <f>SUMIF(A$7:A$46,N54,F$7:F$46)</f>
        <v>0</v>
      </c>
      <c r="R54" s="19">
        <f>SUMIF(A$7:A$59,N54,H$7:H$60)</f>
        <v>0</v>
      </c>
      <c r="S54" s="19">
        <f>SUMIF(A$7:A$59,N54,I$7:I$59)</f>
        <v>0</v>
      </c>
      <c r="T54" s="19">
        <f>SUMIF(A$7:A$60,N54,K$7:K$60)</f>
        <v>0</v>
      </c>
      <c r="U54" s="19">
        <f>SUMIF(A$7:A$60,N54,G$7:G$60)</f>
        <v>0</v>
      </c>
      <c r="V54" s="19">
        <f>SUMIF(A$7:A$60,N54,I$7:I$60)</f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>SUMIF(A$7:A$60,N55,D$7:D$60)+SUMIF(A$7:A$46,N55,G$7:G$60)</f>
        <v>0</v>
      </c>
      <c r="P55" s="19">
        <f>SUMIF(A$7:A$60,N55,E$7:E$60)+SUMIF(A$7:A$60,N55,J$7:J$60)</f>
        <v>0</v>
      </c>
      <c r="Q55" s="19">
        <f>SUMIF(A$7:A$46,N55,F$7:F$46)</f>
        <v>0</v>
      </c>
      <c r="R55" s="19">
        <f>SUMIF(A$7:A$59,N55,H$7:H$60)</f>
        <v>0</v>
      </c>
      <c r="S55" s="19">
        <f>SUMIF(A$7:A$59,N55,I$7:I$59)</f>
        <v>0</v>
      </c>
      <c r="T55" s="19">
        <f>SUMIF(A$7:A$60,N55,K$7:K$60)</f>
        <v>0</v>
      </c>
      <c r="U55" s="19">
        <f>SUMIF(A$7:A$60,N55,G$7:G$60)</f>
        <v>0</v>
      </c>
      <c r="V55" s="19">
        <f>SUMIF(A$7:A$60,N55,I$7:I$60)</f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>SUMIF(A$7:A$60,N56,D$7:D$60)+SUMIF(A$7:A$46,N56,G$7:G$60)</f>
        <v>0</v>
      </c>
      <c r="P56" s="19">
        <f>SUMIF(A$7:A$60,N56,E$7:E$60)+SUMIF(A$7:A$60,N56,J$7:J$60)</f>
        <v>0</v>
      </c>
      <c r="Q56" s="19">
        <f>SUMIF(A$7:A$46,N56,F$7:F$46)</f>
        <v>0</v>
      </c>
      <c r="R56" s="19">
        <f>SUMIF(A$7:A$59,N56,H$7:H$60)</f>
        <v>0</v>
      </c>
      <c r="S56" s="19">
        <f>SUMIF(A$7:A$59,N56,I$7:I$59)</f>
        <v>0</v>
      </c>
      <c r="T56" s="19">
        <f>SUMIF(A$7:A$60,N56,K$7:K$60)</f>
        <v>0</v>
      </c>
      <c r="U56" s="19">
        <f>SUMIF(A$7:A$60,N56,G$7:G$60)</f>
        <v>0</v>
      </c>
      <c r="V56" s="19">
        <f>SUMIF(A$7:A$60,N56,I$7:I$60)</f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>SUMIF(A$7:A$60,N57,D$7:D$60)+SUMIF(A$7:A$46,N57,G$7:G$60)</f>
        <v>0</v>
      </c>
      <c r="P57" s="19">
        <f>SUMIF(A$7:A$60,N57,E$7:E$60)+SUMIF(A$7:A$60,N57,J$7:J$60)</f>
        <v>0</v>
      </c>
      <c r="Q57" s="19">
        <f>SUMIF(A$7:A$46,N57,F$7:F$46)</f>
        <v>0</v>
      </c>
      <c r="R57" s="19">
        <f>SUMIF(A$7:A$59,N57,H$7:H$60)</f>
        <v>0</v>
      </c>
      <c r="S57" s="19">
        <f>SUMIF(A$7:A$59,N57,I$7:I$59)</f>
        <v>0</v>
      </c>
      <c r="T57" s="19">
        <f>SUMIF(A$7:A$60,N57,K$7:K$60)</f>
        <v>0</v>
      </c>
      <c r="U57" s="19">
        <f>SUMIF(A$7:A$60,N57,G$7:G$60)</f>
        <v>0</v>
      </c>
      <c r="V57" s="19">
        <f>SUMIF(A$7:A$60,N57,I$7:I$60)</f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>SUMIF(A$7:A$60,N58,D$7:D$60)+SUMIF(A$7:A$46,N58,G$7:G$60)</f>
        <v>0</v>
      </c>
      <c r="P58" s="19">
        <f>SUMIF(A$7:A$60,N58,E$7:E$60)+SUMIF(A$7:A$60,N58,J$7:J$60)</f>
        <v>0</v>
      </c>
      <c r="Q58" s="19">
        <f>SUMIF(A$7:A$46,N58,F$7:F$46)</f>
        <v>0</v>
      </c>
      <c r="R58" s="19">
        <f>SUMIF(A$7:A$59,N58,H$7:H$60)</f>
        <v>0</v>
      </c>
      <c r="S58" s="19">
        <f>SUMIF(A$7:A$59,N58,I$7:I$59)</f>
        <v>0</v>
      </c>
      <c r="T58" s="19">
        <f>SUMIF(A$7:A$60,N58,K$7:K$60)</f>
        <v>0</v>
      </c>
      <c r="U58" s="19">
        <f>SUMIF(A$7:A$60,N58,G$7:G$60)</f>
        <v>0</v>
      </c>
      <c r="V58" s="19">
        <f>SUMIF(A$7:A$60,N58,I$7:I$60)</f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>SUMIF(A$7:A$60,N59,D$7:D$60)+SUMIF(A$7:A$46,N59,G$7:G$60)</f>
        <v>0</v>
      </c>
      <c r="P59" s="19">
        <f>SUMIF(A$7:A$60,N59,E$7:E$60)+SUMIF(A$7:A$60,N59,J$7:J$60)</f>
        <v>0</v>
      </c>
      <c r="Q59" s="19">
        <f>SUMIF(A$7:A$46,N59,F$7:F$46)</f>
        <v>0</v>
      </c>
      <c r="R59" s="19">
        <f>SUMIF(A$7:A$59,N59,H$7:H$60)</f>
        <v>0</v>
      </c>
      <c r="S59" s="19">
        <f>SUMIF(A$7:A$59,N59,I$7:I$59)</f>
        <v>0</v>
      </c>
      <c r="T59" s="19">
        <f>SUMIF(A$7:A$60,N59,K$7:K$60)</f>
        <v>0</v>
      </c>
      <c r="U59" s="19">
        <f>SUMIF(A$7:A$60,N59,G$7:G$60)</f>
        <v>0</v>
      </c>
      <c r="V59" s="19">
        <f>SUMIF(A$7:A$60,N59,I$7:I$60)</f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3725</v>
      </c>
      <c r="P60" s="22">
        <f t="shared" ref="P60:V60" si="3">SUM(P7:P59)</f>
        <v>3500</v>
      </c>
      <c r="Q60" s="22">
        <f t="shared" si="3"/>
        <v>3000</v>
      </c>
      <c r="R60" s="22">
        <f t="shared" si="3"/>
        <v>0</v>
      </c>
      <c r="S60" s="22">
        <f t="shared" si="3"/>
        <v>0</v>
      </c>
      <c r="T60" s="22">
        <f t="shared" si="3"/>
        <v>125</v>
      </c>
      <c r="U60" s="22">
        <f t="shared" si="3"/>
        <v>0</v>
      </c>
      <c r="V60" s="22">
        <f t="shared" si="3"/>
        <v>0</v>
      </c>
    </row>
    <row r="62" spans="1:22" x14ac:dyDescent="0.3">
      <c r="O62">
        <f>O60*X22</f>
        <v>178800000</v>
      </c>
      <c r="P62">
        <f>P60*Y22</f>
        <v>8050000</v>
      </c>
      <c r="Q62">
        <f>Q60*AA22</f>
        <v>90000000</v>
      </c>
      <c r="T62">
        <f>Z22*T60</f>
        <v>5500000</v>
      </c>
    </row>
    <row r="63" spans="1:22" x14ac:dyDescent="0.3">
      <c r="O63">
        <f>3725-O60</f>
        <v>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M1" zoomScale="78" zoomScaleNormal="55" workbookViewId="0">
      <selection activeCell="AA14" sqref="AA1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5" customWidth="1"/>
    <col min="9" max="9" width="9.5546875" style="365" customWidth="1"/>
    <col min="10" max="10" width="11.21875" style="365" customWidth="1"/>
    <col min="11" max="11" width="12" style="365" customWidth="1"/>
    <col min="12" max="12" width="11.77734375" style="365" customWidth="1"/>
    <col min="13" max="13" width="14.44140625" style="36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49" t="s">
        <v>414</v>
      </c>
      <c r="C2" s="1050"/>
      <c r="D2" s="1050"/>
      <c r="E2" s="1050"/>
      <c r="F2" s="1050"/>
      <c r="G2" s="1050"/>
      <c r="H2" s="1050"/>
      <c r="I2" s="1050"/>
      <c r="J2" s="1050"/>
      <c r="K2" s="1050"/>
      <c r="L2" s="1050"/>
      <c r="M2" s="1051"/>
      <c r="AD2" s="14">
        <v>2</v>
      </c>
      <c r="AE2" s="14">
        <v>9.9000000000000005E-2</v>
      </c>
    </row>
    <row r="3" spans="2:31" ht="15" thickBot="1" x14ac:dyDescent="0.35">
      <c r="B3" s="1049" t="s">
        <v>198</v>
      </c>
      <c r="C3" s="1050"/>
      <c r="D3" s="1050"/>
      <c r="E3" s="1050"/>
      <c r="F3" s="1050"/>
      <c r="G3" s="1050"/>
      <c r="H3" s="1050"/>
      <c r="I3" s="1050"/>
      <c r="J3" s="1050"/>
      <c r="K3" s="1050"/>
      <c r="L3" s="1050"/>
      <c r="M3" s="1051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6"/>
      <c r="I4" s="366"/>
      <c r="J4" s="366"/>
      <c r="K4" s="366"/>
      <c r="L4" s="366"/>
      <c r="M4" s="366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6"/>
      <c r="I5" s="366"/>
      <c r="J5" s="366"/>
      <c r="K5" s="366"/>
      <c r="L5" s="366"/>
      <c r="M5" s="366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4" t="s">
        <v>179</v>
      </c>
      <c r="E7" s="364" t="s">
        <v>180</v>
      </c>
      <c r="F7" s="364" t="s">
        <v>181</v>
      </c>
      <c r="G7" s="364" t="s">
        <v>182</v>
      </c>
      <c r="H7" s="364" t="s">
        <v>183</v>
      </c>
      <c r="I7" s="364" t="s">
        <v>184</v>
      </c>
      <c r="J7" s="364" t="s">
        <v>374</v>
      </c>
      <c r="K7" s="364" t="s">
        <v>375</v>
      </c>
      <c r="L7" s="364" t="s">
        <v>186</v>
      </c>
      <c r="M7" s="364" t="s">
        <v>196</v>
      </c>
      <c r="Q7" s="1038" t="s">
        <v>340</v>
      </c>
      <c r="R7" s="1038"/>
      <c r="S7" s="1038"/>
      <c r="T7" s="1038"/>
      <c r="U7" s="1038"/>
      <c r="V7" s="103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7">
        <v>41</v>
      </c>
      <c r="I8" s="367">
        <v>1.35</v>
      </c>
      <c r="J8" s="372">
        <f>H8*I8</f>
        <v>55.35</v>
      </c>
      <c r="K8" s="372">
        <f>I8*G8</f>
        <v>0</v>
      </c>
      <c r="L8" s="367">
        <v>1.0269999999999999</v>
      </c>
      <c r="M8" s="372">
        <f>L8*J8</f>
        <v>56.844449999999995</v>
      </c>
      <c r="N8" s="1" t="s">
        <v>206</v>
      </c>
      <c r="O8" s="1">
        <f>MEDIAN(L8:L39)</f>
        <v>1.1160000000000001</v>
      </c>
      <c r="Q8" s="256" t="s">
        <v>71</v>
      </c>
      <c r="R8" s="256" t="s">
        <v>341</v>
      </c>
      <c r="S8" s="256" t="s">
        <v>1</v>
      </c>
      <c r="T8" s="256" t="s">
        <v>342</v>
      </c>
      <c r="U8" s="256" t="s">
        <v>343</v>
      </c>
      <c r="V8" s="256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7">
        <v>16</v>
      </c>
      <c r="I9" s="367">
        <v>1.35</v>
      </c>
      <c r="J9" s="372">
        <f t="shared" ref="J9:J12" si="0">H9*I9</f>
        <v>21.6</v>
      </c>
      <c r="K9" s="372">
        <f t="shared" ref="K9:K12" si="1">I9*G9</f>
        <v>0</v>
      </c>
      <c r="L9" s="367">
        <v>1.228</v>
      </c>
      <c r="M9" s="372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7" t="s">
        <v>269</v>
      </c>
      <c r="Z9" s="135">
        <f>AVERAGE(T9:T261)</f>
        <v>0.85050980392156872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7">
        <v>93</v>
      </c>
      <c r="I10" s="367">
        <v>1.35</v>
      </c>
      <c r="J10" s="372">
        <f t="shared" si="0"/>
        <v>125.55000000000001</v>
      </c>
      <c r="K10" s="372">
        <f t="shared" si="1"/>
        <v>0</v>
      </c>
      <c r="L10" s="375">
        <v>0.6</v>
      </c>
      <c r="M10" s="372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7" t="s">
        <v>206</v>
      </c>
      <c r="Z10" s="135">
        <f>MEDIAN(T9:T330)</f>
        <v>0.61599999999999999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7">
        <v>40</v>
      </c>
      <c r="I11" s="367">
        <v>1.35</v>
      </c>
      <c r="J11" s="372">
        <f t="shared" si="0"/>
        <v>54</v>
      </c>
      <c r="K11" s="372">
        <f t="shared" si="1"/>
        <v>0</v>
      </c>
      <c r="L11" s="367">
        <v>1.0269999999999999</v>
      </c>
      <c r="M11" s="372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7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7">
        <v>13</v>
      </c>
      <c r="I12" s="367">
        <v>1.35</v>
      </c>
      <c r="J12" s="372">
        <f t="shared" si="0"/>
        <v>17.55</v>
      </c>
      <c r="K12" s="372">
        <f t="shared" si="1"/>
        <v>0</v>
      </c>
      <c r="L12" s="367">
        <v>1.228</v>
      </c>
      <c r="M12" s="372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7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7">
        <v>310</v>
      </c>
      <c r="I13" s="367">
        <v>1.39</v>
      </c>
      <c r="J13" s="372">
        <f>H13*I13</f>
        <v>430.9</v>
      </c>
      <c r="K13" s="372">
        <f t="shared" ref="K13:K22" si="3">I13*G13</f>
        <v>278</v>
      </c>
      <c r="L13" s="367">
        <v>1.1220000000000001</v>
      </c>
      <c r="M13" s="372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8" t="s">
        <v>370</v>
      </c>
      <c r="Z13" s="39">
        <f>((Z9-Z10)/(Z9+Z10)/2)</f>
        <v>7.9955075409134699E-2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7">
        <v>190</v>
      </c>
      <c r="I14" s="367">
        <v>1.39</v>
      </c>
      <c r="J14" s="372">
        <f>H14*I14</f>
        <v>264.09999999999997</v>
      </c>
      <c r="K14" s="372">
        <f t="shared" si="3"/>
        <v>305.79999999999995</v>
      </c>
      <c r="L14" s="367">
        <v>1.1220000000000001</v>
      </c>
      <c r="M14" s="372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8" t="s">
        <v>270</v>
      </c>
      <c r="Z14" s="135">
        <f>Z9-Z10</f>
        <v>0.23450980392156873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7">
        <v>34</v>
      </c>
      <c r="I15" s="367">
        <v>1.39</v>
      </c>
      <c r="J15" s="372">
        <f>H15*I15</f>
        <v>47.26</v>
      </c>
      <c r="K15" s="372">
        <f t="shared" si="3"/>
        <v>291.89999999999998</v>
      </c>
      <c r="L15" s="367">
        <v>1.02</v>
      </c>
      <c r="M15" s="372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6">
        <f>_xlfn.STDEV.P(T9:T212)</f>
        <v>0.71278326892960531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7"/>
      <c r="E16" s="14"/>
      <c r="F16" s="14" t="s">
        <v>337</v>
      </c>
      <c r="G16" s="14">
        <v>30</v>
      </c>
      <c r="H16" s="367">
        <v>64</v>
      </c>
      <c r="I16" s="367">
        <v>1.39</v>
      </c>
      <c r="J16" s="372">
        <f>H16*I16</f>
        <v>88.96</v>
      </c>
      <c r="K16" s="372">
        <f t="shared" si="3"/>
        <v>41.699999999999996</v>
      </c>
      <c r="L16" s="405">
        <v>1.02</v>
      </c>
      <c r="M16" s="372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7">
        <v>62</v>
      </c>
      <c r="I17" s="367">
        <v>1.39</v>
      </c>
      <c r="J17" s="372">
        <f t="shared" ref="J17:J39" si="4">H17*I17</f>
        <v>86.179999999999993</v>
      </c>
      <c r="K17" s="372">
        <f t="shared" si="3"/>
        <v>83.399999999999991</v>
      </c>
      <c r="L17" s="367">
        <v>0.93500000000000005</v>
      </c>
      <c r="M17" s="372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7">
        <v>108</v>
      </c>
      <c r="I18" s="367">
        <v>1.39</v>
      </c>
      <c r="J18" s="372">
        <f t="shared" si="4"/>
        <v>150.11999999999998</v>
      </c>
      <c r="K18" s="372">
        <f t="shared" si="3"/>
        <v>83.399999999999991</v>
      </c>
      <c r="L18" s="367">
        <v>1.1100000000000001</v>
      </c>
      <c r="M18" s="372">
        <f t="shared" si="2"/>
        <v>166.63319999999999</v>
      </c>
      <c r="N18" s="1">
        <v>1358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7">
        <v>130</v>
      </c>
      <c r="I19" s="367">
        <v>1.39</v>
      </c>
      <c r="J19" s="372">
        <f>H19*I19</f>
        <v>180.7</v>
      </c>
      <c r="K19" s="372">
        <f t="shared" si="3"/>
        <v>208.49999999999997</v>
      </c>
      <c r="L19" s="367">
        <v>12.308999999999999</v>
      </c>
      <c r="M19" s="372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7">
        <v>94</v>
      </c>
      <c r="I20" s="367">
        <v>1.39</v>
      </c>
      <c r="J20" s="372">
        <f t="shared" si="4"/>
        <v>130.66</v>
      </c>
      <c r="K20" s="372">
        <f t="shared" si="3"/>
        <v>152.89999999999998</v>
      </c>
      <c r="L20" s="367">
        <v>0.86</v>
      </c>
      <c r="M20" s="372">
        <f t="shared" si="2"/>
        <v>112.3676</v>
      </c>
      <c r="O20" s="1">
        <f>N18*1.39</f>
        <v>1887.62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7">
        <v>310</v>
      </c>
      <c r="I21" s="392">
        <v>1.3</v>
      </c>
      <c r="J21" s="372">
        <f t="shared" si="4"/>
        <v>403</v>
      </c>
      <c r="K21" s="372">
        <f t="shared" si="3"/>
        <v>130</v>
      </c>
      <c r="L21" s="367">
        <v>1.2969999999999999</v>
      </c>
      <c r="M21" s="372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7">
        <v>56</v>
      </c>
      <c r="I22" s="392">
        <v>1.3</v>
      </c>
      <c r="J22" s="372">
        <f t="shared" si="4"/>
        <v>72.8</v>
      </c>
      <c r="K22" s="372">
        <f t="shared" si="3"/>
        <v>364</v>
      </c>
      <c r="L22" s="367">
        <v>1.4970000000000001</v>
      </c>
      <c r="M22" s="372">
        <f t="shared" si="2"/>
        <v>108.9816</v>
      </c>
      <c r="O22" s="1">
        <f>366*1.39</f>
        <v>508.73999999999995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8">
        <v>46263</v>
      </c>
      <c r="D23" s="407"/>
      <c r="E23" s="407"/>
      <c r="F23" s="407"/>
      <c r="G23" s="251"/>
      <c r="H23" s="251"/>
      <c r="I23" s="251"/>
      <c r="J23" s="251"/>
      <c r="K23" s="251"/>
      <c r="L23" s="368"/>
      <c r="M23" s="372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8">
        <v>46264</v>
      </c>
      <c r="D24" s="6"/>
      <c r="E24" s="6"/>
      <c r="F24" s="6"/>
      <c r="G24" s="6"/>
      <c r="H24" s="368"/>
      <c r="I24" s="367"/>
      <c r="J24" s="372">
        <f t="shared" si="4"/>
        <v>0</v>
      </c>
      <c r="K24" s="372"/>
      <c r="L24" s="368"/>
      <c r="M24" s="372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8">
        <v>46265</v>
      </c>
      <c r="D25" s="6"/>
      <c r="E25" s="6"/>
      <c r="F25" s="14" t="s">
        <v>337</v>
      </c>
      <c r="G25" s="6"/>
      <c r="H25" s="368">
        <v>23</v>
      </c>
      <c r="I25" s="367">
        <v>1.3</v>
      </c>
      <c r="J25" s="372">
        <f t="shared" si="4"/>
        <v>29.900000000000002</v>
      </c>
      <c r="K25" s="372"/>
      <c r="L25" s="368">
        <v>1.23</v>
      </c>
      <c r="M25" s="372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8">
        <v>46266</v>
      </c>
      <c r="D26" s="6"/>
      <c r="E26" s="6"/>
      <c r="F26" s="14"/>
      <c r="G26" s="6"/>
      <c r="H26" s="368"/>
      <c r="I26" s="367"/>
      <c r="J26" s="372">
        <f t="shared" si="4"/>
        <v>0</v>
      </c>
      <c r="K26" s="372"/>
      <c r="L26" s="368"/>
      <c r="M26" s="372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8">
        <v>46267</v>
      </c>
      <c r="D27" s="6"/>
      <c r="E27" s="6"/>
      <c r="F27" s="14"/>
      <c r="G27" s="6"/>
      <c r="H27" s="368"/>
      <c r="I27" s="367"/>
      <c r="J27" s="372">
        <f t="shared" si="4"/>
        <v>0</v>
      </c>
      <c r="K27" s="372"/>
      <c r="L27" s="368"/>
      <c r="M27" s="372">
        <f t="shared" si="2"/>
        <v>0</v>
      </c>
      <c r="O27" s="1">
        <f>4/7</f>
        <v>0.5714285714285714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8">
        <v>46268</v>
      </c>
      <c r="D28" s="6"/>
      <c r="E28" s="6"/>
      <c r="F28" s="14"/>
      <c r="G28" s="6"/>
      <c r="H28" s="368"/>
      <c r="I28" s="367"/>
      <c r="J28" s="372">
        <f t="shared" si="4"/>
        <v>0</v>
      </c>
      <c r="K28" s="372"/>
      <c r="L28" s="368"/>
      <c r="M28" s="372">
        <f t="shared" si="2"/>
        <v>0</v>
      </c>
      <c r="O28" s="1">
        <f>3/7</f>
        <v>0.42857142857142855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8">
        <v>46269</v>
      </c>
      <c r="D29" s="6"/>
      <c r="E29" s="6"/>
      <c r="F29" s="14" t="s">
        <v>337</v>
      </c>
      <c r="G29" s="6"/>
      <c r="H29" s="368">
        <v>90</v>
      </c>
      <c r="I29" s="367">
        <v>1.3</v>
      </c>
      <c r="J29" s="372">
        <f t="shared" si="4"/>
        <v>117</v>
      </c>
      <c r="K29" s="372"/>
      <c r="L29" s="368">
        <v>0.8</v>
      </c>
      <c r="M29" s="372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8">
        <v>46270</v>
      </c>
      <c r="D30" s="6"/>
      <c r="E30" s="6"/>
      <c r="F30" s="14"/>
      <c r="G30" s="6"/>
      <c r="H30" s="368"/>
      <c r="I30" s="367"/>
      <c r="J30" s="372">
        <f t="shared" si="4"/>
        <v>0</v>
      </c>
      <c r="K30" s="372"/>
      <c r="L30" s="368"/>
      <c r="M30" s="372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8">
        <v>46271</v>
      </c>
      <c r="D31" s="6"/>
      <c r="E31" s="6"/>
      <c r="F31" s="14"/>
      <c r="G31" s="6"/>
      <c r="H31" s="368"/>
      <c r="I31" s="367"/>
      <c r="J31" s="372">
        <f t="shared" si="4"/>
        <v>0</v>
      </c>
      <c r="K31" s="372"/>
      <c r="L31" s="368"/>
      <c r="M31" s="372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8">
        <v>46272</v>
      </c>
      <c r="D32" s="6"/>
      <c r="E32" s="6"/>
      <c r="F32" s="14"/>
      <c r="G32" s="6"/>
      <c r="H32" s="368"/>
      <c r="I32" s="367"/>
      <c r="J32" s="372">
        <f t="shared" si="4"/>
        <v>0</v>
      </c>
      <c r="K32" s="372"/>
      <c r="L32" s="368"/>
      <c r="M32" s="372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8">
        <v>46273</v>
      </c>
      <c r="D33" s="6"/>
      <c r="E33" s="6"/>
      <c r="F33" s="14"/>
      <c r="G33" s="6"/>
      <c r="H33" s="368"/>
      <c r="I33" s="367"/>
      <c r="J33" s="372">
        <f t="shared" si="4"/>
        <v>0</v>
      </c>
      <c r="K33" s="372"/>
      <c r="L33" s="368"/>
      <c r="M33" s="372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8">
        <v>46274</v>
      </c>
      <c r="D34" s="6"/>
      <c r="E34" s="6"/>
      <c r="F34" s="14"/>
      <c r="G34" s="6"/>
      <c r="H34" s="368"/>
      <c r="I34" s="367"/>
      <c r="J34" s="372">
        <f t="shared" si="4"/>
        <v>0</v>
      </c>
      <c r="K34" s="372"/>
      <c r="L34" s="368"/>
      <c r="M34" s="372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8">
        <v>46275</v>
      </c>
      <c r="D35" s="6"/>
      <c r="E35" s="6"/>
      <c r="F35" s="14" t="s">
        <v>337</v>
      </c>
      <c r="G35" s="6"/>
      <c r="H35" s="368">
        <v>312</v>
      </c>
      <c r="I35" s="367">
        <v>1.3</v>
      </c>
      <c r="J35" s="372">
        <f t="shared" si="4"/>
        <v>405.6</v>
      </c>
      <c r="K35" s="372"/>
      <c r="L35" s="368">
        <v>1.3</v>
      </c>
      <c r="M35" s="372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8">
        <v>46276</v>
      </c>
      <c r="D36" s="6"/>
      <c r="E36" s="6"/>
      <c r="F36" s="6"/>
      <c r="G36" s="6"/>
      <c r="H36" s="368"/>
      <c r="I36" s="367"/>
      <c r="J36" s="372">
        <f t="shared" si="4"/>
        <v>0</v>
      </c>
      <c r="K36" s="372"/>
      <c r="L36" s="368"/>
      <c r="M36" s="372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8">
        <v>46277</v>
      </c>
      <c r="D37" s="6"/>
      <c r="E37" s="6"/>
      <c r="F37" s="6"/>
      <c r="G37" s="6"/>
      <c r="H37" s="368"/>
      <c r="I37" s="367"/>
      <c r="J37" s="372">
        <f t="shared" si="4"/>
        <v>0</v>
      </c>
      <c r="K37" s="372"/>
      <c r="L37" s="368"/>
      <c r="M37" s="372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8">
        <v>46278</v>
      </c>
      <c r="D38" s="6"/>
      <c r="E38" s="6"/>
      <c r="F38" s="6"/>
      <c r="G38" s="6"/>
      <c r="H38" s="368"/>
      <c r="I38" s="367"/>
      <c r="J38" s="372">
        <f t="shared" si="4"/>
        <v>0</v>
      </c>
      <c r="K38" s="372"/>
      <c r="L38" s="368"/>
      <c r="M38" s="372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8">
        <v>46279</v>
      </c>
      <c r="D39" s="6"/>
      <c r="E39" s="6"/>
      <c r="F39" s="6"/>
      <c r="G39" s="6"/>
      <c r="H39" s="368"/>
      <c r="I39" s="367"/>
      <c r="J39" s="372">
        <f t="shared" si="4"/>
        <v>0</v>
      </c>
      <c r="K39" s="372"/>
      <c r="L39" s="368"/>
      <c r="M39" s="372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52" t="s">
        <v>417</v>
      </c>
      <c r="AH39" s="1053"/>
      <c r="AI39" s="1053"/>
      <c r="AJ39" s="1053"/>
      <c r="AK39" s="1053"/>
      <c r="AL39" s="1054"/>
    </row>
    <row r="40" spans="2:38" x14ac:dyDescent="0.3">
      <c r="B40" s="133" t="s">
        <v>122</v>
      </c>
      <c r="C40" s="408">
        <v>46280</v>
      </c>
      <c r="D40" s="133"/>
      <c r="E40" s="133"/>
      <c r="F40" s="133"/>
      <c r="G40" s="133"/>
      <c r="H40" s="369"/>
      <c r="I40" s="406">
        <f>AVERAGE(I8:I39)</f>
        <v>1.3538888888888894</v>
      </c>
      <c r="J40" s="369"/>
      <c r="K40" s="369"/>
      <c r="L40" s="406">
        <f>AVERAGE(L8:L22)</f>
        <v>1.8267999999999998</v>
      </c>
      <c r="M40" s="377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55"/>
      <c r="AH40" s="1056"/>
      <c r="AI40" s="1056"/>
      <c r="AJ40" s="1056"/>
      <c r="AK40" s="1056"/>
      <c r="AL40" s="1057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0">
        <f>SUM(H8:H39)</f>
        <v>1986</v>
      </c>
      <c r="I41" s="370"/>
      <c r="J41" s="373">
        <f>SUM(J8:J39)</f>
        <v>2681.2300000000005</v>
      </c>
      <c r="K41" s="373">
        <f>SUM(K8:K39)</f>
        <v>1939.6</v>
      </c>
      <c r="L41" s="406">
        <f>MEDIAN(L8:L22)</f>
        <v>1.1100000000000001</v>
      </c>
      <c r="M41" s="373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8">
        <v>1</v>
      </c>
      <c r="AH41" s="30">
        <v>0.81</v>
      </c>
      <c r="AJ41" s="1">
        <v>1</v>
      </c>
      <c r="AK41" s="176">
        <v>1.6</v>
      </c>
      <c r="AL41" s="379"/>
    </row>
    <row r="42" spans="2:38" x14ac:dyDescent="0.3">
      <c r="L42" s="376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8">
        <v>2</v>
      </c>
      <c r="AH42" s="30">
        <v>0.81</v>
      </c>
      <c r="AJ42" s="1">
        <v>2</v>
      </c>
      <c r="AK42" s="176">
        <v>1.6</v>
      </c>
      <c r="AL42" s="379"/>
    </row>
    <row r="43" spans="2:38" ht="43.2" x14ac:dyDescent="0.3">
      <c r="L43" s="393" t="s">
        <v>434</v>
      </c>
      <c r="M43" s="392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8">
        <v>3</v>
      </c>
      <c r="AH43" s="30">
        <v>0.81</v>
      </c>
      <c r="AJ43" s="1">
        <v>3</v>
      </c>
      <c r="AK43" s="176">
        <v>1.6</v>
      </c>
      <c r="AL43" s="379"/>
    </row>
    <row r="44" spans="2:38" x14ac:dyDescent="0.3">
      <c r="I44" s="371"/>
      <c r="J44" s="371"/>
      <c r="K44" s="371"/>
      <c r="L44" s="376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8">
        <v>4</v>
      </c>
      <c r="AH44" s="30">
        <v>0.81</v>
      </c>
      <c r="AJ44" s="1">
        <v>4</v>
      </c>
      <c r="AK44" s="176">
        <v>1.6</v>
      </c>
      <c r="AL44" s="379"/>
    </row>
    <row r="45" spans="2:38" x14ac:dyDescent="0.3">
      <c r="I45" s="371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8">
        <v>5</v>
      </c>
      <c r="AH45" s="30">
        <v>0.81</v>
      </c>
      <c r="AJ45" s="1">
        <v>5</v>
      </c>
      <c r="AK45" s="176">
        <v>1.6</v>
      </c>
      <c r="AL45" s="379"/>
    </row>
    <row r="46" spans="2:38" x14ac:dyDescent="0.3">
      <c r="J46" s="371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8">
        <v>6</v>
      </c>
      <c r="AH46" s="30">
        <v>0.81</v>
      </c>
      <c r="AJ46" s="1">
        <v>6</v>
      </c>
      <c r="AK46" s="176">
        <v>1.6</v>
      </c>
      <c r="AL46" s="379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7">
        <v>271</v>
      </c>
      <c r="I47" s="367">
        <v>1.35</v>
      </c>
      <c r="J47" s="372">
        <f>H47*I47</f>
        <v>365.85</v>
      </c>
      <c r="K47" s="374"/>
      <c r="M47" s="371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8">
        <v>7</v>
      </c>
      <c r="AH47" s="30">
        <v>0.81</v>
      </c>
      <c r="AJ47" s="1">
        <v>7</v>
      </c>
      <c r="AK47" s="176">
        <v>1.6</v>
      </c>
      <c r="AL47" s="379"/>
    </row>
    <row r="48" spans="2:38" x14ac:dyDescent="0.3">
      <c r="J48" s="371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8">
        <v>8</v>
      </c>
      <c r="AH48" s="30">
        <v>0.81</v>
      </c>
      <c r="AJ48" s="1">
        <v>8</v>
      </c>
      <c r="AK48" s="176">
        <v>1.6</v>
      </c>
      <c r="AL48" s="379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8">
        <v>9</v>
      </c>
      <c r="AH49" s="30">
        <v>0.81</v>
      </c>
      <c r="AJ49" s="1">
        <v>9</v>
      </c>
      <c r="AK49" s="176">
        <v>1.6</v>
      </c>
      <c r="AL49" s="379"/>
    </row>
    <row r="50" spans="7:38" x14ac:dyDescent="0.3">
      <c r="G50" s="14">
        <v>41</v>
      </c>
      <c r="J50" s="371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8">
        <v>10</v>
      </c>
      <c r="AH50" s="30">
        <v>0.81</v>
      </c>
      <c r="AJ50" s="1">
        <v>10</v>
      </c>
      <c r="AK50" s="176">
        <v>1.6</v>
      </c>
      <c r="AL50" s="379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8">
        <v>11</v>
      </c>
      <c r="AH51" s="30">
        <v>0.81</v>
      </c>
      <c r="AJ51" s="1">
        <v>11</v>
      </c>
      <c r="AK51" s="176">
        <v>1.6</v>
      </c>
      <c r="AL51" s="379"/>
    </row>
    <row r="52" spans="7:38" x14ac:dyDescent="0.3">
      <c r="G52" s="14">
        <v>93</v>
      </c>
      <c r="I52" s="371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8">
        <v>12</v>
      </c>
      <c r="AH52" s="30">
        <v>0.81</v>
      </c>
      <c r="AJ52" s="1">
        <v>12</v>
      </c>
      <c r="AK52" s="176">
        <v>1.6</v>
      </c>
      <c r="AL52" s="379"/>
    </row>
    <row r="53" spans="7:38" x14ac:dyDescent="0.3">
      <c r="G53" s="14">
        <v>40</v>
      </c>
      <c r="H53" s="365">
        <f>1800+1000</f>
        <v>2800</v>
      </c>
      <c r="Q53" s="210">
        <v>45</v>
      </c>
      <c r="R53" s="210" t="s">
        <v>393</v>
      </c>
      <c r="S53" s="267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8">
        <v>13</v>
      </c>
      <c r="AH53" s="30">
        <v>0.81</v>
      </c>
      <c r="AJ53" s="1">
        <v>13</v>
      </c>
      <c r="AK53" s="176">
        <v>1.6</v>
      </c>
      <c r="AL53" s="379"/>
    </row>
    <row r="54" spans="7:38" x14ac:dyDescent="0.3">
      <c r="G54" s="14">
        <v>13</v>
      </c>
      <c r="Q54" s="210">
        <v>46</v>
      </c>
      <c r="R54" s="210" t="s">
        <v>394</v>
      </c>
      <c r="S54" s="267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8">
        <v>14</v>
      </c>
      <c r="AH54" s="30">
        <v>0.81</v>
      </c>
      <c r="AJ54" s="1">
        <v>14</v>
      </c>
      <c r="AK54" s="176">
        <v>1.6</v>
      </c>
      <c r="AL54" s="379"/>
    </row>
    <row r="55" spans="7:38" x14ac:dyDescent="0.3">
      <c r="G55" s="14">
        <v>190</v>
      </c>
      <c r="Q55" s="210">
        <v>47</v>
      </c>
      <c r="R55" s="210" t="s">
        <v>395</v>
      </c>
      <c r="S55" s="267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8">
        <v>15</v>
      </c>
      <c r="AH55" s="30">
        <v>0.81</v>
      </c>
      <c r="AJ55" s="1">
        <v>15</v>
      </c>
      <c r="AK55" s="176">
        <v>1.6</v>
      </c>
      <c r="AL55" s="379"/>
    </row>
    <row r="56" spans="7:38" x14ac:dyDescent="0.3">
      <c r="G56" s="14">
        <v>220</v>
      </c>
      <c r="Q56" s="210">
        <v>48</v>
      </c>
      <c r="R56" s="210" t="s">
        <v>396</v>
      </c>
      <c r="S56" s="267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8">
        <v>16</v>
      </c>
      <c r="AH56" s="30">
        <v>0.81</v>
      </c>
      <c r="AJ56" s="1">
        <v>16</v>
      </c>
      <c r="AK56" s="176">
        <v>1.6</v>
      </c>
      <c r="AL56" s="379"/>
    </row>
    <row r="57" spans="7:38" x14ac:dyDescent="0.3">
      <c r="Q57" s="210">
        <v>49</v>
      </c>
      <c r="R57" s="210" t="s">
        <v>397</v>
      </c>
      <c r="S57" s="267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8">
        <v>17</v>
      </c>
      <c r="AH57" s="30">
        <v>0.81</v>
      </c>
      <c r="AJ57" s="1">
        <v>17</v>
      </c>
      <c r="AK57" s="176">
        <v>1.6</v>
      </c>
      <c r="AL57" s="379"/>
    </row>
    <row r="58" spans="7:38" x14ac:dyDescent="0.3">
      <c r="Q58" s="210">
        <v>50</v>
      </c>
      <c r="R58" s="210" t="s">
        <v>398</v>
      </c>
      <c r="S58" s="267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8">
        <v>18</v>
      </c>
      <c r="AH58" s="30">
        <v>0.81</v>
      </c>
      <c r="AJ58" s="1">
        <v>18</v>
      </c>
      <c r="AK58" s="176">
        <v>1.6</v>
      </c>
      <c r="AL58" s="379"/>
    </row>
    <row r="59" spans="7:38" x14ac:dyDescent="0.3">
      <c r="Q59" s="210">
        <v>51</v>
      </c>
      <c r="R59" s="210" t="s">
        <v>399</v>
      </c>
      <c r="S59" s="267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8">
        <v>19</v>
      </c>
      <c r="AH59" s="30">
        <v>0.81</v>
      </c>
      <c r="AJ59" s="1">
        <v>19</v>
      </c>
      <c r="AK59" s="176">
        <v>1.6</v>
      </c>
      <c r="AL59" s="379"/>
    </row>
    <row r="60" spans="7:38" x14ac:dyDescent="0.3">
      <c r="Q60" s="210">
        <v>52</v>
      </c>
      <c r="R60" s="210" t="s">
        <v>400</v>
      </c>
      <c r="S60" s="267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8">
        <v>20</v>
      </c>
      <c r="AH60" s="30">
        <v>0.81</v>
      </c>
      <c r="AJ60" s="1">
        <v>20</v>
      </c>
      <c r="AK60" s="176">
        <v>1.6</v>
      </c>
      <c r="AL60" s="379"/>
    </row>
    <row r="61" spans="7:38" x14ac:dyDescent="0.3">
      <c r="Q61" s="210">
        <v>53</v>
      </c>
      <c r="R61" s="210" t="s">
        <v>401</v>
      </c>
      <c r="S61" s="267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8">
        <v>21</v>
      </c>
      <c r="AH61" s="30">
        <v>0.81</v>
      </c>
      <c r="AJ61" s="1">
        <v>21</v>
      </c>
      <c r="AK61" s="176">
        <v>1.6</v>
      </c>
      <c r="AL61" s="379"/>
    </row>
    <row r="62" spans="7:38" x14ac:dyDescent="0.3">
      <c r="Q62" s="210">
        <v>54</v>
      </c>
      <c r="R62" s="210" t="s">
        <v>402</v>
      </c>
      <c r="S62" s="267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8">
        <v>22</v>
      </c>
      <c r="AH62" s="30">
        <v>0.81</v>
      </c>
      <c r="AJ62" s="1">
        <v>22</v>
      </c>
      <c r="AK62" s="176">
        <v>1.6</v>
      </c>
      <c r="AL62" s="379"/>
    </row>
    <row r="63" spans="7:38" x14ac:dyDescent="0.3">
      <c r="Q63" s="210">
        <v>55</v>
      </c>
      <c r="R63" s="210" t="s">
        <v>403</v>
      </c>
      <c r="S63" s="267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8">
        <v>23</v>
      </c>
      <c r="AH63" s="30">
        <v>0.81</v>
      </c>
      <c r="AJ63" s="1">
        <v>23</v>
      </c>
      <c r="AK63" s="176">
        <v>1.6</v>
      </c>
      <c r="AL63" s="379"/>
    </row>
    <row r="64" spans="7:38" x14ac:dyDescent="0.3">
      <c r="Q64" s="210">
        <v>56</v>
      </c>
      <c r="R64" s="210" t="s">
        <v>404</v>
      </c>
      <c r="S64" s="267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8">
        <v>24</v>
      </c>
      <c r="AH64" s="30">
        <v>0.81</v>
      </c>
      <c r="AJ64" s="1">
        <v>24</v>
      </c>
      <c r="AK64" s="176">
        <v>1.6</v>
      </c>
      <c r="AL64" s="379"/>
    </row>
    <row r="65" spans="17:38" x14ac:dyDescent="0.3">
      <c r="Q65" s="210">
        <v>57</v>
      </c>
      <c r="R65" s="210" t="s">
        <v>405</v>
      </c>
      <c r="S65" s="267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8">
        <v>25</v>
      </c>
      <c r="AH65" s="30">
        <v>0.81</v>
      </c>
      <c r="AJ65" s="1">
        <v>25</v>
      </c>
      <c r="AK65" s="176">
        <v>1.6</v>
      </c>
      <c r="AL65" s="379"/>
    </row>
    <row r="66" spans="17:38" x14ac:dyDescent="0.3">
      <c r="Q66" s="210">
        <v>58</v>
      </c>
      <c r="R66" s="210" t="s">
        <v>406</v>
      </c>
      <c r="S66" s="267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8">
        <v>26</v>
      </c>
      <c r="AH66" s="30">
        <v>0.81</v>
      </c>
      <c r="AJ66" s="1">
        <v>26</v>
      </c>
      <c r="AK66" s="176">
        <v>1.6</v>
      </c>
      <c r="AL66" s="379"/>
    </row>
    <row r="67" spans="17:38" x14ac:dyDescent="0.3">
      <c r="Q67" s="210">
        <v>59</v>
      </c>
      <c r="R67" s="210" t="s">
        <v>407</v>
      </c>
      <c r="S67" s="267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8">
        <v>27</v>
      </c>
      <c r="AH67" s="30">
        <v>0.81</v>
      </c>
      <c r="AJ67" s="1">
        <v>27</v>
      </c>
      <c r="AK67" s="176">
        <v>1.6</v>
      </c>
      <c r="AL67" s="379"/>
    </row>
    <row r="68" spans="17:38" x14ac:dyDescent="0.3">
      <c r="Q68" s="210">
        <v>60</v>
      </c>
      <c r="R68" s="210" t="s">
        <v>387</v>
      </c>
      <c r="S68" s="267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8">
        <v>28</v>
      </c>
      <c r="AH68" s="30">
        <v>0.81</v>
      </c>
      <c r="AJ68" s="1">
        <v>28</v>
      </c>
      <c r="AK68" s="176">
        <v>1.6</v>
      </c>
      <c r="AL68" s="379"/>
    </row>
    <row r="69" spans="17:38" x14ac:dyDescent="0.3">
      <c r="Q69" s="210">
        <v>61</v>
      </c>
      <c r="R69" s="210" t="s">
        <v>388</v>
      </c>
      <c r="S69" s="267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8">
        <v>29</v>
      </c>
      <c r="AH69" s="30">
        <v>0.81</v>
      </c>
      <c r="AJ69" s="1">
        <v>29</v>
      </c>
      <c r="AK69" s="176">
        <v>1.6</v>
      </c>
      <c r="AL69" s="379"/>
    </row>
    <row r="70" spans="17:38" x14ac:dyDescent="0.3">
      <c r="Q70" s="210">
        <v>62</v>
      </c>
      <c r="R70" s="210" t="s">
        <v>389</v>
      </c>
      <c r="S70" s="267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8">
        <v>30</v>
      </c>
      <c r="AH70" s="30">
        <v>0.81</v>
      </c>
      <c r="AJ70" s="1">
        <v>30</v>
      </c>
      <c r="AK70" s="176">
        <v>1.6</v>
      </c>
      <c r="AL70" s="379"/>
    </row>
    <row r="71" spans="17:38" x14ac:dyDescent="0.3">
      <c r="Q71" s="210">
        <v>63</v>
      </c>
      <c r="R71" s="210" t="s">
        <v>408</v>
      </c>
      <c r="S71" s="267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8">
        <v>31</v>
      </c>
      <c r="AH71" s="30">
        <v>0.81</v>
      </c>
      <c r="AJ71" s="1">
        <v>31</v>
      </c>
      <c r="AK71" s="176">
        <v>1.6</v>
      </c>
      <c r="AL71" s="379"/>
    </row>
    <row r="72" spans="17:38" x14ac:dyDescent="0.3">
      <c r="Q72" s="210">
        <v>64</v>
      </c>
      <c r="R72" s="210" t="s">
        <v>409</v>
      </c>
      <c r="S72" s="267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8">
        <v>32</v>
      </c>
      <c r="AH72" s="30">
        <v>0.81</v>
      </c>
      <c r="AJ72" s="1">
        <v>32</v>
      </c>
      <c r="AK72" s="176">
        <v>1.6</v>
      </c>
      <c r="AL72" s="379"/>
    </row>
    <row r="73" spans="17:38" x14ac:dyDescent="0.3">
      <c r="Q73" s="210">
        <v>65</v>
      </c>
      <c r="R73" s="210" t="s">
        <v>393</v>
      </c>
      <c r="S73" s="267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8">
        <v>33</v>
      </c>
      <c r="AH73" s="30">
        <v>0.81</v>
      </c>
      <c r="AJ73" s="1">
        <v>33</v>
      </c>
      <c r="AK73" s="176">
        <v>1.6</v>
      </c>
      <c r="AL73" s="379"/>
    </row>
    <row r="74" spans="17:38" x14ac:dyDescent="0.3">
      <c r="Q74" s="210">
        <v>66</v>
      </c>
      <c r="R74" s="210" t="s">
        <v>395</v>
      </c>
      <c r="S74" s="267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8">
        <v>34</v>
      </c>
      <c r="AH74" s="30">
        <v>0.81</v>
      </c>
      <c r="AJ74" s="1">
        <v>34</v>
      </c>
      <c r="AK74" s="176">
        <v>1.6</v>
      </c>
      <c r="AL74" s="379"/>
    </row>
    <row r="75" spans="17:38" x14ac:dyDescent="0.3">
      <c r="Q75" s="210">
        <v>67</v>
      </c>
      <c r="R75" s="210" t="s">
        <v>397</v>
      </c>
      <c r="S75" s="267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8">
        <v>35</v>
      </c>
      <c r="AH75" s="30">
        <v>0.81</v>
      </c>
      <c r="AJ75" s="1">
        <v>35</v>
      </c>
      <c r="AK75" s="176">
        <v>1.6</v>
      </c>
      <c r="AL75" s="379"/>
    </row>
    <row r="76" spans="17:38" x14ac:dyDescent="0.3">
      <c r="Q76" s="210">
        <v>68</v>
      </c>
      <c r="R76" s="210" t="s">
        <v>399</v>
      </c>
      <c r="S76" s="267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8">
        <v>36</v>
      </c>
      <c r="AH76" s="30">
        <v>0.81</v>
      </c>
      <c r="AJ76" s="1">
        <v>36</v>
      </c>
      <c r="AK76" s="176">
        <v>1.6</v>
      </c>
      <c r="AL76" s="379"/>
    </row>
    <row r="77" spans="17:38" x14ac:dyDescent="0.3">
      <c r="Q77" s="210">
        <v>69</v>
      </c>
      <c r="R77" s="210" t="s">
        <v>401</v>
      </c>
      <c r="S77" s="267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8">
        <v>37</v>
      </c>
      <c r="AH77" s="30">
        <v>0.81</v>
      </c>
      <c r="AJ77" s="1">
        <v>37</v>
      </c>
      <c r="AK77" s="176">
        <v>1.6</v>
      </c>
      <c r="AL77" s="379"/>
    </row>
    <row r="78" spans="17:38" x14ac:dyDescent="0.3">
      <c r="Q78" s="210">
        <v>70</v>
      </c>
      <c r="R78" s="210" t="s">
        <v>403</v>
      </c>
      <c r="S78" s="267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8">
        <v>38</v>
      </c>
      <c r="AH78" s="30">
        <v>0.81</v>
      </c>
      <c r="AJ78" s="1">
        <v>38</v>
      </c>
      <c r="AK78" s="176">
        <v>1.6</v>
      </c>
      <c r="AL78" s="379"/>
    </row>
    <row r="79" spans="17:38" x14ac:dyDescent="0.3">
      <c r="Q79" s="210">
        <v>71</v>
      </c>
      <c r="R79" s="210" t="s">
        <v>405</v>
      </c>
      <c r="S79" s="267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8">
        <v>39</v>
      </c>
      <c r="AH79" s="30">
        <v>0.81</v>
      </c>
      <c r="AJ79" s="1">
        <v>39</v>
      </c>
      <c r="AK79" s="176">
        <v>1.6</v>
      </c>
      <c r="AL79" s="379"/>
    </row>
    <row r="80" spans="17:38" x14ac:dyDescent="0.3">
      <c r="Q80" s="210">
        <v>72</v>
      </c>
      <c r="R80" s="210" t="s">
        <v>407</v>
      </c>
      <c r="S80" s="267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8">
        <v>40</v>
      </c>
      <c r="AH80" s="30">
        <v>0.81</v>
      </c>
      <c r="AJ80" s="1">
        <v>40</v>
      </c>
      <c r="AK80" s="176">
        <v>1.6</v>
      </c>
      <c r="AL80" s="379"/>
    </row>
    <row r="81" spans="17:38" x14ac:dyDescent="0.3">
      <c r="Q81" s="210">
        <v>73</v>
      </c>
      <c r="R81" s="210" t="s">
        <v>388</v>
      </c>
      <c r="S81" s="267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8">
        <v>41</v>
      </c>
      <c r="AH81" s="30">
        <v>0.81</v>
      </c>
      <c r="AJ81" s="1">
        <v>41</v>
      </c>
      <c r="AK81" s="176">
        <v>1.6</v>
      </c>
      <c r="AL81" s="379"/>
    </row>
    <row r="82" spans="17:38" x14ac:dyDescent="0.3">
      <c r="Q82" s="210">
        <v>74</v>
      </c>
      <c r="R82" s="210" t="s">
        <v>408</v>
      </c>
      <c r="S82" s="267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8">
        <v>42</v>
      </c>
      <c r="AH82" s="30">
        <v>0.81</v>
      </c>
      <c r="AJ82" s="1">
        <v>42</v>
      </c>
      <c r="AK82" s="176">
        <v>1.6</v>
      </c>
      <c r="AL82" s="379"/>
    </row>
    <row r="83" spans="17:38" x14ac:dyDescent="0.3">
      <c r="Q83" s="210">
        <v>75</v>
      </c>
      <c r="R83" s="210" t="s">
        <v>410</v>
      </c>
      <c r="S83" s="267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8">
        <v>43</v>
      </c>
      <c r="AH83" s="30">
        <v>0.81</v>
      </c>
      <c r="AJ83" s="1">
        <v>43</v>
      </c>
      <c r="AK83" s="176">
        <v>1.6</v>
      </c>
      <c r="AL83" s="379"/>
    </row>
    <row r="84" spans="17:38" x14ac:dyDescent="0.3">
      <c r="Q84" s="210">
        <v>76</v>
      </c>
      <c r="R84" s="210" t="s">
        <v>393</v>
      </c>
      <c r="S84" s="267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8">
        <v>44</v>
      </c>
      <c r="AH84" s="30">
        <v>0.81</v>
      </c>
      <c r="AJ84" s="1">
        <v>44</v>
      </c>
      <c r="AK84" s="176">
        <v>1.6</v>
      </c>
      <c r="AL84" s="379"/>
    </row>
    <row r="85" spans="17:38" x14ac:dyDescent="0.3">
      <c r="Q85" s="210">
        <v>77</v>
      </c>
      <c r="R85" s="210" t="s">
        <v>395</v>
      </c>
      <c r="S85" s="267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8">
        <v>45</v>
      </c>
      <c r="AH85" s="30">
        <v>0.81</v>
      </c>
      <c r="AJ85" s="1">
        <v>45</v>
      </c>
      <c r="AK85" s="176">
        <v>1.6</v>
      </c>
      <c r="AL85" s="379"/>
    </row>
    <row r="86" spans="17:38" x14ac:dyDescent="0.3">
      <c r="Q86" s="210">
        <v>78</v>
      </c>
      <c r="R86" s="210" t="s">
        <v>397</v>
      </c>
      <c r="S86" s="267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8">
        <v>46</v>
      </c>
      <c r="AH86" s="30">
        <v>0.81</v>
      </c>
      <c r="AJ86" s="1">
        <v>46</v>
      </c>
      <c r="AK86" s="176">
        <v>1.6</v>
      </c>
      <c r="AL86" s="379"/>
    </row>
    <row r="87" spans="17:38" x14ac:dyDescent="0.3">
      <c r="Q87" s="210">
        <v>79</v>
      </c>
      <c r="R87" s="210" t="s">
        <v>399</v>
      </c>
      <c r="S87" s="267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8">
        <v>47</v>
      </c>
      <c r="AH87" s="30">
        <v>0.81</v>
      </c>
      <c r="AJ87" s="1">
        <v>47</v>
      </c>
      <c r="AK87" s="176">
        <v>1.6</v>
      </c>
      <c r="AL87" s="379"/>
    </row>
    <row r="88" spans="17:38" x14ac:dyDescent="0.3">
      <c r="Q88" s="210">
        <v>80</v>
      </c>
      <c r="R88" s="210" t="s">
        <v>401</v>
      </c>
      <c r="S88" s="267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8">
        <v>48</v>
      </c>
      <c r="AH88" s="30">
        <v>0.81</v>
      </c>
      <c r="AJ88" s="1">
        <v>48</v>
      </c>
      <c r="AK88" s="176">
        <v>1.6</v>
      </c>
      <c r="AL88" s="379"/>
    </row>
    <row r="89" spans="17:38" x14ac:dyDescent="0.3">
      <c r="Q89" s="210">
        <v>81</v>
      </c>
      <c r="R89" s="210" t="s">
        <v>403</v>
      </c>
      <c r="S89" s="267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8">
        <v>49</v>
      </c>
      <c r="AH89" s="30">
        <v>0.81</v>
      </c>
      <c r="AJ89" s="1">
        <v>49</v>
      </c>
      <c r="AK89" s="176">
        <v>1.6</v>
      </c>
      <c r="AL89" s="379"/>
    </row>
    <row r="90" spans="17:38" x14ac:dyDescent="0.3">
      <c r="Q90" s="210">
        <v>82</v>
      </c>
      <c r="R90" s="210" t="s">
        <v>405</v>
      </c>
      <c r="S90" s="267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8">
        <v>50</v>
      </c>
      <c r="AH90" s="30">
        <v>0.81</v>
      </c>
      <c r="AJ90" s="1">
        <v>50</v>
      </c>
      <c r="AK90" s="176">
        <v>1.6</v>
      </c>
      <c r="AL90" s="379"/>
    </row>
    <row r="91" spans="17:38" x14ac:dyDescent="0.3">
      <c r="Q91" s="210">
        <v>83</v>
      </c>
      <c r="R91" s="210" t="s">
        <v>407</v>
      </c>
      <c r="S91" s="267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8">
        <v>51</v>
      </c>
      <c r="AH91" s="30">
        <v>0.81</v>
      </c>
      <c r="AJ91" s="1">
        <v>51</v>
      </c>
      <c r="AK91" s="176">
        <v>1.6</v>
      </c>
      <c r="AL91" s="379"/>
    </row>
    <row r="92" spans="17:38" x14ac:dyDescent="0.3">
      <c r="Q92" s="210">
        <v>84</v>
      </c>
      <c r="R92" s="210" t="s">
        <v>388</v>
      </c>
      <c r="S92" s="267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8">
        <v>52</v>
      </c>
      <c r="AH92" s="30">
        <v>0.81</v>
      </c>
      <c r="AJ92" s="1">
        <v>52</v>
      </c>
      <c r="AK92" s="176">
        <v>1.6</v>
      </c>
      <c r="AL92" s="379"/>
    </row>
    <row r="93" spans="17:38" x14ac:dyDescent="0.3">
      <c r="Q93" s="210">
        <v>85</v>
      </c>
      <c r="R93" s="210" t="s">
        <v>395</v>
      </c>
      <c r="S93" s="26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8">
        <v>53</v>
      </c>
      <c r="AH93" s="30">
        <v>0.81</v>
      </c>
      <c r="AJ93" s="1">
        <v>53</v>
      </c>
      <c r="AK93" s="176">
        <v>1.6</v>
      </c>
      <c r="AL93" s="379"/>
    </row>
    <row r="94" spans="17:38" x14ac:dyDescent="0.3">
      <c r="Q94" s="210">
        <v>86</v>
      </c>
      <c r="R94" s="210" t="s">
        <v>397</v>
      </c>
      <c r="S94" s="26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8">
        <v>54</v>
      </c>
      <c r="AH94" s="30">
        <v>0.81</v>
      </c>
      <c r="AJ94" s="1">
        <v>54</v>
      </c>
      <c r="AK94" s="176">
        <v>1.6</v>
      </c>
      <c r="AL94" s="379"/>
    </row>
    <row r="95" spans="17:38" x14ac:dyDescent="0.3">
      <c r="Q95" s="210">
        <v>87</v>
      </c>
      <c r="R95" s="210" t="s">
        <v>399</v>
      </c>
      <c r="S95" s="26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8">
        <v>55</v>
      </c>
      <c r="AH95" s="30">
        <v>0.81</v>
      </c>
      <c r="AJ95" s="1">
        <v>55</v>
      </c>
      <c r="AK95" s="176">
        <v>1.6</v>
      </c>
      <c r="AL95" s="379"/>
    </row>
    <row r="96" spans="17:38" x14ac:dyDescent="0.3">
      <c r="Q96" s="210">
        <v>88</v>
      </c>
      <c r="R96" s="210" t="s">
        <v>401</v>
      </c>
      <c r="S96" s="26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8">
        <v>56</v>
      </c>
      <c r="AH96" s="30">
        <v>0.81</v>
      </c>
      <c r="AJ96" s="1">
        <v>56</v>
      </c>
      <c r="AK96" s="176">
        <v>1.6</v>
      </c>
      <c r="AL96" s="379"/>
    </row>
    <row r="97" spans="2:38" x14ac:dyDescent="0.3">
      <c r="Q97" s="210">
        <v>89</v>
      </c>
      <c r="R97" s="210" t="s">
        <v>403</v>
      </c>
      <c r="S97" s="267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8">
        <v>57</v>
      </c>
      <c r="AH97" s="30">
        <v>0.81</v>
      </c>
      <c r="AJ97" s="1">
        <v>57</v>
      </c>
      <c r="AK97" s="176">
        <v>1.6</v>
      </c>
      <c r="AL97" s="379"/>
    </row>
    <row r="98" spans="2:38" x14ac:dyDescent="0.3">
      <c r="Q98" s="210">
        <v>90</v>
      </c>
      <c r="R98" s="210" t="s">
        <v>405</v>
      </c>
      <c r="S98" s="267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8">
        <v>58</v>
      </c>
      <c r="AH98" s="30">
        <v>0.81</v>
      </c>
      <c r="AJ98" s="1">
        <v>58</v>
      </c>
      <c r="AK98" s="176">
        <v>1.6</v>
      </c>
      <c r="AL98" s="379"/>
    </row>
    <row r="99" spans="2:38" x14ac:dyDescent="0.3">
      <c r="Q99" s="210">
        <v>91</v>
      </c>
      <c r="R99" s="210" t="s">
        <v>407</v>
      </c>
      <c r="S99" s="267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8">
        <v>59</v>
      </c>
      <c r="AH99" s="30">
        <v>0.81</v>
      </c>
      <c r="AJ99" s="1">
        <v>59</v>
      </c>
      <c r="AK99" s="176">
        <v>1.6</v>
      </c>
      <c r="AL99" s="379"/>
    </row>
    <row r="100" spans="2:38" x14ac:dyDescent="0.3">
      <c r="Q100" s="210">
        <v>92</v>
      </c>
      <c r="R100" s="210" t="s">
        <v>388</v>
      </c>
      <c r="S100" s="267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8">
        <v>60</v>
      </c>
      <c r="AH100" s="30">
        <v>0.81</v>
      </c>
      <c r="AJ100" s="1">
        <v>60</v>
      </c>
      <c r="AK100" s="176">
        <v>1.6</v>
      </c>
      <c r="AL100" s="379"/>
    </row>
    <row r="101" spans="2:38" x14ac:dyDescent="0.3">
      <c r="Q101" s="210">
        <v>93</v>
      </c>
      <c r="R101" s="210" t="s">
        <v>408</v>
      </c>
      <c r="S101" s="267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8">
        <v>61</v>
      </c>
      <c r="AH101" s="30">
        <v>0.81</v>
      </c>
      <c r="AJ101" s="1">
        <v>61</v>
      </c>
      <c r="AK101" s="176">
        <v>1.6</v>
      </c>
      <c r="AL101" s="379"/>
    </row>
    <row r="102" spans="2:38" x14ac:dyDescent="0.3">
      <c r="Q102" s="210">
        <v>94</v>
      </c>
      <c r="R102" s="210" t="s">
        <v>393</v>
      </c>
      <c r="S102" s="267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8">
        <v>62</v>
      </c>
      <c r="AH102" s="30">
        <v>0.81</v>
      </c>
      <c r="AJ102" s="1">
        <v>62</v>
      </c>
      <c r="AK102" s="176">
        <v>1.6</v>
      </c>
      <c r="AL102" s="379"/>
    </row>
    <row r="103" spans="2:38" x14ac:dyDescent="0.3">
      <c r="Q103" s="210">
        <v>95</v>
      </c>
      <c r="R103" s="210" t="s">
        <v>395</v>
      </c>
      <c r="S103" s="267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8">
        <v>63</v>
      </c>
      <c r="AH103" s="30">
        <v>0.81</v>
      </c>
      <c r="AJ103" s="1">
        <v>63</v>
      </c>
      <c r="AK103" s="176">
        <v>1.6</v>
      </c>
      <c r="AL103" s="379"/>
    </row>
    <row r="104" spans="2:38" x14ac:dyDescent="0.3">
      <c r="Q104" s="210">
        <v>96</v>
      </c>
      <c r="R104" s="210" t="s">
        <v>397</v>
      </c>
      <c r="S104" s="267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8">
        <v>64</v>
      </c>
      <c r="AH104" s="30">
        <v>0.81</v>
      </c>
      <c r="AJ104" s="1">
        <v>64</v>
      </c>
      <c r="AK104" s="176">
        <v>1.6</v>
      </c>
      <c r="AL104" s="379"/>
    </row>
    <row r="105" spans="2:38" x14ac:dyDescent="0.3">
      <c r="Q105" s="210">
        <v>97</v>
      </c>
      <c r="R105" s="210" t="s">
        <v>399</v>
      </c>
      <c r="S105" s="267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8">
        <v>65</v>
      </c>
      <c r="AH105" s="30">
        <v>0.81</v>
      </c>
      <c r="AJ105" s="1">
        <v>65</v>
      </c>
      <c r="AK105" s="176">
        <v>1.6</v>
      </c>
      <c r="AL105" s="379"/>
    </row>
    <row r="106" spans="2:38" x14ac:dyDescent="0.3">
      <c r="Q106" s="210">
        <v>98</v>
      </c>
      <c r="R106" s="210" t="s">
        <v>401</v>
      </c>
      <c r="S106" s="267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8">
        <v>66</v>
      </c>
      <c r="AH106" s="30">
        <v>0.81</v>
      </c>
      <c r="AJ106" s="1">
        <v>66</v>
      </c>
      <c r="AK106" s="176">
        <v>1.6</v>
      </c>
      <c r="AL106" s="379"/>
    </row>
    <row r="107" spans="2:38" x14ac:dyDescent="0.3">
      <c r="Q107" s="210">
        <v>99</v>
      </c>
      <c r="R107" s="210" t="s">
        <v>403</v>
      </c>
      <c r="S107" s="267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8">
        <v>67</v>
      </c>
      <c r="AH107" s="30">
        <v>0.81</v>
      </c>
      <c r="AJ107" s="1">
        <v>67</v>
      </c>
      <c r="AK107" s="176">
        <v>1.6</v>
      </c>
      <c r="AL107" s="379"/>
    </row>
    <row r="108" spans="2:38" x14ac:dyDescent="0.3">
      <c r="Q108" s="210">
        <v>100</v>
      </c>
      <c r="R108" s="210" t="s">
        <v>405</v>
      </c>
      <c r="S108" s="267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8">
        <v>68</v>
      </c>
      <c r="AH108" s="30">
        <v>0.81</v>
      </c>
      <c r="AJ108" s="1">
        <v>68</v>
      </c>
      <c r="AK108" s="176">
        <v>1.6</v>
      </c>
      <c r="AL108" s="379"/>
    </row>
    <row r="109" spans="2:38" x14ac:dyDescent="0.3">
      <c r="Q109" s="210">
        <v>101</v>
      </c>
      <c r="R109" s="210" t="s">
        <v>407</v>
      </c>
      <c r="S109" s="267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8">
        <v>69</v>
      </c>
      <c r="AH109" s="30">
        <v>0.81</v>
      </c>
      <c r="AJ109" s="1">
        <v>69</v>
      </c>
      <c r="AK109" s="176">
        <v>1.6</v>
      </c>
      <c r="AL109" s="379"/>
    </row>
    <row r="110" spans="2:38" x14ac:dyDescent="0.3">
      <c r="Q110" s="210">
        <v>102</v>
      </c>
      <c r="R110" s="210" t="s">
        <v>388</v>
      </c>
      <c r="S110" s="267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8">
        <v>70</v>
      </c>
      <c r="AH110" s="30">
        <v>0.81</v>
      </c>
      <c r="AJ110" s="1">
        <v>70</v>
      </c>
      <c r="AK110" s="176">
        <v>1.6</v>
      </c>
      <c r="AL110" s="379"/>
    </row>
    <row r="111" spans="2:38" x14ac:dyDescent="0.3">
      <c r="Q111" s="210">
        <v>103</v>
      </c>
      <c r="R111" s="210" t="s">
        <v>401</v>
      </c>
      <c r="S111" s="267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8">
        <v>71</v>
      </c>
      <c r="AH111" s="30">
        <v>0.81</v>
      </c>
      <c r="AJ111" s="1">
        <v>71</v>
      </c>
      <c r="AK111" s="176">
        <v>1.6</v>
      </c>
      <c r="AL111" s="379"/>
    </row>
    <row r="112" spans="2:38" x14ac:dyDescent="0.3">
      <c r="B112" s="1058" t="s">
        <v>429</v>
      </c>
      <c r="C112" s="1058"/>
      <c r="D112" s="1058"/>
      <c r="E112" s="1058"/>
      <c r="F112" s="1058"/>
      <c r="G112" s="1058"/>
      <c r="H112" s="1058"/>
      <c r="I112" s="1058"/>
      <c r="J112" s="1058"/>
      <c r="Q112" s="210">
        <v>104</v>
      </c>
      <c r="R112" s="210" t="s">
        <v>403</v>
      </c>
      <c r="S112" s="267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8">
        <v>72</v>
      </c>
      <c r="AH112" s="30">
        <v>0.81</v>
      </c>
      <c r="AJ112" s="1">
        <v>72</v>
      </c>
      <c r="AK112" s="176">
        <v>1.6</v>
      </c>
      <c r="AL112" s="379"/>
    </row>
    <row r="113" spans="2:38" x14ac:dyDescent="0.3">
      <c r="B113" s="1058"/>
      <c r="C113" s="1058"/>
      <c r="D113" s="1058"/>
      <c r="E113" s="1058"/>
      <c r="F113" s="1058"/>
      <c r="G113" s="1058"/>
      <c r="H113" s="1058"/>
      <c r="I113" s="1058"/>
      <c r="J113" s="1058"/>
      <c r="Q113" s="210">
        <v>105</v>
      </c>
      <c r="R113" s="210" t="s">
        <v>405</v>
      </c>
      <c r="S113" s="267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8">
        <v>73</v>
      </c>
      <c r="AH113" s="30">
        <v>0.81</v>
      </c>
      <c r="AJ113" s="1">
        <v>73</v>
      </c>
      <c r="AK113" s="176">
        <v>1.6</v>
      </c>
      <c r="AL113" s="379"/>
    </row>
    <row r="114" spans="2:38" x14ac:dyDescent="0.3">
      <c r="Q114" s="210">
        <v>106</v>
      </c>
      <c r="R114" s="210" t="s">
        <v>407</v>
      </c>
      <c r="S114" s="267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8">
        <v>74</v>
      </c>
      <c r="AH114" s="30">
        <v>0.81</v>
      </c>
      <c r="AJ114" s="1">
        <v>74</v>
      </c>
      <c r="AK114" s="176">
        <v>1.6</v>
      </c>
      <c r="AL114" s="379"/>
    </row>
    <row r="115" spans="2:38" x14ac:dyDescent="0.3">
      <c r="Q115" s="210">
        <v>107</v>
      </c>
      <c r="R115" s="210" t="s">
        <v>388</v>
      </c>
      <c r="S115" s="267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8">
        <v>75</v>
      </c>
      <c r="AH115" s="30">
        <v>0.81</v>
      </c>
      <c r="AJ115" s="1">
        <v>75</v>
      </c>
      <c r="AK115" s="176">
        <v>1.6</v>
      </c>
      <c r="AL115" s="379"/>
    </row>
    <row r="116" spans="2:38" x14ac:dyDescent="0.3">
      <c r="Q116" s="210">
        <v>108</v>
      </c>
      <c r="R116" s="210" t="s">
        <v>408</v>
      </c>
      <c r="S116" s="267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8">
        <v>76</v>
      </c>
      <c r="AH116" s="30">
        <v>0.81</v>
      </c>
      <c r="AJ116" s="1">
        <v>76</v>
      </c>
      <c r="AK116" s="176">
        <v>1.6</v>
      </c>
      <c r="AL116" s="379"/>
    </row>
    <row r="117" spans="2:38" x14ac:dyDescent="0.3">
      <c r="Q117" s="210">
        <v>109</v>
      </c>
      <c r="R117" s="210" t="s">
        <v>410</v>
      </c>
      <c r="S117" s="267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8">
        <v>77</v>
      </c>
      <c r="AH117" s="30">
        <v>0.81</v>
      </c>
      <c r="AJ117" s="1">
        <v>77</v>
      </c>
      <c r="AK117" s="176">
        <v>1.6</v>
      </c>
      <c r="AL117" s="379"/>
    </row>
    <row r="118" spans="2:38" x14ac:dyDescent="0.3">
      <c r="Q118" s="210">
        <v>110</v>
      </c>
      <c r="R118" s="210" t="s">
        <v>393</v>
      </c>
      <c r="S118" s="267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8">
        <v>78</v>
      </c>
      <c r="AH118" s="30">
        <v>0.81</v>
      </c>
      <c r="AJ118" s="1">
        <v>78</v>
      </c>
      <c r="AK118" s="176">
        <v>1.6</v>
      </c>
      <c r="AL118" s="379"/>
    </row>
    <row r="119" spans="2:38" x14ac:dyDescent="0.3">
      <c r="Q119" s="210">
        <v>111</v>
      </c>
      <c r="R119" s="210" t="s">
        <v>395</v>
      </c>
      <c r="S119" s="267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8">
        <v>79</v>
      </c>
      <c r="AH119" s="30">
        <v>0.81</v>
      </c>
      <c r="AJ119" s="1">
        <v>79</v>
      </c>
      <c r="AK119" s="176">
        <v>1.6</v>
      </c>
      <c r="AL119" s="379"/>
    </row>
    <row r="120" spans="2:38" x14ac:dyDescent="0.3">
      <c r="Q120" s="210">
        <v>112</v>
      </c>
      <c r="R120" s="210" t="s">
        <v>397</v>
      </c>
      <c r="S120" s="267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8">
        <v>80</v>
      </c>
      <c r="AH120" s="30">
        <v>0.81</v>
      </c>
      <c r="AJ120" s="1">
        <v>80</v>
      </c>
      <c r="AK120" s="176">
        <v>1.6</v>
      </c>
      <c r="AL120" s="379"/>
    </row>
    <row r="121" spans="2:38" x14ac:dyDescent="0.3">
      <c r="Q121" s="210">
        <v>113</v>
      </c>
      <c r="R121" s="210" t="s">
        <v>401</v>
      </c>
      <c r="S121" s="267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8">
        <v>81</v>
      </c>
      <c r="AH121" s="30">
        <v>0.81</v>
      </c>
      <c r="AJ121" s="1">
        <v>81</v>
      </c>
      <c r="AK121" s="176">
        <v>1.6</v>
      </c>
      <c r="AL121" s="379"/>
    </row>
    <row r="122" spans="2:38" x14ac:dyDescent="0.3">
      <c r="Q122" s="210">
        <v>114</v>
      </c>
      <c r="R122" s="210" t="s">
        <v>403</v>
      </c>
      <c r="S122" s="267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8">
        <v>82</v>
      </c>
      <c r="AH122" s="30">
        <v>0.81</v>
      </c>
      <c r="AJ122" s="1">
        <v>82</v>
      </c>
      <c r="AK122" s="176">
        <v>1.6</v>
      </c>
      <c r="AL122" s="379"/>
    </row>
    <row r="123" spans="2:38" x14ac:dyDescent="0.3">
      <c r="Q123" s="210">
        <v>115</v>
      </c>
      <c r="R123" s="210" t="s">
        <v>405</v>
      </c>
      <c r="S123" s="267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8">
        <v>83</v>
      </c>
      <c r="AH123" s="30">
        <v>0.81</v>
      </c>
      <c r="AJ123" s="1">
        <v>83</v>
      </c>
      <c r="AK123" s="176">
        <v>1.6</v>
      </c>
      <c r="AL123" s="379"/>
    </row>
    <row r="124" spans="2:38" x14ac:dyDescent="0.3">
      <c r="Q124" s="210">
        <v>116</v>
      </c>
      <c r="R124" s="210" t="s">
        <v>407</v>
      </c>
      <c r="S124" s="267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8">
        <v>84</v>
      </c>
      <c r="AH124" s="30">
        <v>0.81</v>
      </c>
      <c r="AJ124" s="1">
        <v>84</v>
      </c>
      <c r="AK124" s="176">
        <v>1.6</v>
      </c>
      <c r="AL124" s="379"/>
    </row>
    <row r="125" spans="2:38" ht="15" thickBot="1" x14ac:dyDescent="0.35">
      <c r="Q125" s="210">
        <v>117</v>
      </c>
      <c r="R125" s="210" t="s">
        <v>388</v>
      </c>
      <c r="S125" s="267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0">
        <v>85</v>
      </c>
      <c r="AH125" s="30">
        <v>0.81</v>
      </c>
      <c r="AI125" s="381"/>
      <c r="AJ125" s="1">
        <v>85</v>
      </c>
      <c r="AK125" s="176">
        <v>1.6</v>
      </c>
      <c r="AL125" s="382"/>
    </row>
    <row r="126" spans="2:38" x14ac:dyDescent="0.3">
      <c r="Q126" s="210">
        <v>118</v>
      </c>
      <c r="R126" s="210" t="s">
        <v>408</v>
      </c>
      <c r="S126" s="267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8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7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8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7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0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7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8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7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8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7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0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7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8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7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8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7">
        <v>46263</v>
      </c>
      <c r="T134" s="6">
        <v>0.21</v>
      </c>
      <c r="U134" s="6"/>
      <c r="V134" s="6"/>
      <c r="AG134" s="378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7">
        <v>46263</v>
      </c>
      <c r="T135" s="6">
        <v>0.42</v>
      </c>
      <c r="U135" s="6"/>
      <c r="V135" s="6"/>
      <c r="AG135" s="380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7">
        <v>46263</v>
      </c>
      <c r="T136" s="6">
        <v>1.044</v>
      </c>
      <c r="U136" s="6"/>
      <c r="V136" s="6"/>
      <c r="AG136" s="378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7">
        <v>46263</v>
      </c>
      <c r="T137" s="6">
        <v>0.38800000000000001</v>
      </c>
      <c r="U137" s="6"/>
      <c r="V137" s="6"/>
      <c r="AG137" s="378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7">
        <v>46264</v>
      </c>
      <c r="T138" s="6">
        <v>0.91700000000000004</v>
      </c>
      <c r="U138" s="6"/>
      <c r="V138" s="6"/>
      <c r="AG138" s="378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7">
        <v>46264</v>
      </c>
      <c r="T139" s="6">
        <v>0.98599999999999999</v>
      </c>
      <c r="U139" s="6"/>
      <c r="V139" s="6"/>
      <c r="AG139" s="380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7">
        <v>46264</v>
      </c>
      <c r="T140" s="6">
        <v>1.2170000000000001</v>
      </c>
      <c r="U140" s="6"/>
      <c r="V140" s="6"/>
      <c r="AG140" s="378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7">
        <v>46264</v>
      </c>
      <c r="T141" s="6">
        <v>0.83599999999999997</v>
      </c>
      <c r="U141" s="6"/>
      <c r="V141" s="6"/>
      <c r="AG141" s="378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7">
        <v>46274</v>
      </c>
      <c r="T142" s="6">
        <v>0.217</v>
      </c>
      <c r="U142" s="6"/>
      <c r="V142" s="6"/>
      <c r="AG142" s="378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7">
        <v>46274</v>
      </c>
      <c r="T143" s="6">
        <v>7.5999999999999998E-2</v>
      </c>
      <c r="U143" s="6"/>
      <c r="V143" s="6"/>
      <c r="AG143" s="380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7">
        <v>46274</v>
      </c>
      <c r="T144" s="6">
        <v>0.35099999999999998</v>
      </c>
      <c r="U144" s="6"/>
      <c r="V144" s="6"/>
      <c r="AG144" s="378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7">
        <v>46274</v>
      </c>
      <c r="T145" s="6">
        <v>0.184</v>
      </c>
      <c r="U145" s="6"/>
      <c r="V145" s="6"/>
      <c r="AG145" s="378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7">
        <v>46274</v>
      </c>
      <c r="T146" s="6">
        <v>0.373</v>
      </c>
      <c r="U146" s="6"/>
      <c r="V146" s="6"/>
      <c r="AG146" s="378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7">
        <v>46274</v>
      </c>
      <c r="T147" s="6">
        <v>0.50600000000000001</v>
      </c>
      <c r="U147" s="6"/>
      <c r="V147" s="6"/>
      <c r="AG147" s="380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7">
        <v>46277</v>
      </c>
      <c r="T148" s="6">
        <v>0.39500000000000002</v>
      </c>
      <c r="U148" s="6"/>
      <c r="V148" s="6"/>
      <c r="AG148" s="378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7">
        <v>46277</v>
      </c>
      <c r="T149" s="6">
        <v>0.29399999999999998</v>
      </c>
      <c r="U149" s="6"/>
      <c r="V149" s="6"/>
      <c r="AG149" s="378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7">
        <v>46277</v>
      </c>
      <c r="T150" s="6">
        <v>0.78800000000000003</v>
      </c>
      <c r="U150" s="6"/>
      <c r="V150" s="6"/>
      <c r="AG150" s="378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7">
        <v>46277</v>
      </c>
      <c r="T151" s="6">
        <v>0.371</v>
      </c>
      <c r="U151" s="6"/>
      <c r="V151" s="6"/>
      <c r="AG151" s="380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7">
        <v>46277</v>
      </c>
      <c r="T152" s="6">
        <v>0.39400000000000002</v>
      </c>
      <c r="U152" s="6"/>
      <c r="V152" s="6"/>
      <c r="AG152" s="378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7">
        <v>46277</v>
      </c>
      <c r="T153" s="6">
        <v>0.504</v>
      </c>
      <c r="U153" s="6"/>
      <c r="V153" s="6"/>
      <c r="AG153" s="378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7">
        <v>46277</v>
      </c>
      <c r="T154" s="6">
        <v>0.39300000000000002</v>
      </c>
      <c r="U154" s="6"/>
      <c r="V154" s="6"/>
      <c r="AG154" s="378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7">
        <v>46277</v>
      </c>
      <c r="T155" s="6">
        <v>0.46200000000000002</v>
      </c>
      <c r="U155" s="6"/>
      <c r="V155" s="6"/>
      <c r="AG155" s="380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7">
        <v>46277</v>
      </c>
      <c r="T156" s="6">
        <v>0.70299999999999996</v>
      </c>
      <c r="U156" s="6"/>
      <c r="V156" s="6"/>
      <c r="AG156" s="378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7">
        <v>46277</v>
      </c>
      <c r="T157" s="6">
        <v>0.753</v>
      </c>
      <c r="U157" s="6"/>
      <c r="V157" s="6"/>
      <c r="AG157" s="378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7">
        <v>46277</v>
      </c>
      <c r="T158" s="6">
        <v>0.92600000000000005</v>
      </c>
      <c r="U158" s="6"/>
      <c r="V158" s="6"/>
      <c r="AG158" s="378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7">
        <v>46277</v>
      </c>
      <c r="T159" s="6">
        <v>0.33</v>
      </c>
      <c r="U159" s="6"/>
      <c r="V159" s="6"/>
      <c r="AG159" s="380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7">
        <v>46278</v>
      </c>
      <c r="T160" s="979">
        <v>1.4</v>
      </c>
      <c r="U160" s="6"/>
      <c r="V160" s="6"/>
      <c r="AG160" s="378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7">
        <v>46278</v>
      </c>
      <c r="T161" s="6">
        <v>1.139</v>
      </c>
      <c r="U161" s="6"/>
      <c r="V161" s="6"/>
      <c r="AG161" s="378">
        <v>121</v>
      </c>
      <c r="AH161" s="30">
        <v>0.81</v>
      </c>
    </row>
    <row r="162" spans="17:34" x14ac:dyDescent="0.3">
      <c r="Q162" s="210">
        <v>154</v>
      </c>
      <c r="R162" s="210"/>
      <c r="S162" s="267"/>
      <c r="T162" s="6"/>
      <c r="U162" s="6"/>
      <c r="V162" s="6"/>
      <c r="AG162" s="378">
        <v>122</v>
      </c>
      <c r="AH162" s="30">
        <v>0.81</v>
      </c>
    </row>
    <row r="163" spans="17:34" ht="15" thickBot="1" x14ac:dyDescent="0.35">
      <c r="Q163" s="210">
        <v>155</v>
      </c>
      <c r="R163" s="210"/>
      <c r="S163" s="267"/>
      <c r="T163" s="6"/>
      <c r="U163" s="6"/>
      <c r="V163" s="6"/>
      <c r="AG163" s="380">
        <v>123</v>
      </c>
      <c r="AH163" s="30">
        <v>0.81</v>
      </c>
    </row>
    <row r="164" spans="17:34" x14ac:dyDescent="0.3">
      <c r="Q164" s="210">
        <v>156</v>
      </c>
      <c r="R164" s="210"/>
      <c r="S164" s="267"/>
      <c r="T164" s="6"/>
      <c r="U164" s="6"/>
      <c r="V164" s="6"/>
      <c r="AG164" s="378">
        <v>124</v>
      </c>
      <c r="AH164" s="30">
        <v>0.81</v>
      </c>
    </row>
    <row r="165" spans="17:34" x14ac:dyDescent="0.3">
      <c r="Q165" s="210">
        <v>157</v>
      </c>
      <c r="R165" s="210"/>
      <c r="S165" s="267"/>
      <c r="T165" s="6"/>
      <c r="U165" s="6"/>
      <c r="V165" s="6"/>
      <c r="AG165" s="378">
        <v>125</v>
      </c>
      <c r="AH165" s="30">
        <v>0.81</v>
      </c>
    </row>
    <row r="166" spans="17:34" x14ac:dyDescent="0.3">
      <c r="Q166" s="210">
        <v>158</v>
      </c>
      <c r="R166" s="210"/>
      <c r="S166" s="267"/>
      <c r="T166" s="6"/>
      <c r="U166" s="6"/>
      <c r="V166" s="6"/>
      <c r="AG166" s="378">
        <v>126</v>
      </c>
      <c r="AH166" s="30">
        <v>0.81</v>
      </c>
    </row>
    <row r="167" spans="17:34" ht="15" thickBot="1" x14ac:dyDescent="0.35">
      <c r="Q167" s="210">
        <v>159</v>
      </c>
      <c r="R167" s="210"/>
      <c r="S167" s="267"/>
      <c r="T167" s="6"/>
      <c r="U167" s="6"/>
      <c r="V167" s="6"/>
      <c r="AG167" s="380">
        <v>127</v>
      </c>
      <c r="AH167" s="30">
        <v>0.81</v>
      </c>
    </row>
    <row r="168" spans="17:34" x14ac:dyDescent="0.3">
      <c r="Q168" s="210">
        <v>160</v>
      </c>
      <c r="R168" s="6"/>
      <c r="S168" s="267"/>
      <c r="T168" s="979"/>
      <c r="U168" s="6"/>
      <c r="V168" s="6"/>
      <c r="AG168" s="378">
        <v>128</v>
      </c>
      <c r="AH168" s="30">
        <v>0.81</v>
      </c>
    </row>
    <row r="169" spans="17:34" x14ac:dyDescent="0.3">
      <c r="Q169" s="210">
        <v>161</v>
      </c>
      <c r="R169" s="6"/>
      <c r="S169" s="267"/>
      <c r="T169" s="6"/>
      <c r="U169" s="6"/>
      <c r="V169" s="6"/>
      <c r="AG169" s="378">
        <v>129</v>
      </c>
      <c r="AH169" s="30">
        <v>0.81</v>
      </c>
    </row>
    <row r="170" spans="17:34" x14ac:dyDescent="0.3">
      <c r="Q170" s="210">
        <v>162</v>
      </c>
      <c r="R170" s="6"/>
      <c r="S170" s="267"/>
      <c r="T170" s="6"/>
      <c r="U170" s="6"/>
      <c r="V170" s="6"/>
      <c r="AG170" s="378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7"/>
      <c r="T171" s="6"/>
      <c r="U171" s="6"/>
      <c r="V171" s="6"/>
      <c r="AG171" s="380">
        <v>131</v>
      </c>
      <c r="AH171" s="30">
        <v>0.81</v>
      </c>
    </row>
    <row r="172" spans="17:34" x14ac:dyDescent="0.3">
      <c r="Q172" s="210">
        <v>164</v>
      </c>
      <c r="R172" s="6"/>
      <c r="S172" s="267"/>
      <c r="T172" s="6"/>
      <c r="U172" s="6"/>
      <c r="V172" s="6"/>
      <c r="AG172" s="378">
        <v>132</v>
      </c>
      <c r="AH172" s="30">
        <v>0.81</v>
      </c>
    </row>
    <row r="173" spans="17:34" x14ac:dyDescent="0.3">
      <c r="Q173" s="210">
        <v>165</v>
      </c>
      <c r="R173" s="6"/>
      <c r="S173" s="267"/>
      <c r="T173" s="6"/>
      <c r="U173" s="6"/>
      <c r="V173" s="6"/>
      <c r="AG173" s="378">
        <v>133</v>
      </c>
      <c r="AH173" s="30">
        <v>0.81</v>
      </c>
    </row>
    <row r="174" spans="17:34" x14ac:dyDescent="0.3">
      <c r="Q174" s="210">
        <v>166</v>
      </c>
      <c r="R174" s="6"/>
      <c r="S174" s="267"/>
      <c r="T174" s="6"/>
      <c r="U174" s="6"/>
      <c r="V174" s="6"/>
    </row>
    <row r="175" spans="17:34" x14ac:dyDescent="0.3">
      <c r="Q175" s="210">
        <v>167</v>
      </c>
      <c r="R175" s="6"/>
      <c r="S175" s="267"/>
      <c r="T175" s="6"/>
      <c r="U175" s="6"/>
      <c r="V175" s="6"/>
    </row>
    <row r="176" spans="17:34" x14ac:dyDescent="0.3">
      <c r="Q176" s="210">
        <v>168</v>
      </c>
      <c r="R176" s="6"/>
      <c r="S176" s="267"/>
      <c r="T176" s="6"/>
      <c r="U176" s="6"/>
      <c r="V176" s="6"/>
    </row>
    <row r="177" spans="17:22" x14ac:dyDescent="0.3">
      <c r="Q177" s="210">
        <v>169</v>
      </c>
      <c r="R177" s="6"/>
      <c r="S177" s="267"/>
      <c r="T177" s="6"/>
      <c r="U177" s="6"/>
      <c r="V177" s="6"/>
    </row>
    <row r="178" spans="17:22" x14ac:dyDescent="0.3">
      <c r="Q178" s="210">
        <v>170</v>
      </c>
      <c r="R178" s="6"/>
      <c r="S178" s="267"/>
      <c r="T178" s="6"/>
      <c r="U178" s="6"/>
      <c r="V178" s="6"/>
    </row>
    <row r="179" spans="17:22" x14ac:dyDescent="0.3">
      <c r="Q179" s="210">
        <v>171</v>
      </c>
      <c r="R179" s="6"/>
      <c r="S179" s="267"/>
      <c r="T179" s="6"/>
      <c r="U179" s="6"/>
      <c r="V179" s="6"/>
    </row>
    <row r="180" spans="17:22" x14ac:dyDescent="0.3">
      <c r="Q180" s="210">
        <v>172</v>
      </c>
      <c r="R180" s="6"/>
      <c r="S180" s="267"/>
      <c r="T180" s="6"/>
      <c r="U180" s="6"/>
      <c r="V180" s="6"/>
    </row>
    <row r="181" spans="17:22" x14ac:dyDescent="0.3">
      <c r="Q181" s="210">
        <v>173</v>
      </c>
      <c r="R181" s="6"/>
      <c r="S181" s="267"/>
      <c r="T181" s="6"/>
      <c r="U181" s="6"/>
      <c r="V181" s="6"/>
    </row>
    <row r="182" spans="17:22" x14ac:dyDescent="0.3">
      <c r="Q182" s="210">
        <v>174</v>
      </c>
      <c r="R182" s="6"/>
      <c r="S182" s="267"/>
      <c r="T182" s="6"/>
      <c r="U182" s="6"/>
      <c r="V182" s="6"/>
    </row>
    <row r="183" spans="17:22" x14ac:dyDescent="0.3">
      <c r="Q183" s="210">
        <v>175</v>
      </c>
      <c r="R183" s="6"/>
      <c r="S183" s="267"/>
      <c r="T183" s="6"/>
      <c r="U183" s="6"/>
      <c r="V183" s="6"/>
    </row>
    <row r="184" spans="17:22" x14ac:dyDescent="0.3">
      <c r="Q184" s="210">
        <v>176</v>
      </c>
      <c r="R184" s="6"/>
      <c r="S184" s="267"/>
      <c r="T184" s="6"/>
      <c r="U184" s="6"/>
      <c r="V184" s="6"/>
    </row>
    <row r="185" spans="17:22" x14ac:dyDescent="0.3">
      <c r="Q185" s="210">
        <v>177</v>
      </c>
      <c r="R185" s="6"/>
      <c r="S185" s="267"/>
      <c r="T185" s="6"/>
      <c r="U185" s="6"/>
      <c r="V185" s="6"/>
    </row>
    <row r="186" spans="17:22" x14ac:dyDescent="0.3">
      <c r="Q186" s="210">
        <v>178</v>
      </c>
      <c r="R186" s="6"/>
      <c r="S186" s="267"/>
      <c r="T186" s="6"/>
      <c r="U186" s="6"/>
      <c r="V186" s="6"/>
    </row>
    <row r="187" spans="17:22" x14ac:dyDescent="0.3">
      <c r="Q187" s="210">
        <v>179</v>
      </c>
      <c r="R187" s="6"/>
      <c r="S187" s="267"/>
      <c r="T187" s="6"/>
      <c r="U187" s="6"/>
      <c r="V187" s="6"/>
    </row>
    <row r="188" spans="17:22" x14ac:dyDescent="0.3">
      <c r="Q188" s="210">
        <v>180</v>
      </c>
      <c r="R188" s="6"/>
      <c r="S188" s="267"/>
      <c r="T188" s="6"/>
      <c r="U188" s="6"/>
      <c r="V188" s="6"/>
    </row>
    <row r="189" spans="17:22" x14ac:dyDescent="0.3">
      <c r="Q189" s="210">
        <v>181</v>
      </c>
      <c r="R189" s="6"/>
      <c r="S189" s="267"/>
      <c r="T189" s="6"/>
      <c r="U189" s="6"/>
      <c r="V189" s="6"/>
    </row>
    <row r="190" spans="17:22" x14ac:dyDescent="0.3">
      <c r="Q190" s="210">
        <v>182</v>
      </c>
      <c r="R190" s="6"/>
      <c r="S190" s="267"/>
      <c r="T190" s="6"/>
      <c r="U190" s="6"/>
      <c r="V190" s="6"/>
    </row>
    <row r="191" spans="17:22" x14ac:dyDescent="0.3">
      <c r="Q191" s="210">
        <v>183</v>
      </c>
      <c r="R191" s="6"/>
      <c r="S191" s="267"/>
      <c r="T191" s="6"/>
      <c r="U191" s="6"/>
      <c r="V191" s="6"/>
    </row>
    <row r="192" spans="17:22" x14ac:dyDescent="0.3">
      <c r="Q192" s="210">
        <v>184</v>
      </c>
      <c r="R192" s="6"/>
      <c r="S192" s="267"/>
      <c r="T192" s="6"/>
      <c r="U192" s="6"/>
      <c r="V192" s="6"/>
    </row>
    <row r="193" spans="17:22" x14ac:dyDescent="0.3">
      <c r="Q193" s="210">
        <v>185</v>
      </c>
      <c r="R193" s="6"/>
      <c r="S193" s="267"/>
      <c r="T193" s="6"/>
      <c r="U193" s="6"/>
      <c r="V193" s="6"/>
    </row>
    <row r="194" spans="17:22" x14ac:dyDescent="0.3">
      <c r="Q194" s="210">
        <v>186</v>
      </c>
      <c r="R194" s="6"/>
      <c r="S194" s="267"/>
      <c r="T194" s="6"/>
      <c r="U194" s="6"/>
      <c r="V194" s="6"/>
    </row>
    <row r="195" spans="17:22" x14ac:dyDescent="0.3">
      <c r="Q195" s="210">
        <v>187</v>
      </c>
      <c r="R195" s="6"/>
      <c r="S195" s="267"/>
      <c r="T195" s="6"/>
      <c r="U195" s="6"/>
      <c r="V195" s="6"/>
    </row>
    <row r="196" spans="17:22" x14ac:dyDescent="0.3">
      <c r="Q196" s="210">
        <v>188</v>
      </c>
      <c r="R196" s="6"/>
      <c r="S196" s="267"/>
      <c r="T196" s="6"/>
      <c r="U196" s="6"/>
      <c r="V196" s="6"/>
    </row>
    <row r="197" spans="17:22" x14ac:dyDescent="0.3">
      <c r="Q197" s="210">
        <v>189</v>
      </c>
      <c r="R197" s="6"/>
      <c r="S197" s="267"/>
      <c r="T197" s="6"/>
      <c r="U197" s="6"/>
      <c r="V197" s="6"/>
    </row>
    <row r="198" spans="17:22" x14ac:dyDescent="0.3">
      <c r="Q198" s="210">
        <v>190</v>
      </c>
      <c r="R198" s="6"/>
      <c r="S198" s="267"/>
      <c r="T198" s="6"/>
      <c r="U198" s="6"/>
      <c r="V198" s="6"/>
    </row>
    <row r="199" spans="17:22" x14ac:dyDescent="0.3">
      <c r="Q199" s="210">
        <v>191</v>
      </c>
      <c r="R199" s="6"/>
      <c r="S199" s="267"/>
      <c r="T199" s="6"/>
      <c r="U199" s="6"/>
      <c r="V199" s="6"/>
    </row>
    <row r="200" spans="17:22" x14ac:dyDescent="0.3">
      <c r="Q200" s="210">
        <v>192</v>
      </c>
      <c r="R200" s="6"/>
      <c r="S200" s="267"/>
      <c r="T200" s="6"/>
      <c r="U200" s="6"/>
      <c r="V200" s="6"/>
    </row>
    <row r="201" spans="17:22" x14ac:dyDescent="0.3">
      <c r="Q201" s="210">
        <v>193</v>
      </c>
      <c r="R201" s="6"/>
      <c r="S201" s="267"/>
      <c r="T201" s="6"/>
      <c r="U201" s="6"/>
      <c r="V201" s="6"/>
    </row>
    <row r="202" spans="17:22" x14ac:dyDescent="0.3">
      <c r="Q202" s="210">
        <v>194</v>
      </c>
      <c r="R202" s="6"/>
      <c r="S202" s="267"/>
      <c r="T202" s="6"/>
      <c r="U202" s="6"/>
      <c r="V202" s="6"/>
    </row>
    <row r="203" spans="17:22" x14ac:dyDescent="0.3">
      <c r="Q203" s="210">
        <v>195</v>
      </c>
      <c r="R203" s="6"/>
      <c r="S203" s="267"/>
      <c r="T203" s="6"/>
      <c r="U203" s="6"/>
      <c r="V203" s="6"/>
    </row>
    <row r="204" spans="17:22" x14ac:dyDescent="0.3">
      <c r="Q204" s="210">
        <v>196</v>
      </c>
      <c r="R204" s="6"/>
      <c r="S204" s="267"/>
      <c r="T204" s="6"/>
      <c r="U204" s="6"/>
      <c r="V204" s="6"/>
    </row>
    <row r="205" spans="17:22" x14ac:dyDescent="0.3">
      <c r="Q205" s="210">
        <v>197</v>
      </c>
      <c r="R205" s="6"/>
      <c r="S205" s="267"/>
      <c r="T205" s="6"/>
      <c r="U205" s="6"/>
      <c r="V205" s="6"/>
    </row>
    <row r="206" spans="17:22" x14ac:dyDescent="0.3">
      <c r="Q206" s="210">
        <v>198</v>
      </c>
      <c r="R206" s="6"/>
      <c r="S206" s="267"/>
      <c r="T206" s="6"/>
      <c r="U206" s="6"/>
      <c r="V206" s="6"/>
    </row>
    <row r="207" spans="17:22" x14ac:dyDescent="0.3">
      <c r="Q207" s="210">
        <v>199</v>
      </c>
      <c r="R207" s="6"/>
      <c r="S207" s="267"/>
      <c r="T207" s="6"/>
      <c r="U207" s="6"/>
      <c r="V207" s="6"/>
    </row>
    <row r="208" spans="17:22" x14ac:dyDescent="0.3">
      <c r="Q208" s="210">
        <v>200</v>
      </c>
      <c r="R208" s="6"/>
      <c r="S208" s="267"/>
      <c r="T208" s="6"/>
      <c r="U208" s="6"/>
      <c r="V208" s="6"/>
    </row>
    <row r="209" spans="17:22" x14ac:dyDescent="0.3">
      <c r="Q209" s="210">
        <v>201</v>
      </c>
      <c r="R209" s="6"/>
      <c r="S209" s="267"/>
      <c r="T209" s="6"/>
      <c r="U209" s="6"/>
      <c r="V209" s="6"/>
    </row>
    <row r="210" spans="17:22" x14ac:dyDescent="0.3">
      <c r="Q210" s="210">
        <v>202</v>
      </c>
      <c r="R210" s="6"/>
      <c r="S210" s="267"/>
      <c r="T210" s="6"/>
      <c r="U210" s="6"/>
      <c r="V210" s="6"/>
    </row>
    <row r="211" spans="17:22" x14ac:dyDescent="0.3">
      <c r="Q211" s="210">
        <v>203</v>
      </c>
      <c r="R211" s="6"/>
      <c r="S211" s="267"/>
      <c r="T211" s="6"/>
      <c r="U211" s="6"/>
      <c r="V211" s="6"/>
    </row>
    <row r="212" spans="17:22" x14ac:dyDescent="0.3">
      <c r="Q212" s="210">
        <v>204</v>
      </c>
      <c r="R212" s="6"/>
      <c r="S212" s="267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8" activePane="bottomLeft" state="frozen"/>
      <selection pane="bottomLeft" activeCell="N94" sqref="N9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8" bestFit="1" customWidth="1"/>
    <col min="7" max="7" width="13.77734375" style="1" bestFit="1" customWidth="1"/>
    <col min="8" max="8" width="14.5546875" style="271" customWidth="1"/>
    <col min="9" max="9" width="10.44140625" style="27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84" t="s">
        <v>0</v>
      </c>
      <c r="C4" s="1085"/>
      <c r="D4" s="1085"/>
      <c r="E4" s="1085"/>
      <c r="F4" s="1085"/>
      <c r="G4" s="1085"/>
      <c r="H4" s="1085"/>
      <c r="I4" s="1085"/>
      <c r="J4" s="1085"/>
      <c r="K4" s="1085"/>
      <c r="L4" s="1085"/>
      <c r="M4" s="1085"/>
      <c r="N4" s="1085"/>
      <c r="O4" s="1086"/>
    </row>
    <row r="5" spans="2:27" ht="57.6" customHeight="1" thickBot="1" x14ac:dyDescent="0.35">
      <c r="B5" s="1081" t="s">
        <v>1</v>
      </c>
      <c r="C5" s="1082"/>
      <c r="D5" s="275" t="s">
        <v>290</v>
      </c>
      <c r="E5" s="342" t="s">
        <v>2</v>
      </c>
      <c r="F5" s="276" t="s">
        <v>3</v>
      </c>
      <c r="G5" s="277" t="s">
        <v>4</v>
      </c>
      <c r="H5" s="278" t="s">
        <v>5</v>
      </c>
      <c r="I5" s="279" t="s">
        <v>6</v>
      </c>
      <c r="J5" s="341" t="s">
        <v>7</v>
      </c>
      <c r="K5" s="341" t="s">
        <v>8</v>
      </c>
      <c r="L5" s="343" t="s">
        <v>9</v>
      </c>
      <c r="M5" s="341" t="s">
        <v>10</v>
      </c>
      <c r="N5" s="341" t="s">
        <v>11</v>
      </c>
      <c r="O5" s="344" t="s">
        <v>177</v>
      </c>
      <c r="S5" s="1045" t="s">
        <v>12</v>
      </c>
      <c r="T5" s="1046"/>
      <c r="W5" s="1038" t="s">
        <v>19</v>
      </c>
      <c r="X5" s="1038"/>
      <c r="Y5" s="1038"/>
      <c r="Z5" s="1038"/>
      <c r="AA5" s="1038"/>
    </row>
    <row r="6" spans="2:27" ht="13.95" customHeight="1" thickBot="1" x14ac:dyDescent="0.4">
      <c r="B6" s="1061">
        <v>46174</v>
      </c>
      <c r="C6" s="1062"/>
      <c r="D6" s="280" t="s">
        <v>13</v>
      </c>
      <c r="E6" s="281"/>
      <c r="F6" s="282"/>
      <c r="G6" s="283"/>
      <c r="H6" s="284"/>
      <c r="I6" s="285" t="str">
        <f>IFERROR((VLOOKUP(G6,S$6:T$8,2,FALSE)),"")</f>
        <v/>
      </c>
      <c r="J6" s="286"/>
      <c r="K6" s="287" t="str">
        <f>IFERROR((F6*I6*J6),"")</f>
        <v/>
      </c>
      <c r="L6" s="288" t="str">
        <f>IFERROR(((F6*I6)*J6)*(1-H6),"")</f>
        <v/>
      </c>
      <c r="M6" s="288" t="str">
        <f>IFERROR((K6/12),"")</f>
        <v/>
      </c>
      <c r="N6" s="1067">
        <f>SUM(L6:L7)</f>
        <v>0</v>
      </c>
      <c r="O6" s="289"/>
      <c r="P6" s="4"/>
      <c r="S6" s="259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63"/>
      <c r="C7" s="1064"/>
      <c r="D7" s="290" t="s">
        <v>14</v>
      </c>
      <c r="E7" s="291"/>
      <c r="F7" s="292"/>
      <c r="G7" s="293"/>
      <c r="H7" s="294"/>
      <c r="I7" s="285" t="str">
        <f t="shared" ref="I7" si="0">IFERROR((VLOOKUP(G7,S$6:T$8,2,FALSE)),"")</f>
        <v/>
      </c>
      <c r="J7" s="286"/>
      <c r="K7" s="287" t="str">
        <f>IFERROR((F7*I7*J7),"")</f>
        <v/>
      </c>
      <c r="L7" s="288" t="str">
        <f t="shared" ref="L7:L9" si="1">IFERROR(((F7*I7)*J7)*(1-H7),"")</f>
        <v/>
      </c>
      <c r="M7" s="288" t="str">
        <f t="shared" ref="M7:M9" si="2">IFERROR((K7/12),"")</f>
        <v/>
      </c>
      <c r="N7" s="1068"/>
      <c r="O7" s="289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75">
        <v>46175</v>
      </c>
      <c r="C8" s="1076"/>
      <c r="D8" s="345" t="s">
        <v>13</v>
      </c>
      <c r="E8" s="346" t="s">
        <v>170</v>
      </c>
      <c r="F8" s="347">
        <v>141</v>
      </c>
      <c r="G8" s="348" t="s">
        <v>435</v>
      </c>
      <c r="H8" s="349">
        <v>0.18</v>
      </c>
      <c r="I8" s="350">
        <f>IFERROR((VLOOKUP(G8,S$6:T$8,2,FALSE)),"")</f>
        <v>0.5</v>
      </c>
      <c r="J8" s="286">
        <v>1.35</v>
      </c>
      <c r="K8" s="351">
        <f t="shared" ref="K8:K61" si="3">IFERROR((F8*I8*J8),"")</f>
        <v>95.175000000000011</v>
      </c>
      <c r="L8" s="352">
        <f t="shared" si="1"/>
        <v>78.043500000000009</v>
      </c>
      <c r="M8" s="352">
        <f>IFERROR((K8/6),"")</f>
        <v>15.862500000000002</v>
      </c>
      <c r="N8" s="1079">
        <f>SUM(L8:L9)</f>
        <v>78.043500000000009</v>
      </c>
      <c r="O8" s="353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77"/>
      <c r="C9" s="1078"/>
      <c r="D9" s="354" t="s">
        <v>14</v>
      </c>
      <c r="E9" s="355"/>
      <c r="F9" s="356"/>
      <c r="G9" s="394"/>
      <c r="H9" s="357"/>
      <c r="I9" s="358" t="str">
        <f t="shared" ref="I9:I86" si="4">IFERROR((VLOOKUP(G9,S$6:T$8,2,FALSE)),"")</f>
        <v/>
      </c>
      <c r="J9" s="286"/>
      <c r="K9" s="351" t="str">
        <f t="shared" si="3"/>
        <v/>
      </c>
      <c r="L9" s="352" t="str">
        <f t="shared" si="1"/>
        <v/>
      </c>
      <c r="M9" s="352" t="str">
        <f t="shared" si="2"/>
        <v/>
      </c>
      <c r="N9" s="1080"/>
      <c r="O9" s="360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61">
        <v>46176</v>
      </c>
      <c r="C10" s="1062"/>
      <c r="D10" s="280" t="s">
        <v>13</v>
      </c>
      <c r="E10" s="281" t="s">
        <v>170</v>
      </c>
      <c r="F10" s="282">
        <v>32</v>
      </c>
      <c r="G10" s="398" t="s">
        <v>435</v>
      </c>
      <c r="H10" s="284">
        <v>0.18</v>
      </c>
      <c r="I10" s="285">
        <f t="shared" si="4"/>
        <v>0.5</v>
      </c>
      <c r="J10" s="286">
        <v>1.35</v>
      </c>
      <c r="K10" s="287">
        <f t="shared" si="3"/>
        <v>21.6</v>
      </c>
      <c r="L10" s="288">
        <f t="shared" ref="L10:L61" si="5">IFERROR(((F10*I10)*J10)*(1-H10),"")</f>
        <v>17.712000000000003</v>
      </c>
      <c r="M10" s="288">
        <f t="shared" ref="M10:M61" si="6">IFERROR((K10/12),"")</f>
        <v>1.8</v>
      </c>
      <c r="N10" s="1073">
        <f>SUM(L10:L11)</f>
        <v>17.712000000000003</v>
      </c>
      <c r="O10" s="298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63"/>
      <c r="C11" s="1064"/>
      <c r="D11" s="290" t="s">
        <v>14</v>
      </c>
      <c r="E11" s="291"/>
      <c r="F11" s="295"/>
      <c r="G11" s="397"/>
      <c r="H11" s="294"/>
      <c r="I11" s="296" t="str">
        <f t="shared" si="4"/>
        <v/>
      </c>
      <c r="J11" s="286"/>
      <c r="K11" s="287" t="str">
        <f t="shared" si="3"/>
        <v/>
      </c>
      <c r="L11" s="299" t="str">
        <f t="shared" si="5"/>
        <v/>
      </c>
      <c r="M11" s="300" t="str">
        <f t="shared" si="6"/>
        <v/>
      </c>
      <c r="N11" s="1074"/>
      <c r="O11" s="301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75">
        <v>46177</v>
      </c>
      <c r="C12" s="1076"/>
      <c r="D12" s="345" t="s">
        <v>13</v>
      </c>
      <c r="E12" s="346" t="s">
        <v>173</v>
      </c>
      <c r="F12" s="347">
        <v>282</v>
      </c>
      <c r="G12" s="348" t="s">
        <v>435</v>
      </c>
      <c r="H12" s="349">
        <v>0.17</v>
      </c>
      <c r="I12" s="350">
        <f t="shared" si="4"/>
        <v>0.5</v>
      </c>
      <c r="J12" s="286">
        <v>1.35</v>
      </c>
      <c r="K12" s="351">
        <f t="shared" si="3"/>
        <v>190.35000000000002</v>
      </c>
      <c r="L12" s="352">
        <f t="shared" si="5"/>
        <v>157.9905</v>
      </c>
      <c r="M12" s="352">
        <f t="shared" si="6"/>
        <v>15.862500000000002</v>
      </c>
      <c r="N12" s="1079">
        <f t="shared" ref="N12" si="8">SUM(L12:L13)</f>
        <v>157.9905</v>
      </c>
      <c r="O12" s="353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77"/>
      <c r="C13" s="1078"/>
      <c r="D13" s="354" t="s">
        <v>14</v>
      </c>
      <c r="E13" s="355"/>
      <c r="F13" s="356"/>
      <c r="G13" s="396"/>
      <c r="H13" s="357"/>
      <c r="I13" s="358" t="str">
        <f t="shared" si="4"/>
        <v/>
      </c>
      <c r="J13" s="286"/>
      <c r="K13" s="351" t="str">
        <f t="shared" si="3"/>
        <v/>
      </c>
      <c r="L13" s="359" t="str">
        <f t="shared" si="5"/>
        <v/>
      </c>
      <c r="M13" s="361" t="str">
        <f t="shared" si="6"/>
        <v/>
      </c>
      <c r="N13" s="1080"/>
      <c r="O13" s="35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61">
        <v>46252</v>
      </c>
      <c r="C14" s="1062"/>
      <c r="D14" s="280" t="s">
        <v>13</v>
      </c>
      <c r="E14" s="281" t="s">
        <v>200</v>
      </c>
      <c r="F14" s="282">
        <v>62</v>
      </c>
      <c r="G14" s="398" t="s">
        <v>435</v>
      </c>
      <c r="H14" s="284">
        <v>0.12</v>
      </c>
      <c r="I14" s="285">
        <f t="shared" si="4"/>
        <v>0.5</v>
      </c>
      <c r="J14" s="286">
        <v>1.39</v>
      </c>
      <c r="K14" s="287">
        <f>IFERROR((F14*I14*J14),"")</f>
        <v>43.089999999999996</v>
      </c>
      <c r="L14" s="288">
        <f t="shared" si="5"/>
        <v>37.919199999999996</v>
      </c>
      <c r="M14" s="288">
        <f>IFERROR((K14/12),"")</f>
        <v>3.5908333333333329</v>
      </c>
      <c r="N14" s="1073">
        <f t="shared" ref="N14" si="9">SUM(L14:L15)</f>
        <v>37.919199999999996</v>
      </c>
      <c r="O14" s="289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63"/>
      <c r="C15" s="1064"/>
      <c r="D15" s="290" t="s">
        <v>14</v>
      </c>
      <c r="E15" s="302"/>
      <c r="F15" s="295"/>
      <c r="G15" s="397"/>
      <c r="H15" s="294"/>
      <c r="I15" s="296" t="str">
        <f t="shared" si="4"/>
        <v/>
      </c>
      <c r="J15" s="286"/>
      <c r="K15" s="303" t="str">
        <f t="shared" si="3"/>
        <v/>
      </c>
      <c r="L15" s="299" t="str">
        <f t="shared" si="5"/>
        <v/>
      </c>
      <c r="M15" s="300" t="str">
        <f t="shared" si="6"/>
        <v/>
      </c>
      <c r="N15" s="1074"/>
      <c r="O15" s="289"/>
    </row>
    <row r="16" spans="2:27" ht="18.600000000000001" thickBot="1" x14ac:dyDescent="0.4">
      <c r="B16" s="1075">
        <v>46253</v>
      </c>
      <c r="C16" s="1076"/>
      <c r="D16" s="345" t="s">
        <v>13</v>
      </c>
      <c r="E16" s="346" t="s">
        <v>200</v>
      </c>
      <c r="F16" s="347">
        <v>463</v>
      </c>
      <c r="G16" s="348" t="s">
        <v>435</v>
      </c>
      <c r="H16" s="349">
        <v>0.12</v>
      </c>
      <c r="I16" s="350">
        <f t="shared" si="4"/>
        <v>0.5</v>
      </c>
      <c r="J16" s="286">
        <v>1.39</v>
      </c>
      <c r="K16" s="351">
        <f t="shared" si="3"/>
        <v>321.78499999999997</v>
      </c>
      <c r="L16" s="352">
        <f>IFERROR(((F16*I16)*J16)*(1-H16),"")</f>
        <v>283.17079999999999</v>
      </c>
      <c r="M16" s="352">
        <f t="shared" si="6"/>
        <v>26.815416666666664</v>
      </c>
      <c r="N16" s="1079">
        <f>SUM(L16:L17)</f>
        <v>283.17079999999999</v>
      </c>
      <c r="O16" s="353" t="s">
        <v>411</v>
      </c>
      <c r="S16" s="1">
        <f>S14/1.4</f>
        <v>45.714285714285715</v>
      </c>
    </row>
    <row r="17" spans="2:23" ht="18.600000000000001" thickBot="1" x14ac:dyDescent="0.4">
      <c r="B17" s="1077"/>
      <c r="C17" s="1078"/>
      <c r="D17" s="354" t="s">
        <v>14</v>
      </c>
      <c r="E17" s="362"/>
      <c r="F17" s="356"/>
      <c r="G17" s="396"/>
      <c r="H17" s="357"/>
      <c r="I17" s="358" t="str">
        <f t="shared" si="4"/>
        <v/>
      </c>
      <c r="J17" s="286"/>
      <c r="K17" s="363" t="str">
        <f t="shared" si="3"/>
        <v/>
      </c>
      <c r="L17" s="359" t="str">
        <f t="shared" si="5"/>
        <v/>
      </c>
      <c r="M17" s="361" t="str">
        <f t="shared" si="6"/>
        <v/>
      </c>
      <c r="N17" s="1080"/>
      <c r="O17" s="353" t="s">
        <v>390</v>
      </c>
    </row>
    <row r="18" spans="2:23" ht="18.600000000000001" thickBot="1" x14ac:dyDescent="0.4">
      <c r="B18" s="1061">
        <v>46254</v>
      </c>
      <c r="C18" s="1062"/>
      <c r="D18" s="280" t="s">
        <v>13</v>
      </c>
      <c r="E18" s="281" t="s">
        <v>200</v>
      </c>
      <c r="F18" s="282">
        <v>539</v>
      </c>
      <c r="G18" s="398" t="s">
        <v>435</v>
      </c>
      <c r="H18" s="284">
        <v>0.1</v>
      </c>
      <c r="I18" s="285">
        <f>IFERROR((VLOOKUP(G18,S$6:T$8,2,FALSE)),"")</f>
        <v>0.5</v>
      </c>
      <c r="J18" s="286">
        <v>1.39</v>
      </c>
      <c r="K18" s="287">
        <f t="shared" si="3"/>
        <v>374.60499999999996</v>
      </c>
      <c r="L18" s="288">
        <f>IFERROR(((F18*I18)*J18)*(1-H18),"")</f>
        <v>337.14449999999999</v>
      </c>
      <c r="M18" s="288">
        <f>IFERROR((K18/12),"")</f>
        <v>31.217083333333331</v>
      </c>
      <c r="N18" s="1073">
        <f>SUM(L18:L19)-V20</f>
        <v>337.14449999999999</v>
      </c>
      <c r="O18" s="289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63"/>
      <c r="C19" s="1064"/>
      <c r="D19" s="304" t="s">
        <v>14</v>
      </c>
      <c r="E19" s="305"/>
      <c r="F19" s="306"/>
      <c r="G19" s="395"/>
      <c r="H19" s="308"/>
      <c r="I19" s="309" t="str">
        <f t="shared" si="4"/>
        <v/>
      </c>
      <c r="J19" s="286"/>
      <c r="K19" s="310" t="str">
        <f t="shared" si="3"/>
        <v/>
      </c>
      <c r="L19" s="311" t="str">
        <f t="shared" si="5"/>
        <v/>
      </c>
      <c r="M19" s="312" t="str">
        <f t="shared" si="6"/>
        <v/>
      </c>
      <c r="N19" s="1083"/>
      <c r="O19" s="289" t="s">
        <v>412</v>
      </c>
      <c r="T19" s="111"/>
    </row>
    <row r="20" spans="2:23" ht="18.600000000000001" thickBot="1" x14ac:dyDescent="0.4">
      <c r="B20" s="1061">
        <v>46255</v>
      </c>
      <c r="C20" s="1062"/>
      <c r="D20" s="280" t="s">
        <v>13</v>
      </c>
      <c r="E20" s="281" t="s">
        <v>200</v>
      </c>
      <c r="F20" s="282">
        <v>409</v>
      </c>
      <c r="G20" s="398" t="s">
        <v>435</v>
      </c>
      <c r="H20" s="284">
        <v>0.1</v>
      </c>
      <c r="I20" s="285">
        <f>IFERROR((VLOOKUP(G20,S$6:T$8,2,FALSE)),"")</f>
        <v>0.5</v>
      </c>
      <c r="J20" s="286">
        <v>1.39</v>
      </c>
      <c r="K20" s="287">
        <f t="shared" ref="K20:K21" si="10">IFERROR((F20*I20*J20),"")</f>
        <v>284.255</v>
      </c>
      <c r="L20" s="288">
        <f>IFERROR(((F20*I20)*J20)*(1-H20),"")</f>
        <v>255.8295</v>
      </c>
      <c r="M20" s="288">
        <f>IFERROR(((K20+K21)/12),"")</f>
        <v>26.931250000000002</v>
      </c>
      <c r="N20" s="1073">
        <f>SUM(L20:L21)</f>
        <v>290.85750000000002</v>
      </c>
      <c r="O20" s="289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63"/>
      <c r="C21" s="1064"/>
      <c r="D21" s="304" t="s">
        <v>14</v>
      </c>
      <c r="E21" s="305"/>
      <c r="F21" s="306">
        <v>10</v>
      </c>
      <c r="G21" s="307" t="s">
        <v>16</v>
      </c>
      <c r="H21" s="308">
        <v>0.1</v>
      </c>
      <c r="I21" s="309">
        <f t="shared" ref="I21" si="11">IFERROR((VLOOKUP(G21,S$6:T$8,2,FALSE)),"")</f>
        <v>2.8</v>
      </c>
      <c r="J21" s="286">
        <v>1.39</v>
      </c>
      <c r="K21" s="310">
        <f t="shared" si="10"/>
        <v>38.919999999999995</v>
      </c>
      <c r="L21" s="311">
        <f t="shared" ref="L21" si="12">IFERROR(((F21*I21)*J21)*(1-H21),"")</f>
        <v>35.027999999999999</v>
      </c>
      <c r="M21" s="312"/>
      <c r="N21" s="1083"/>
      <c r="O21" s="289"/>
      <c r="S21" s="2"/>
      <c r="T21" s="112"/>
    </row>
    <row r="22" spans="2:23" ht="18.600000000000001" thickBot="1" x14ac:dyDescent="0.4">
      <c r="B22" s="1061">
        <v>46256</v>
      </c>
      <c r="C22" s="1062"/>
      <c r="D22" s="280" t="s">
        <v>13</v>
      </c>
      <c r="E22" s="281" t="s">
        <v>200</v>
      </c>
      <c r="F22" s="282">
        <v>315</v>
      </c>
      <c r="G22" s="283" t="s">
        <v>435</v>
      </c>
      <c r="H22" s="284">
        <v>0.1</v>
      </c>
      <c r="I22" s="285">
        <f>IFERROR((VLOOKUP(G22,S$6:T$8,2,FALSE)),"")</f>
        <v>0.5</v>
      </c>
      <c r="J22" s="286">
        <v>1.39</v>
      </c>
      <c r="K22" s="287">
        <f t="shared" si="3"/>
        <v>218.92499999999998</v>
      </c>
      <c r="L22" s="288">
        <f t="shared" si="5"/>
        <v>197.0325</v>
      </c>
      <c r="M22" s="313">
        <f t="shared" si="6"/>
        <v>18.243749999999999</v>
      </c>
      <c r="N22" s="1073">
        <f>SUM(L22:L23)-V24</f>
        <v>197.0325</v>
      </c>
      <c r="O22" s="297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63"/>
      <c r="C23" s="1064"/>
      <c r="D23" s="290" t="s">
        <v>14</v>
      </c>
      <c r="E23" s="302"/>
      <c r="F23" s="295"/>
      <c r="G23" s="293"/>
      <c r="H23" s="294"/>
      <c r="I23" s="296" t="str">
        <f t="shared" si="4"/>
        <v/>
      </c>
      <c r="J23" s="286"/>
      <c r="K23" s="303" t="str">
        <f t="shared" si="3"/>
        <v/>
      </c>
      <c r="L23" s="299" t="str">
        <f t="shared" si="5"/>
        <v/>
      </c>
      <c r="M23" s="314" t="str">
        <f t="shared" si="6"/>
        <v/>
      </c>
      <c r="N23" s="1074"/>
      <c r="O23" s="289"/>
      <c r="P23" s="9"/>
      <c r="T23" s="111"/>
    </row>
    <row r="24" spans="2:23" ht="18.600000000000001" thickBot="1" x14ac:dyDescent="0.4">
      <c r="B24" s="1061">
        <v>46257</v>
      </c>
      <c r="C24" s="1062"/>
      <c r="D24" s="280" t="s">
        <v>13</v>
      </c>
      <c r="E24" s="281"/>
      <c r="F24" s="282"/>
      <c r="G24" s="283"/>
      <c r="H24" s="284"/>
      <c r="I24" s="285" t="str">
        <f t="shared" si="4"/>
        <v/>
      </c>
      <c r="J24" s="286"/>
      <c r="K24" s="287" t="str">
        <f t="shared" si="3"/>
        <v/>
      </c>
      <c r="L24" s="288" t="str">
        <f t="shared" si="5"/>
        <v/>
      </c>
      <c r="M24" s="288" t="str">
        <f t="shared" si="6"/>
        <v/>
      </c>
      <c r="N24" s="1073">
        <f>SUM(L24:L25)-V26</f>
        <v>0</v>
      </c>
      <c r="O24" s="289"/>
    </row>
    <row r="25" spans="2:23" ht="18.600000000000001" thickBot="1" x14ac:dyDescent="0.4">
      <c r="B25" s="1063"/>
      <c r="C25" s="1064"/>
      <c r="D25" s="290" t="s">
        <v>14</v>
      </c>
      <c r="E25" s="302"/>
      <c r="F25" s="295"/>
      <c r="G25" s="293"/>
      <c r="H25" s="284"/>
      <c r="I25" s="296" t="str">
        <f t="shared" si="4"/>
        <v/>
      </c>
      <c r="J25" s="286"/>
      <c r="K25" s="303" t="str">
        <f t="shared" si="3"/>
        <v/>
      </c>
      <c r="L25" s="299" t="str">
        <f t="shared" si="5"/>
        <v/>
      </c>
      <c r="M25" s="300" t="str">
        <f t="shared" si="6"/>
        <v/>
      </c>
      <c r="N25" s="1074"/>
      <c r="O25" s="289"/>
      <c r="T25" s="3"/>
    </row>
    <row r="26" spans="2:23" ht="18.600000000000001" thickBot="1" x14ac:dyDescent="0.4">
      <c r="B26" s="1061">
        <v>46258</v>
      </c>
      <c r="C26" s="1062"/>
      <c r="D26" s="280" t="s">
        <v>13</v>
      </c>
      <c r="E26" s="281" t="s">
        <v>200</v>
      </c>
      <c r="F26" s="282">
        <v>234</v>
      </c>
      <c r="G26" s="283" t="s">
        <v>435</v>
      </c>
      <c r="H26" s="284">
        <v>0.1</v>
      </c>
      <c r="I26" s="285">
        <f t="shared" si="4"/>
        <v>0.5</v>
      </c>
      <c r="J26" s="286">
        <v>1.39</v>
      </c>
      <c r="K26" s="287">
        <f t="shared" si="3"/>
        <v>162.63</v>
      </c>
      <c r="L26" s="288">
        <f t="shared" si="5"/>
        <v>146.36699999999999</v>
      </c>
      <c r="M26" s="288">
        <f t="shared" si="6"/>
        <v>13.5525</v>
      </c>
      <c r="N26" s="1073">
        <f>SUM(L26:L27)-V28</f>
        <v>163.881</v>
      </c>
      <c r="O26" s="289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63"/>
      <c r="C27" s="1064"/>
      <c r="D27" s="290" t="s">
        <v>14</v>
      </c>
      <c r="E27" s="302" t="s">
        <v>170</v>
      </c>
      <c r="F27" s="295">
        <v>5</v>
      </c>
      <c r="G27" s="293" t="s">
        <v>16</v>
      </c>
      <c r="H27" s="294">
        <v>0.1</v>
      </c>
      <c r="I27" s="296">
        <f t="shared" si="4"/>
        <v>2.8</v>
      </c>
      <c r="J27" s="286">
        <v>1.39</v>
      </c>
      <c r="K27" s="315">
        <f t="shared" si="3"/>
        <v>19.459999999999997</v>
      </c>
      <c r="L27" s="299">
        <f t="shared" si="5"/>
        <v>17.513999999999999</v>
      </c>
      <c r="M27" s="300">
        <f t="shared" si="6"/>
        <v>1.6216666666666664</v>
      </c>
      <c r="N27" s="1074"/>
      <c r="O27" s="289"/>
    </row>
    <row r="28" spans="2:23" ht="18.600000000000001" thickBot="1" x14ac:dyDescent="0.4">
      <c r="B28" s="1061">
        <v>46259</v>
      </c>
      <c r="C28" s="1062"/>
      <c r="D28" s="280" t="s">
        <v>13</v>
      </c>
      <c r="E28" s="281"/>
      <c r="F28" s="282"/>
      <c r="G28" s="283"/>
      <c r="H28" s="284"/>
      <c r="I28" s="285" t="str">
        <f t="shared" si="4"/>
        <v/>
      </c>
      <c r="J28" s="286"/>
      <c r="K28" s="287" t="str">
        <f t="shared" si="3"/>
        <v/>
      </c>
      <c r="L28" s="288" t="str">
        <f>IFERROR(((F28*I28)*J28)*(1-H28),"")</f>
        <v/>
      </c>
      <c r="M28" s="288" t="str">
        <f t="shared" si="6"/>
        <v/>
      </c>
      <c r="N28" s="1067">
        <f>SUM(L28:L29)</f>
        <v>0</v>
      </c>
      <c r="O28" s="289"/>
    </row>
    <row r="29" spans="2:23" ht="18.600000000000001" thickBot="1" x14ac:dyDescent="0.4">
      <c r="B29" s="1063"/>
      <c r="C29" s="1064"/>
      <c r="D29" s="290" t="s">
        <v>14</v>
      </c>
      <c r="E29" s="302"/>
      <c r="F29" s="295"/>
      <c r="G29" s="293"/>
      <c r="H29" s="294"/>
      <c r="I29" s="285" t="str">
        <f t="shared" si="4"/>
        <v/>
      </c>
      <c r="J29" s="286"/>
      <c r="K29" s="287" t="str">
        <f t="shared" si="3"/>
        <v/>
      </c>
      <c r="L29" s="299" t="str">
        <f t="shared" si="5"/>
        <v/>
      </c>
      <c r="M29" s="300" t="str">
        <f t="shared" si="6"/>
        <v/>
      </c>
      <c r="N29" s="1068"/>
      <c r="O29" s="289"/>
      <c r="P29" s="9"/>
    </row>
    <row r="30" spans="2:23" ht="18.600000000000001" thickBot="1" x14ac:dyDescent="0.4">
      <c r="B30" s="1061">
        <v>46260</v>
      </c>
      <c r="C30" s="1062"/>
      <c r="D30" s="280" t="s">
        <v>13</v>
      </c>
      <c r="E30" s="281"/>
      <c r="F30" s="282"/>
      <c r="G30" s="283"/>
      <c r="H30" s="284"/>
      <c r="I30" s="285" t="str">
        <f t="shared" si="4"/>
        <v/>
      </c>
      <c r="J30" s="286"/>
      <c r="K30" s="287" t="str">
        <f t="shared" si="3"/>
        <v/>
      </c>
      <c r="L30" s="288" t="str">
        <f t="shared" si="5"/>
        <v/>
      </c>
      <c r="M30" s="288" t="str">
        <f t="shared" si="6"/>
        <v/>
      </c>
      <c r="N30" s="1067">
        <f t="shared" ref="N30" si="13">SUM(L30:L31)</f>
        <v>0</v>
      </c>
      <c r="O30" s="289"/>
    </row>
    <row r="31" spans="2:23" ht="18.600000000000001" thickBot="1" x14ac:dyDescent="0.4">
      <c r="B31" s="1063"/>
      <c r="C31" s="1064"/>
      <c r="D31" s="290" t="s">
        <v>14</v>
      </c>
      <c r="E31" s="302"/>
      <c r="F31" s="295"/>
      <c r="G31" s="293"/>
      <c r="H31" s="294"/>
      <c r="I31" s="285" t="str">
        <f t="shared" si="4"/>
        <v/>
      </c>
      <c r="J31" s="286"/>
      <c r="K31" s="287" t="str">
        <f t="shared" si="3"/>
        <v/>
      </c>
      <c r="L31" s="299" t="str">
        <f t="shared" si="5"/>
        <v/>
      </c>
      <c r="M31" s="300" t="str">
        <f t="shared" si="6"/>
        <v/>
      </c>
      <c r="N31" s="1068"/>
      <c r="O31" s="289"/>
    </row>
    <row r="32" spans="2:23" ht="54.6" thickBot="1" x14ac:dyDescent="0.4">
      <c r="B32" s="1061">
        <v>46261</v>
      </c>
      <c r="C32" s="1062"/>
      <c r="D32" s="280" t="s">
        <v>13</v>
      </c>
      <c r="E32" s="281" t="s">
        <v>423</v>
      </c>
      <c r="F32" s="282">
        <v>202</v>
      </c>
      <c r="G32" s="283" t="s">
        <v>435</v>
      </c>
      <c r="H32" s="284">
        <v>0.11</v>
      </c>
      <c r="I32" s="285">
        <f t="shared" si="4"/>
        <v>0.5</v>
      </c>
      <c r="J32" s="286">
        <v>1.39</v>
      </c>
      <c r="K32" s="287">
        <f t="shared" si="3"/>
        <v>140.38999999999999</v>
      </c>
      <c r="L32" s="288">
        <f t="shared" si="5"/>
        <v>124.94709999999999</v>
      </c>
      <c r="M32" s="288">
        <f t="shared" si="6"/>
        <v>11.699166666666665</v>
      </c>
      <c r="N32" s="1067">
        <f>SUM(L32:L33)</f>
        <v>124.94709999999999</v>
      </c>
      <c r="O32" s="390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63"/>
      <c r="C33" s="1064"/>
      <c r="D33" s="290" t="s">
        <v>14</v>
      </c>
      <c r="E33" s="302"/>
      <c r="F33" s="295"/>
      <c r="G33" s="293"/>
      <c r="H33" s="294"/>
      <c r="I33" s="285" t="str">
        <f t="shared" si="4"/>
        <v/>
      </c>
      <c r="J33" s="286"/>
      <c r="K33" s="287" t="str">
        <f t="shared" si="3"/>
        <v/>
      </c>
      <c r="L33" s="299" t="str">
        <f t="shared" si="5"/>
        <v/>
      </c>
      <c r="M33" s="300" t="str">
        <f t="shared" si="6"/>
        <v/>
      </c>
      <c r="N33" s="1068"/>
      <c r="O33" s="289"/>
    </row>
    <row r="34" spans="2:24" ht="18.600000000000001" thickBot="1" x14ac:dyDescent="0.4">
      <c r="B34" s="1061">
        <v>46262</v>
      </c>
      <c r="C34" s="1062"/>
      <c r="D34" s="280" t="s">
        <v>13</v>
      </c>
      <c r="E34" s="281" t="s">
        <v>170</v>
      </c>
      <c r="F34" s="282">
        <v>290</v>
      </c>
      <c r="G34" s="283" t="s">
        <v>435</v>
      </c>
      <c r="H34" s="284">
        <v>0.11</v>
      </c>
      <c r="I34" s="285">
        <f t="shared" si="4"/>
        <v>0.5</v>
      </c>
      <c r="J34" s="286">
        <v>1.3</v>
      </c>
      <c r="K34" s="287">
        <f t="shared" si="3"/>
        <v>188.5</v>
      </c>
      <c r="L34" s="288">
        <f t="shared" si="5"/>
        <v>167.76500000000001</v>
      </c>
      <c r="M34" s="288">
        <f t="shared" si="6"/>
        <v>15.708333333333334</v>
      </c>
      <c r="N34" s="1067">
        <f>SUM(L34:L35)</f>
        <v>167.76500000000001</v>
      </c>
      <c r="O34" s="289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63"/>
      <c r="C35" s="1064"/>
      <c r="D35" s="290" t="s">
        <v>14</v>
      </c>
      <c r="E35" s="302"/>
      <c r="F35" s="295"/>
      <c r="G35" s="293"/>
      <c r="H35" s="294"/>
      <c r="I35" s="285" t="str">
        <f t="shared" si="4"/>
        <v/>
      </c>
      <c r="J35" s="286"/>
      <c r="K35" s="287" t="str">
        <f t="shared" si="3"/>
        <v/>
      </c>
      <c r="L35" s="299" t="str">
        <f>IFERROR(((F35*I35)*J35)*(1-H35),"")</f>
        <v/>
      </c>
      <c r="M35" s="300" t="str">
        <f t="shared" si="6"/>
        <v/>
      </c>
      <c r="N35" s="1068"/>
      <c r="O35" s="289"/>
    </row>
    <row r="36" spans="2:24" ht="18.600000000000001" thickBot="1" x14ac:dyDescent="0.35">
      <c r="B36" s="1061">
        <v>46263</v>
      </c>
      <c r="C36" s="1062"/>
      <c r="D36" s="280" t="s">
        <v>13</v>
      </c>
      <c r="E36" s="281" t="s">
        <v>170</v>
      </c>
      <c r="F36" s="282">
        <v>411</v>
      </c>
      <c r="G36" s="283" t="s">
        <v>435</v>
      </c>
      <c r="H36" s="284">
        <v>0.1</v>
      </c>
      <c r="I36" s="285">
        <f t="shared" si="4"/>
        <v>0.5</v>
      </c>
      <c r="J36" s="286">
        <v>1.3</v>
      </c>
      <c r="K36" s="287">
        <f t="shared" si="3"/>
        <v>267.15000000000003</v>
      </c>
      <c r="L36" s="288">
        <f t="shared" si="5"/>
        <v>240.43500000000003</v>
      </c>
      <c r="M36" s="288">
        <f t="shared" ref="M36:M37" si="14">IFERROR((K36/12),"")</f>
        <v>22.262500000000003</v>
      </c>
      <c r="N36" s="1067">
        <f>SUM(L36:L37)</f>
        <v>240.43500000000003</v>
      </c>
      <c r="O36" s="1059" t="str">
        <f>'Crushing Down Time Hours'!G17</f>
        <v>istirahat jam 12-13, 14:00-15:00 ada loading material dari mining</v>
      </c>
    </row>
    <row r="37" spans="2:24" ht="18.600000000000001" thickBot="1" x14ac:dyDescent="0.35">
      <c r="B37" s="1063"/>
      <c r="C37" s="1064"/>
      <c r="D37" s="290" t="s">
        <v>14</v>
      </c>
      <c r="E37" s="302"/>
      <c r="F37" s="295"/>
      <c r="G37" s="293"/>
      <c r="H37" s="294"/>
      <c r="I37" s="285" t="str">
        <f t="shared" si="4"/>
        <v/>
      </c>
      <c r="J37" s="286"/>
      <c r="K37" s="287" t="str">
        <f t="shared" si="3"/>
        <v/>
      </c>
      <c r="L37" s="299" t="str">
        <f t="shared" si="5"/>
        <v/>
      </c>
      <c r="M37" s="300" t="str">
        <f t="shared" si="14"/>
        <v/>
      </c>
      <c r="N37" s="1068"/>
      <c r="O37" s="1060"/>
    </row>
    <row r="38" spans="2:24" ht="18.600000000000001" thickBot="1" x14ac:dyDescent="0.4">
      <c r="B38" s="1061">
        <v>46264</v>
      </c>
      <c r="C38" s="1062"/>
      <c r="D38" s="280" t="s">
        <v>13</v>
      </c>
      <c r="E38" s="281" t="s">
        <v>170</v>
      </c>
      <c r="F38" s="282">
        <v>92</v>
      </c>
      <c r="G38" s="283" t="s">
        <v>435</v>
      </c>
      <c r="H38" s="284">
        <v>0.1</v>
      </c>
      <c r="I38" s="285">
        <f t="shared" si="4"/>
        <v>0.5</v>
      </c>
      <c r="J38" s="286">
        <v>1.3</v>
      </c>
      <c r="K38" s="287">
        <f t="shared" si="3"/>
        <v>59.800000000000004</v>
      </c>
      <c r="L38" s="288">
        <f t="shared" si="5"/>
        <v>53.820000000000007</v>
      </c>
      <c r="M38" s="288">
        <f t="shared" si="6"/>
        <v>4.9833333333333334</v>
      </c>
      <c r="N38" s="1067">
        <f t="shared" ref="N38" si="15">SUM(L38:L39)</f>
        <v>53.820000000000007</v>
      </c>
      <c r="O38" s="289"/>
      <c r="Q38" s="4"/>
    </row>
    <row r="39" spans="2:24" ht="18.600000000000001" thickBot="1" x14ac:dyDescent="0.4">
      <c r="B39" s="1063"/>
      <c r="C39" s="1064"/>
      <c r="D39" s="290" t="s">
        <v>14</v>
      </c>
      <c r="E39" s="302"/>
      <c r="F39" s="295"/>
      <c r="G39" s="293"/>
      <c r="H39" s="294"/>
      <c r="I39" s="285" t="str">
        <f t="shared" si="4"/>
        <v/>
      </c>
      <c r="J39" s="286"/>
      <c r="K39" s="287" t="str">
        <f t="shared" si="3"/>
        <v/>
      </c>
      <c r="L39" s="299" t="str">
        <f t="shared" si="5"/>
        <v/>
      </c>
      <c r="M39" s="300" t="str">
        <f t="shared" si="6"/>
        <v/>
      </c>
      <c r="N39" s="1068"/>
      <c r="O39" s="289"/>
    </row>
    <row r="40" spans="2:24" ht="18.600000000000001" thickBot="1" x14ac:dyDescent="0.4">
      <c r="B40" s="1061">
        <v>46265</v>
      </c>
      <c r="C40" s="1062"/>
      <c r="D40" s="280" t="s">
        <v>13</v>
      </c>
      <c r="E40" s="281"/>
      <c r="F40" s="282"/>
      <c r="G40" s="283"/>
      <c r="H40" s="284"/>
      <c r="I40" s="285" t="str">
        <f t="shared" si="4"/>
        <v/>
      </c>
      <c r="J40" s="286"/>
      <c r="K40" s="287" t="str">
        <f t="shared" si="3"/>
        <v/>
      </c>
      <c r="L40" s="288" t="str">
        <f>IFERROR(((F40*I40)*J40)*(1-H40),"")</f>
        <v/>
      </c>
      <c r="M40" s="288" t="str">
        <f t="shared" si="6"/>
        <v/>
      </c>
      <c r="N40" s="1067">
        <f>SUM(L40:L41)</f>
        <v>0</v>
      </c>
      <c r="O40" s="289"/>
    </row>
    <row r="41" spans="2:24" ht="18.600000000000001" thickBot="1" x14ac:dyDescent="0.4">
      <c r="B41" s="1063"/>
      <c r="C41" s="1064"/>
      <c r="D41" s="290" t="s">
        <v>14</v>
      </c>
      <c r="E41" s="302"/>
      <c r="F41" s="295"/>
      <c r="G41" s="293"/>
      <c r="H41" s="294"/>
      <c r="I41" s="285" t="str">
        <f t="shared" si="4"/>
        <v/>
      </c>
      <c r="J41" s="286"/>
      <c r="K41" s="287" t="str">
        <f t="shared" si="3"/>
        <v/>
      </c>
      <c r="L41" s="299" t="str">
        <f t="shared" si="5"/>
        <v/>
      </c>
      <c r="M41" s="300" t="str">
        <f t="shared" si="6"/>
        <v/>
      </c>
      <c r="N41" s="1068"/>
      <c r="O41" s="289"/>
    </row>
    <row r="42" spans="2:24" ht="18.600000000000001" thickBot="1" x14ac:dyDescent="0.4">
      <c r="B42" s="1061">
        <v>46266</v>
      </c>
      <c r="C42" s="1062"/>
      <c r="D42" s="280" t="s">
        <v>13</v>
      </c>
      <c r="E42" s="316"/>
      <c r="F42" s="317"/>
      <c r="G42" s="318"/>
      <c r="H42" s="319"/>
      <c r="I42" s="285" t="str">
        <f t="shared" si="4"/>
        <v/>
      </c>
      <c r="J42" s="286"/>
      <c r="K42" s="287" t="str">
        <f t="shared" si="3"/>
        <v/>
      </c>
      <c r="L42" s="288" t="str">
        <f t="shared" si="5"/>
        <v/>
      </c>
      <c r="M42" s="288" t="str">
        <f t="shared" si="6"/>
        <v/>
      </c>
      <c r="N42" s="1067">
        <f t="shared" ref="N42" si="16">SUM(L42:L43)</f>
        <v>0</v>
      </c>
      <c r="O42" s="289"/>
    </row>
    <row r="43" spans="2:24" ht="18.600000000000001" thickBot="1" x14ac:dyDescent="0.4">
      <c r="B43" s="1063"/>
      <c r="C43" s="1064"/>
      <c r="D43" s="290" t="s">
        <v>14</v>
      </c>
      <c r="E43" s="302"/>
      <c r="F43" s="295"/>
      <c r="G43" s="293"/>
      <c r="H43" s="294"/>
      <c r="I43" s="285" t="str">
        <f t="shared" si="4"/>
        <v/>
      </c>
      <c r="J43" s="286"/>
      <c r="K43" s="287" t="str">
        <f t="shared" si="3"/>
        <v/>
      </c>
      <c r="L43" s="299" t="str">
        <f t="shared" si="5"/>
        <v/>
      </c>
      <c r="M43" s="300" t="str">
        <f t="shared" si="6"/>
        <v/>
      </c>
      <c r="N43" s="1068"/>
      <c r="O43" s="289"/>
    </row>
    <row r="44" spans="2:24" ht="18.600000000000001" thickBot="1" x14ac:dyDescent="0.4">
      <c r="B44" s="1061">
        <v>46267</v>
      </c>
      <c r="C44" s="1062"/>
      <c r="D44" s="280" t="s">
        <v>13</v>
      </c>
      <c r="E44" s="316"/>
      <c r="F44" s="317"/>
      <c r="G44" s="318"/>
      <c r="H44" s="319"/>
      <c r="I44" s="285" t="str">
        <f t="shared" si="4"/>
        <v/>
      </c>
      <c r="J44" s="286"/>
      <c r="K44" s="287" t="str">
        <f t="shared" si="3"/>
        <v/>
      </c>
      <c r="L44" s="288" t="str">
        <f t="shared" si="5"/>
        <v/>
      </c>
      <c r="M44" s="288" t="str">
        <f t="shared" si="6"/>
        <v/>
      </c>
      <c r="N44" s="1067">
        <f t="shared" ref="N44" si="17">SUM(L44:L45)</f>
        <v>0</v>
      </c>
      <c r="O44" s="289"/>
    </row>
    <row r="45" spans="2:24" ht="18.600000000000001" thickBot="1" x14ac:dyDescent="0.4">
      <c r="B45" s="1063"/>
      <c r="C45" s="1064"/>
      <c r="D45" s="290" t="s">
        <v>14</v>
      </c>
      <c r="E45" s="302"/>
      <c r="F45" s="295"/>
      <c r="G45" s="293"/>
      <c r="H45" s="294"/>
      <c r="I45" s="285" t="str">
        <f t="shared" si="4"/>
        <v/>
      </c>
      <c r="J45" s="286"/>
      <c r="K45" s="287" t="str">
        <f t="shared" si="3"/>
        <v/>
      </c>
      <c r="L45" s="320" t="str">
        <f t="shared" si="5"/>
        <v/>
      </c>
      <c r="M45" s="321" t="str">
        <f>IFERROR((K45/12),"")</f>
        <v/>
      </c>
      <c r="N45" s="1068"/>
      <c r="O45" s="289"/>
    </row>
    <row r="46" spans="2:24" ht="18.600000000000001" thickBot="1" x14ac:dyDescent="0.4">
      <c r="B46" s="1061">
        <v>46268</v>
      </c>
      <c r="C46" s="1062"/>
      <c r="D46" s="280" t="s">
        <v>13</v>
      </c>
      <c r="E46" s="316"/>
      <c r="F46" s="317"/>
      <c r="G46" s="318"/>
      <c r="H46" s="319"/>
      <c r="I46" s="285" t="str">
        <f t="shared" si="4"/>
        <v/>
      </c>
      <c r="J46" s="286"/>
      <c r="K46" s="287" t="str">
        <f t="shared" si="3"/>
        <v/>
      </c>
      <c r="L46" s="288" t="str">
        <f t="shared" si="5"/>
        <v/>
      </c>
      <c r="M46" s="288" t="str">
        <f t="shared" si="6"/>
        <v/>
      </c>
      <c r="N46" s="1067">
        <f t="shared" ref="N46:N58" si="18">SUM(L46:L47)</f>
        <v>0</v>
      </c>
      <c r="O46" s="289"/>
    </row>
    <row r="47" spans="2:24" ht="18.600000000000001" thickBot="1" x14ac:dyDescent="0.4">
      <c r="B47" s="1063"/>
      <c r="C47" s="1064"/>
      <c r="D47" s="290" t="s">
        <v>14</v>
      </c>
      <c r="E47" s="302"/>
      <c r="F47" s="295"/>
      <c r="G47" s="293"/>
      <c r="H47" s="294"/>
      <c r="I47" s="285" t="str">
        <f t="shared" si="4"/>
        <v/>
      </c>
      <c r="J47" s="286"/>
      <c r="K47" s="287" t="str">
        <f t="shared" si="3"/>
        <v/>
      </c>
      <c r="L47" s="299" t="str">
        <f t="shared" si="5"/>
        <v/>
      </c>
      <c r="M47" s="300" t="str">
        <f t="shared" si="6"/>
        <v/>
      </c>
      <c r="N47" s="1068"/>
      <c r="O47" s="289"/>
    </row>
    <row r="48" spans="2:24" ht="18.600000000000001" thickBot="1" x14ac:dyDescent="0.4">
      <c r="B48" s="1061">
        <v>46269</v>
      </c>
      <c r="C48" s="1062"/>
      <c r="D48" s="280" t="s">
        <v>13</v>
      </c>
      <c r="E48" s="316"/>
      <c r="F48" s="317"/>
      <c r="G48" s="318"/>
      <c r="H48" s="319"/>
      <c r="I48" s="285" t="str">
        <f t="shared" si="4"/>
        <v/>
      </c>
      <c r="J48" s="286"/>
      <c r="K48" s="287" t="str">
        <f t="shared" si="3"/>
        <v/>
      </c>
      <c r="L48" s="288" t="str">
        <f t="shared" si="5"/>
        <v/>
      </c>
      <c r="M48" s="288" t="str">
        <f>IFERROR((K48/12),"")</f>
        <v/>
      </c>
      <c r="N48" s="1067">
        <f t="shared" si="18"/>
        <v>0</v>
      </c>
      <c r="O48" s="289"/>
    </row>
    <row r="49" spans="2:22" ht="18.600000000000001" thickBot="1" x14ac:dyDescent="0.4">
      <c r="B49" s="1063"/>
      <c r="C49" s="1064"/>
      <c r="D49" s="290" t="s">
        <v>14</v>
      </c>
      <c r="E49" s="302"/>
      <c r="F49" s="295"/>
      <c r="G49" s="293"/>
      <c r="H49" s="294"/>
      <c r="I49" s="285" t="str">
        <f t="shared" si="4"/>
        <v/>
      </c>
      <c r="J49" s="286"/>
      <c r="K49" s="287" t="str">
        <f t="shared" si="3"/>
        <v/>
      </c>
      <c r="L49" s="299" t="str">
        <f t="shared" si="5"/>
        <v/>
      </c>
      <c r="M49" s="300" t="str">
        <f>IFERROR((K49/12),"")</f>
        <v/>
      </c>
      <c r="N49" s="1068"/>
      <c r="O49" s="289"/>
    </row>
    <row r="50" spans="2:22" ht="18.600000000000001" thickBot="1" x14ac:dyDescent="0.4">
      <c r="B50" s="1061">
        <v>46270</v>
      </c>
      <c r="C50" s="1062"/>
      <c r="D50" s="280" t="s">
        <v>13</v>
      </c>
      <c r="E50" s="316"/>
      <c r="F50" s="317"/>
      <c r="G50" s="318"/>
      <c r="H50" s="322"/>
      <c r="I50" s="285" t="str">
        <f t="shared" si="4"/>
        <v/>
      </c>
      <c r="J50" s="286"/>
      <c r="K50" s="287" t="str">
        <f t="shared" si="3"/>
        <v/>
      </c>
      <c r="L50" s="288" t="str">
        <f t="shared" si="5"/>
        <v/>
      </c>
      <c r="M50" s="288" t="str">
        <f t="shared" si="6"/>
        <v/>
      </c>
      <c r="N50" s="1067">
        <f t="shared" si="18"/>
        <v>0</v>
      </c>
      <c r="O50" s="289"/>
      <c r="R50" s="1">
        <f>180/12</f>
        <v>15</v>
      </c>
    </row>
    <row r="51" spans="2:22" ht="18.600000000000001" thickBot="1" x14ac:dyDescent="0.4">
      <c r="B51" s="1063"/>
      <c r="C51" s="1064"/>
      <c r="D51" s="290" t="s">
        <v>14</v>
      </c>
      <c r="E51" s="302"/>
      <c r="F51" s="295"/>
      <c r="G51" s="293"/>
      <c r="H51" s="294"/>
      <c r="I51" s="285" t="str">
        <f t="shared" si="4"/>
        <v/>
      </c>
      <c r="J51" s="286"/>
      <c r="K51" s="287" t="str">
        <f t="shared" si="3"/>
        <v/>
      </c>
      <c r="L51" s="299" t="str">
        <f t="shared" si="5"/>
        <v/>
      </c>
      <c r="M51" s="300" t="str">
        <f t="shared" si="6"/>
        <v/>
      </c>
      <c r="N51" s="1068"/>
      <c r="O51" s="289"/>
      <c r="P51" s="4"/>
    </row>
    <row r="52" spans="2:22" ht="18.600000000000001" thickBot="1" x14ac:dyDescent="0.4">
      <c r="B52" s="1061">
        <v>46271</v>
      </c>
      <c r="C52" s="1062"/>
      <c r="D52" s="280" t="s">
        <v>13</v>
      </c>
      <c r="E52" s="316"/>
      <c r="F52" s="317"/>
      <c r="G52" s="318"/>
      <c r="H52" s="319"/>
      <c r="I52" s="285" t="str">
        <f t="shared" si="4"/>
        <v/>
      </c>
      <c r="J52" s="286"/>
      <c r="K52" s="287" t="str">
        <f t="shared" si="3"/>
        <v/>
      </c>
      <c r="L52" s="288" t="str">
        <f t="shared" si="5"/>
        <v/>
      </c>
      <c r="M52" s="288" t="str">
        <f t="shared" si="6"/>
        <v/>
      </c>
      <c r="N52" s="1067">
        <f t="shared" si="18"/>
        <v>0</v>
      </c>
      <c r="O52" s="289"/>
    </row>
    <row r="53" spans="2:22" ht="18.600000000000001" thickBot="1" x14ac:dyDescent="0.4">
      <c r="B53" s="1063"/>
      <c r="C53" s="1064"/>
      <c r="D53" s="290" t="s">
        <v>14</v>
      </c>
      <c r="E53" s="302"/>
      <c r="F53" s="295"/>
      <c r="G53" s="293"/>
      <c r="H53" s="294"/>
      <c r="I53" s="285" t="str">
        <f>IFERROR((VLOOKUP(G53,S$6:T$8,2,FALSE)),"")</f>
        <v/>
      </c>
      <c r="J53" s="286"/>
      <c r="K53" s="287" t="str">
        <f>IFERROR((F53*I53*J53),"")</f>
        <v/>
      </c>
      <c r="L53" s="299" t="str">
        <f t="shared" si="5"/>
        <v/>
      </c>
      <c r="M53" s="300" t="str">
        <f t="shared" si="6"/>
        <v/>
      </c>
      <c r="N53" s="1068"/>
      <c r="O53" s="289"/>
      <c r="R53" s="1">
        <f>R50*4</f>
        <v>60</v>
      </c>
    </row>
    <row r="54" spans="2:22" ht="18.600000000000001" thickBot="1" x14ac:dyDescent="0.4">
      <c r="B54" s="1061">
        <v>46272</v>
      </c>
      <c r="C54" s="1062"/>
      <c r="D54" s="280" t="s">
        <v>13</v>
      </c>
      <c r="E54" s="302"/>
      <c r="F54" s="295"/>
      <c r="G54" s="318"/>
      <c r="H54" s="319"/>
      <c r="I54" s="285" t="str">
        <f t="shared" si="4"/>
        <v/>
      </c>
      <c r="J54" s="286"/>
      <c r="K54" s="287" t="str">
        <f t="shared" si="3"/>
        <v/>
      </c>
      <c r="L54" s="288" t="str">
        <f t="shared" si="5"/>
        <v/>
      </c>
      <c r="M54" s="288" t="str">
        <f t="shared" si="6"/>
        <v/>
      </c>
      <c r="N54" s="1067">
        <f t="shared" si="18"/>
        <v>0</v>
      </c>
      <c r="O54" s="289"/>
    </row>
    <row r="55" spans="2:22" ht="18.600000000000001" thickBot="1" x14ac:dyDescent="0.4">
      <c r="B55" s="1063"/>
      <c r="C55" s="1064"/>
      <c r="D55" s="290" t="s">
        <v>14</v>
      </c>
      <c r="E55" s="302"/>
      <c r="F55" s="295"/>
      <c r="G55" s="293"/>
      <c r="H55" s="294"/>
      <c r="I55" s="285" t="str">
        <f t="shared" si="4"/>
        <v/>
      </c>
      <c r="J55" s="286"/>
      <c r="K55" s="287" t="str">
        <f t="shared" si="3"/>
        <v/>
      </c>
      <c r="L55" s="299" t="str">
        <f t="shared" si="5"/>
        <v/>
      </c>
      <c r="M55" s="300" t="str">
        <f t="shared" si="6"/>
        <v/>
      </c>
      <c r="N55" s="1068"/>
      <c r="O55" s="289"/>
      <c r="R55" s="1">
        <f>R53*1.7</f>
        <v>102</v>
      </c>
      <c r="S55" s="1">
        <v>9570</v>
      </c>
    </row>
    <row r="56" spans="2:22" ht="18.600000000000001" thickBot="1" x14ac:dyDescent="0.4">
      <c r="B56" s="1061">
        <v>46273</v>
      </c>
      <c r="C56" s="1062"/>
      <c r="D56" s="280" t="s">
        <v>13</v>
      </c>
      <c r="E56" s="316"/>
      <c r="F56" s="317"/>
      <c r="G56" s="318"/>
      <c r="H56" s="319"/>
      <c r="I56" s="285" t="str">
        <f t="shared" si="4"/>
        <v/>
      </c>
      <c r="J56" s="286"/>
      <c r="K56" s="287" t="str">
        <f t="shared" si="3"/>
        <v/>
      </c>
      <c r="L56" s="288" t="str">
        <f t="shared" si="5"/>
        <v/>
      </c>
      <c r="M56" s="288" t="str">
        <f t="shared" si="6"/>
        <v/>
      </c>
      <c r="N56" s="1067">
        <f t="shared" si="18"/>
        <v>0</v>
      </c>
      <c r="O56" s="289"/>
      <c r="R56" s="4"/>
      <c r="S56" s="1">
        <v>9795</v>
      </c>
      <c r="U56" s="2"/>
      <c r="V56" s="2"/>
    </row>
    <row r="57" spans="2:22" ht="18.600000000000001" thickBot="1" x14ac:dyDescent="0.4">
      <c r="B57" s="1063"/>
      <c r="C57" s="1064"/>
      <c r="D57" s="290" t="s">
        <v>14</v>
      </c>
      <c r="E57" s="302"/>
      <c r="F57" s="295"/>
      <c r="G57" s="293"/>
      <c r="H57" s="294"/>
      <c r="I57" s="285" t="str">
        <f t="shared" si="4"/>
        <v/>
      </c>
      <c r="J57" s="286"/>
      <c r="K57" s="287" t="str">
        <f t="shared" si="3"/>
        <v/>
      </c>
      <c r="L57" s="299" t="str">
        <f t="shared" si="5"/>
        <v/>
      </c>
      <c r="M57" s="300" t="str">
        <f t="shared" si="6"/>
        <v/>
      </c>
      <c r="N57" s="1068"/>
      <c r="O57" s="289"/>
      <c r="Q57" s="4"/>
      <c r="R57" s="4"/>
      <c r="S57" s="1">
        <v>1190</v>
      </c>
    </row>
    <row r="58" spans="2:22" ht="18.600000000000001" thickBot="1" x14ac:dyDescent="0.4">
      <c r="B58" s="1061">
        <v>46274</v>
      </c>
      <c r="C58" s="1062"/>
      <c r="D58" s="280" t="s">
        <v>13</v>
      </c>
      <c r="E58" s="316"/>
      <c r="F58" s="317"/>
      <c r="G58" s="318"/>
      <c r="H58" s="319"/>
      <c r="I58" s="285" t="str">
        <f t="shared" si="4"/>
        <v/>
      </c>
      <c r="J58" s="286"/>
      <c r="K58" s="287" t="str">
        <f t="shared" si="3"/>
        <v/>
      </c>
      <c r="L58" s="288" t="str">
        <f t="shared" si="5"/>
        <v/>
      </c>
      <c r="M58" s="288" t="str">
        <f t="shared" si="6"/>
        <v/>
      </c>
      <c r="N58" s="1067">
        <f t="shared" si="18"/>
        <v>0</v>
      </c>
      <c r="O58" s="289"/>
      <c r="P58" s="9"/>
      <c r="S58" s="1">
        <f>S56-S57</f>
        <v>8605</v>
      </c>
    </row>
    <row r="59" spans="2:22" ht="18.600000000000001" thickBot="1" x14ac:dyDescent="0.4">
      <c r="B59" s="1063"/>
      <c r="C59" s="1064"/>
      <c r="D59" s="290" t="s">
        <v>14</v>
      </c>
      <c r="E59" s="302"/>
      <c r="F59" s="295"/>
      <c r="G59" s="293"/>
      <c r="H59" s="319"/>
      <c r="I59" s="285" t="str">
        <f t="shared" si="4"/>
        <v/>
      </c>
      <c r="J59" s="286"/>
      <c r="K59" s="303" t="str">
        <f t="shared" si="3"/>
        <v/>
      </c>
      <c r="L59" s="299" t="str">
        <f t="shared" si="5"/>
        <v/>
      </c>
      <c r="M59" s="300" t="str">
        <f t="shared" si="6"/>
        <v/>
      </c>
      <c r="N59" s="1068"/>
      <c r="O59" s="289"/>
      <c r="P59" s="4"/>
      <c r="S59" s="2">
        <f>(S55-S58)/S55</f>
        <v>0.10083594566353186</v>
      </c>
    </row>
    <row r="60" spans="2:22" ht="18.600000000000001" thickBot="1" x14ac:dyDescent="0.4">
      <c r="B60" s="1061">
        <v>46275</v>
      </c>
      <c r="C60" s="1062"/>
      <c r="D60" s="280" t="s">
        <v>13</v>
      </c>
      <c r="E60" s="316" t="s">
        <v>170</v>
      </c>
      <c r="F60" s="317">
        <v>113</v>
      </c>
      <c r="G60" s="318" t="s">
        <v>435</v>
      </c>
      <c r="H60" s="319">
        <v>0.1</v>
      </c>
      <c r="I60" s="285">
        <f t="shared" si="4"/>
        <v>0.5</v>
      </c>
      <c r="J60" s="286">
        <v>1.3</v>
      </c>
      <c r="K60" s="287">
        <f t="shared" si="3"/>
        <v>73.45</v>
      </c>
      <c r="L60" s="288">
        <f t="shared" si="5"/>
        <v>66.105000000000004</v>
      </c>
      <c r="M60" s="313">
        <f>IFERROR((K60/12),"")</f>
        <v>6.1208333333333336</v>
      </c>
      <c r="N60" s="1065">
        <f>SUM(L60:L61)</f>
        <v>72.657000000000011</v>
      </c>
      <c r="O60" s="289"/>
      <c r="P60" s="9"/>
    </row>
    <row r="61" spans="2:22" ht="18.600000000000001" thickBot="1" x14ac:dyDescent="0.4">
      <c r="B61" s="1063"/>
      <c r="C61" s="1064"/>
      <c r="D61" s="290" t="s">
        <v>14</v>
      </c>
      <c r="E61" s="302" t="s">
        <v>170</v>
      </c>
      <c r="F61" s="295">
        <v>2</v>
      </c>
      <c r="G61" s="293" t="s">
        <v>16</v>
      </c>
      <c r="H61" s="294">
        <v>0.1</v>
      </c>
      <c r="I61" s="285">
        <f t="shared" si="4"/>
        <v>2.8</v>
      </c>
      <c r="J61" s="286">
        <v>1.3</v>
      </c>
      <c r="K61" s="303">
        <f t="shared" si="3"/>
        <v>7.2799999999999994</v>
      </c>
      <c r="L61" s="299">
        <f t="shared" si="5"/>
        <v>6.5519999999999996</v>
      </c>
      <c r="M61" s="314">
        <f t="shared" si="6"/>
        <v>0.60666666666666658</v>
      </c>
      <c r="N61" s="1066"/>
      <c r="O61" s="289"/>
      <c r="P61" s="9"/>
    </row>
    <row r="62" spans="2:22" ht="18.600000000000001" thickBot="1" x14ac:dyDescent="0.4">
      <c r="B62" s="1061">
        <v>46276</v>
      </c>
      <c r="C62" s="1062"/>
      <c r="D62" s="280" t="s">
        <v>13</v>
      </c>
      <c r="E62" s="316"/>
      <c r="F62" s="317"/>
      <c r="G62" s="318"/>
      <c r="H62" s="319"/>
      <c r="I62" s="285" t="str">
        <f t="shared" si="4"/>
        <v/>
      </c>
      <c r="J62" s="286"/>
      <c r="K62" s="287" t="str">
        <f t="shared" ref="K62:K63" si="19">IFERROR((F62*I62*J62),"")</f>
        <v/>
      </c>
      <c r="L62" s="288" t="str">
        <f t="shared" ref="L62:L63" si="20">IFERROR(((F62*I62)*J62)*(1-H62),"")</f>
        <v/>
      </c>
      <c r="M62" s="313" t="str">
        <f t="shared" ref="M62:M63" si="21">IFERROR((K62/12),"")</f>
        <v/>
      </c>
      <c r="N62" s="1065">
        <f>SUM(L62:L63)</f>
        <v>0</v>
      </c>
      <c r="O62" s="289"/>
      <c r="P62" s="9"/>
    </row>
    <row r="63" spans="2:22" ht="18.600000000000001" thickBot="1" x14ac:dyDescent="0.4">
      <c r="B63" s="1063"/>
      <c r="C63" s="1064"/>
      <c r="D63" s="290" t="s">
        <v>14</v>
      </c>
      <c r="E63" s="302"/>
      <c r="F63" s="295"/>
      <c r="G63" s="293"/>
      <c r="H63" s="294"/>
      <c r="I63" s="285" t="str">
        <f t="shared" si="4"/>
        <v/>
      </c>
      <c r="J63" s="286"/>
      <c r="K63" s="303" t="str">
        <f t="shared" si="19"/>
        <v/>
      </c>
      <c r="L63" s="299" t="str">
        <f t="shared" si="20"/>
        <v/>
      </c>
      <c r="M63" s="314" t="str">
        <f t="shared" si="21"/>
        <v/>
      </c>
      <c r="N63" s="1066"/>
      <c r="O63" s="289"/>
      <c r="P63" s="9"/>
    </row>
    <row r="64" spans="2:22" ht="18.600000000000001" thickBot="1" x14ac:dyDescent="0.4">
      <c r="B64" s="1061">
        <v>46277</v>
      </c>
      <c r="C64" s="1062"/>
      <c r="D64" s="280" t="s">
        <v>13</v>
      </c>
      <c r="E64" s="316" t="s">
        <v>170</v>
      </c>
      <c r="F64" s="317">
        <v>329</v>
      </c>
      <c r="G64" s="318" t="s">
        <v>435</v>
      </c>
      <c r="H64" s="319">
        <v>0.1</v>
      </c>
      <c r="I64" s="285">
        <f t="shared" si="4"/>
        <v>0.5</v>
      </c>
      <c r="J64" s="286">
        <v>1.3</v>
      </c>
      <c r="K64" s="287">
        <f t="shared" ref="K64:K65" si="22">IFERROR((F64*I64*J64),"")</f>
        <v>213.85</v>
      </c>
      <c r="L64" s="288">
        <f t="shared" ref="L64:L65" si="23">IFERROR(((F64*I64)*J64)*(1-H64),"")</f>
        <v>192.465</v>
      </c>
      <c r="M64" s="313">
        <f t="shared" ref="M64:M65" si="24">IFERROR((K64/12),"")</f>
        <v>17.820833333333333</v>
      </c>
      <c r="N64" s="1065">
        <f>SUM(L64:L65)</f>
        <v>328.77</v>
      </c>
      <c r="O64" s="289"/>
      <c r="P64" s="9"/>
    </row>
    <row r="65" spans="2:16" ht="18.600000000000001" thickBot="1" x14ac:dyDescent="0.4">
      <c r="B65" s="1063"/>
      <c r="C65" s="1064"/>
      <c r="D65" s="290" t="s">
        <v>14</v>
      </c>
      <c r="E65" s="302" t="s">
        <v>560</v>
      </c>
      <c r="F65" s="295">
        <v>233</v>
      </c>
      <c r="G65" s="293" t="s">
        <v>435</v>
      </c>
      <c r="H65" s="294">
        <v>0.1</v>
      </c>
      <c r="I65" s="285">
        <f t="shared" si="4"/>
        <v>0.5</v>
      </c>
      <c r="J65" s="286">
        <v>1.3</v>
      </c>
      <c r="K65" s="315">
        <f t="shared" si="22"/>
        <v>151.45000000000002</v>
      </c>
      <c r="L65" s="299">
        <f t="shared" si="23"/>
        <v>136.30500000000001</v>
      </c>
      <c r="M65" s="314">
        <f t="shared" si="24"/>
        <v>12.620833333333335</v>
      </c>
      <c r="N65" s="1066"/>
      <c r="O65" s="289"/>
      <c r="P65" s="9"/>
    </row>
    <row r="66" spans="2:16" ht="18.600000000000001" thickBot="1" x14ac:dyDescent="0.4">
      <c r="B66" s="1061">
        <v>46278</v>
      </c>
      <c r="C66" s="1062"/>
      <c r="D66" s="280" t="s">
        <v>13</v>
      </c>
      <c r="E66" s="316" t="s">
        <v>631</v>
      </c>
      <c r="F66" s="317">
        <v>204</v>
      </c>
      <c r="G66" s="318" t="s">
        <v>435</v>
      </c>
      <c r="H66" s="319">
        <v>0.1</v>
      </c>
      <c r="I66" s="285">
        <f t="shared" si="4"/>
        <v>0.5</v>
      </c>
      <c r="J66" s="286">
        <v>1.3</v>
      </c>
      <c r="K66" s="287">
        <f t="shared" ref="K66:K67" si="25">IFERROR((F66*I66*J66),"")</f>
        <v>132.6</v>
      </c>
      <c r="L66" s="288">
        <f t="shared" ref="L66:L67" si="26">IFERROR(((F66*I66)*J66)*(1-H66),"")</f>
        <v>119.34</v>
      </c>
      <c r="M66" s="313">
        <f t="shared" ref="M66:M67" si="27">IFERROR((K66/12),"")</f>
        <v>11.049999999999999</v>
      </c>
      <c r="N66" s="1065">
        <f>SUM(L66:L67)</f>
        <v>262.66500000000002</v>
      </c>
      <c r="O66" s="289"/>
      <c r="P66" s="9"/>
    </row>
    <row r="67" spans="2:16" ht="18.600000000000001" thickBot="1" x14ac:dyDescent="0.4">
      <c r="B67" s="1063"/>
      <c r="C67" s="1064"/>
      <c r="D67" s="290" t="s">
        <v>14</v>
      </c>
      <c r="E67" s="302" t="s">
        <v>170</v>
      </c>
      <c r="F67" s="295">
        <v>245</v>
      </c>
      <c r="G67" s="293" t="s">
        <v>435</v>
      </c>
      <c r="H67" s="294">
        <v>0.1</v>
      </c>
      <c r="I67" s="285">
        <f t="shared" si="4"/>
        <v>0.5</v>
      </c>
      <c r="J67" s="286">
        <v>1.3</v>
      </c>
      <c r="K67" s="315">
        <f t="shared" si="25"/>
        <v>159.25</v>
      </c>
      <c r="L67" s="299">
        <f t="shared" si="26"/>
        <v>143.32500000000002</v>
      </c>
      <c r="M67" s="314">
        <f t="shared" si="27"/>
        <v>13.270833333333334</v>
      </c>
      <c r="N67" s="1066"/>
      <c r="O67" s="289"/>
      <c r="P67" s="9"/>
    </row>
    <row r="68" spans="2:16" ht="18.600000000000001" thickBot="1" x14ac:dyDescent="0.4">
      <c r="B68" s="1061">
        <v>46279</v>
      </c>
      <c r="C68" s="1062"/>
      <c r="D68" s="280" t="s">
        <v>13</v>
      </c>
      <c r="E68" s="316"/>
      <c r="F68" s="317"/>
      <c r="G68" s="318"/>
      <c r="H68" s="319"/>
      <c r="I68" s="285" t="str">
        <f t="shared" si="4"/>
        <v/>
      </c>
      <c r="J68" s="286"/>
      <c r="K68" s="287" t="str">
        <f t="shared" ref="K68:K75" si="28">IFERROR((F68*I68*J68),"")</f>
        <v/>
      </c>
      <c r="L68" s="288" t="str">
        <f t="shared" ref="L68:L75" si="29">IFERROR(((F68*I68)*J68)*(1-H68),"")</f>
        <v/>
      </c>
      <c r="M68" s="313" t="str">
        <f t="shared" ref="M68:M75" si="30">IFERROR((K68/12),"")</f>
        <v/>
      </c>
      <c r="N68" s="1065">
        <f t="shared" ref="N68" si="31">SUM(L68:L69)</f>
        <v>0</v>
      </c>
      <c r="O68" s="289"/>
      <c r="P68" s="9"/>
    </row>
    <row r="69" spans="2:16" ht="18.600000000000001" thickBot="1" x14ac:dyDescent="0.4">
      <c r="B69" s="1063"/>
      <c r="C69" s="1064"/>
      <c r="D69" s="290" t="s">
        <v>14</v>
      </c>
      <c r="E69" s="302"/>
      <c r="F69" s="295"/>
      <c r="G69" s="293"/>
      <c r="H69" s="294"/>
      <c r="I69" s="285" t="str">
        <f t="shared" si="4"/>
        <v/>
      </c>
      <c r="J69" s="286"/>
      <c r="K69" s="315" t="str">
        <f t="shared" si="28"/>
        <v/>
      </c>
      <c r="L69" s="299" t="str">
        <f t="shared" si="29"/>
        <v/>
      </c>
      <c r="M69" s="314" t="str">
        <f t="shared" si="30"/>
        <v/>
      </c>
      <c r="N69" s="1066"/>
      <c r="O69" s="289"/>
      <c r="P69" s="9"/>
    </row>
    <row r="70" spans="2:16" ht="18.600000000000001" thickBot="1" x14ac:dyDescent="0.4">
      <c r="B70" s="1061">
        <v>46280</v>
      </c>
      <c r="C70" s="1062"/>
      <c r="D70" s="280" t="s">
        <v>13</v>
      </c>
      <c r="E70" s="316"/>
      <c r="F70" s="317"/>
      <c r="G70" s="318"/>
      <c r="H70" s="319"/>
      <c r="I70" s="285" t="str">
        <f t="shared" si="4"/>
        <v/>
      </c>
      <c r="J70" s="286"/>
      <c r="K70" s="287" t="str">
        <f t="shared" si="28"/>
        <v/>
      </c>
      <c r="L70" s="288" t="str">
        <f t="shared" si="29"/>
        <v/>
      </c>
      <c r="M70" s="313" t="str">
        <f t="shared" si="30"/>
        <v/>
      </c>
      <c r="N70" s="1065">
        <f t="shared" ref="N70" si="32">SUM(L70:L71)</f>
        <v>0</v>
      </c>
      <c r="O70" s="289"/>
      <c r="P70" s="9"/>
    </row>
    <row r="71" spans="2:16" ht="18.600000000000001" thickBot="1" x14ac:dyDescent="0.4">
      <c r="B71" s="1063"/>
      <c r="C71" s="1064"/>
      <c r="D71" s="290" t="s">
        <v>14</v>
      </c>
      <c r="E71" s="302"/>
      <c r="F71" s="295"/>
      <c r="G71" s="293"/>
      <c r="H71" s="294"/>
      <c r="I71" s="285" t="str">
        <f t="shared" si="4"/>
        <v/>
      </c>
      <c r="J71" s="286"/>
      <c r="K71" s="315" t="str">
        <f t="shared" si="28"/>
        <v/>
      </c>
      <c r="L71" s="299" t="str">
        <f t="shared" si="29"/>
        <v/>
      </c>
      <c r="M71" s="314" t="str">
        <f t="shared" si="30"/>
        <v/>
      </c>
      <c r="N71" s="1066"/>
      <c r="O71" s="289"/>
      <c r="P71" s="9"/>
    </row>
    <row r="72" spans="2:16" ht="18.600000000000001" thickBot="1" x14ac:dyDescent="0.4">
      <c r="B72" s="1061">
        <v>46281</v>
      </c>
      <c r="C72" s="1062"/>
      <c r="D72" s="280" t="s">
        <v>13</v>
      </c>
      <c r="E72" s="316"/>
      <c r="F72" s="317"/>
      <c r="G72" s="318"/>
      <c r="H72" s="319"/>
      <c r="I72" s="285" t="str">
        <f t="shared" si="4"/>
        <v/>
      </c>
      <c r="J72" s="286"/>
      <c r="K72" s="287" t="str">
        <f t="shared" si="28"/>
        <v/>
      </c>
      <c r="L72" s="288" t="str">
        <f t="shared" si="29"/>
        <v/>
      </c>
      <c r="M72" s="313" t="str">
        <f t="shared" si="30"/>
        <v/>
      </c>
      <c r="N72" s="1065">
        <f t="shared" ref="N72" si="33">SUM(L72:L73)</f>
        <v>0</v>
      </c>
      <c r="O72" s="289"/>
      <c r="P72" s="9"/>
    </row>
    <row r="73" spans="2:16" ht="18.600000000000001" thickBot="1" x14ac:dyDescent="0.4">
      <c r="B73" s="1063"/>
      <c r="C73" s="1064"/>
      <c r="D73" s="290" t="s">
        <v>14</v>
      </c>
      <c r="E73" s="302"/>
      <c r="F73" s="295"/>
      <c r="G73" s="293"/>
      <c r="H73" s="294"/>
      <c r="I73" s="285" t="str">
        <f t="shared" si="4"/>
        <v/>
      </c>
      <c r="J73" s="286"/>
      <c r="K73" s="315" t="str">
        <f t="shared" si="28"/>
        <v/>
      </c>
      <c r="L73" s="299" t="str">
        <f t="shared" si="29"/>
        <v/>
      </c>
      <c r="M73" s="314" t="str">
        <f t="shared" si="30"/>
        <v/>
      </c>
      <c r="N73" s="1066"/>
      <c r="O73" s="289"/>
      <c r="P73" s="9"/>
    </row>
    <row r="74" spans="2:16" ht="18.600000000000001" thickBot="1" x14ac:dyDescent="0.4">
      <c r="B74" s="1061">
        <v>46282</v>
      </c>
      <c r="C74" s="1062"/>
      <c r="D74" s="280" t="s">
        <v>13</v>
      </c>
      <c r="E74" s="316"/>
      <c r="F74" s="317"/>
      <c r="G74" s="318"/>
      <c r="H74" s="319"/>
      <c r="I74" s="285" t="str">
        <f t="shared" si="4"/>
        <v/>
      </c>
      <c r="J74" s="286"/>
      <c r="K74" s="287" t="str">
        <f t="shared" si="28"/>
        <v/>
      </c>
      <c r="L74" s="288" t="str">
        <f t="shared" si="29"/>
        <v/>
      </c>
      <c r="M74" s="313" t="str">
        <f t="shared" si="30"/>
        <v/>
      </c>
      <c r="N74" s="1065">
        <f t="shared" ref="N74" si="34">SUM(L74:L75)</f>
        <v>0</v>
      </c>
      <c r="O74" s="289"/>
      <c r="P74" s="9"/>
    </row>
    <row r="75" spans="2:16" ht="18.600000000000001" thickBot="1" x14ac:dyDescent="0.4">
      <c r="B75" s="1063"/>
      <c r="C75" s="1064"/>
      <c r="D75" s="290" t="s">
        <v>14</v>
      </c>
      <c r="E75" s="302"/>
      <c r="F75" s="295"/>
      <c r="G75" s="293"/>
      <c r="H75" s="294"/>
      <c r="I75" s="285" t="str">
        <f t="shared" si="4"/>
        <v/>
      </c>
      <c r="J75" s="286"/>
      <c r="K75" s="315" t="str">
        <f t="shared" si="28"/>
        <v/>
      </c>
      <c r="L75" s="299" t="str">
        <f t="shared" si="29"/>
        <v/>
      </c>
      <c r="M75" s="314" t="str">
        <f t="shared" si="30"/>
        <v/>
      </c>
      <c r="N75" s="1066"/>
      <c r="O75" s="289"/>
      <c r="P75" s="9"/>
    </row>
    <row r="76" spans="2:16" ht="18.600000000000001" thickBot="1" x14ac:dyDescent="0.4">
      <c r="B76" s="1061">
        <v>46283</v>
      </c>
      <c r="C76" s="1062"/>
      <c r="D76" s="280" t="s">
        <v>13</v>
      </c>
      <c r="E76" s="316"/>
      <c r="F76" s="317"/>
      <c r="G76" s="318"/>
      <c r="H76" s="319"/>
      <c r="I76" s="285" t="str">
        <f t="shared" si="4"/>
        <v/>
      </c>
      <c r="J76" s="286"/>
      <c r="K76" s="287" t="str">
        <f t="shared" ref="K76:K79" si="35">IFERROR((F76*I76*J76),"")</f>
        <v/>
      </c>
      <c r="L76" s="288" t="str">
        <f>IFERROR(((F76*I76)*J76)*(1-H76),"")</f>
        <v/>
      </c>
      <c r="M76" s="313" t="str">
        <f t="shared" ref="M76:M79" si="36">IFERROR((K76/12),"")</f>
        <v/>
      </c>
      <c r="N76" s="1065">
        <f>SUM(L76:L77)</f>
        <v>0</v>
      </c>
      <c r="O76" s="289"/>
      <c r="P76" s="9"/>
    </row>
    <row r="77" spans="2:16" ht="18.600000000000001" thickBot="1" x14ac:dyDescent="0.4">
      <c r="B77" s="1063"/>
      <c r="C77" s="1064"/>
      <c r="D77" s="290" t="s">
        <v>14</v>
      </c>
      <c r="E77" s="302"/>
      <c r="F77" s="295"/>
      <c r="G77" s="293"/>
      <c r="H77" s="294"/>
      <c r="I77" s="285" t="str">
        <f t="shared" si="4"/>
        <v/>
      </c>
      <c r="J77" s="286"/>
      <c r="K77" s="315" t="str">
        <f t="shared" si="35"/>
        <v/>
      </c>
      <c r="L77" s="299" t="str">
        <f t="shared" ref="L77:L79" si="37">IFERROR(((F77*I77)*J77)*(1-H77),"")</f>
        <v/>
      </c>
      <c r="M77" s="314" t="str">
        <f t="shared" si="36"/>
        <v/>
      </c>
      <c r="N77" s="1066"/>
      <c r="O77" s="289"/>
      <c r="P77" s="9"/>
    </row>
    <row r="78" spans="2:16" ht="18.600000000000001" thickBot="1" x14ac:dyDescent="0.4">
      <c r="B78" s="1061">
        <v>46284</v>
      </c>
      <c r="C78" s="1062"/>
      <c r="D78" s="280" t="s">
        <v>13</v>
      </c>
      <c r="E78" s="316"/>
      <c r="F78" s="317"/>
      <c r="G78" s="318"/>
      <c r="H78" s="319"/>
      <c r="I78" s="285" t="str">
        <f t="shared" si="4"/>
        <v/>
      </c>
      <c r="J78" s="286"/>
      <c r="K78" s="287" t="str">
        <f t="shared" si="35"/>
        <v/>
      </c>
      <c r="L78" s="288" t="str">
        <f t="shared" si="37"/>
        <v/>
      </c>
      <c r="M78" s="313" t="str">
        <f t="shared" si="36"/>
        <v/>
      </c>
      <c r="N78" s="1065">
        <f t="shared" ref="N78" si="38">SUM(L78:L79)</f>
        <v>0</v>
      </c>
      <c r="O78" s="289"/>
      <c r="P78" s="9"/>
    </row>
    <row r="79" spans="2:16" ht="18.600000000000001" thickBot="1" x14ac:dyDescent="0.4">
      <c r="B79" s="1063"/>
      <c r="C79" s="1064"/>
      <c r="D79" s="290" t="s">
        <v>14</v>
      </c>
      <c r="E79" s="302"/>
      <c r="F79" s="295"/>
      <c r="G79" s="293"/>
      <c r="H79" s="294"/>
      <c r="I79" s="285" t="str">
        <f t="shared" si="4"/>
        <v/>
      </c>
      <c r="J79" s="286"/>
      <c r="K79" s="315" t="str">
        <f t="shared" si="35"/>
        <v/>
      </c>
      <c r="L79" s="299" t="str">
        <f t="shared" si="37"/>
        <v/>
      </c>
      <c r="M79" s="314" t="str">
        <f t="shared" si="36"/>
        <v/>
      </c>
      <c r="N79" s="1066"/>
      <c r="O79" s="289"/>
      <c r="P79" s="9"/>
    </row>
    <row r="80" spans="2:16" ht="18.600000000000001" thickBot="1" x14ac:dyDescent="0.4">
      <c r="B80" s="1061">
        <v>46285</v>
      </c>
      <c r="C80" s="1062"/>
      <c r="D80" s="280" t="s">
        <v>13</v>
      </c>
      <c r="E80" s="316"/>
      <c r="F80" s="317"/>
      <c r="G80" s="318"/>
      <c r="H80" s="319"/>
      <c r="I80" s="285" t="str">
        <f t="shared" si="4"/>
        <v/>
      </c>
      <c r="J80" s="286"/>
      <c r="K80" s="287" t="str">
        <f t="shared" ref="K80:K83" si="39">IFERROR((F80*I80*J80),"")</f>
        <v/>
      </c>
      <c r="L80" s="288" t="str">
        <f t="shared" ref="L80:L83" si="40">IFERROR(((F80*I80)*J80)*(1-H80),"")</f>
        <v/>
      </c>
      <c r="M80" s="313" t="str">
        <f t="shared" ref="M80:M83" si="41">IFERROR((K80/12),"")</f>
        <v/>
      </c>
      <c r="N80" s="1065">
        <f t="shared" ref="N80" si="42">SUM(L80:L81)</f>
        <v>0</v>
      </c>
      <c r="O80" s="289"/>
      <c r="P80" s="9"/>
    </row>
    <row r="81" spans="2:19" ht="18.600000000000001" thickBot="1" x14ac:dyDescent="0.4">
      <c r="B81" s="1063"/>
      <c r="C81" s="1064"/>
      <c r="D81" s="290" t="s">
        <v>14</v>
      </c>
      <c r="E81" s="302"/>
      <c r="F81" s="295"/>
      <c r="G81" s="293"/>
      <c r="H81" s="294"/>
      <c r="I81" s="285" t="str">
        <f t="shared" si="4"/>
        <v/>
      </c>
      <c r="J81" s="286"/>
      <c r="K81" s="315" t="str">
        <f t="shared" si="39"/>
        <v/>
      </c>
      <c r="L81" s="299" t="str">
        <f t="shared" si="40"/>
        <v/>
      </c>
      <c r="M81" s="314" t="str">
        <f t="shared" si="41"/>
        <v/>
      </c>
      <c r="N81" s="1066"/>
      <c r="O81" s="289"/>
      <c r="P81" s="9"/>
    </row>
    <row r="82" spans="2:19" ht="18.600000000000001" thickBot="1" x14ac:dyDescent="0.4">
      <c r="B82" s="1061">
        <v>46286</v>
      </c>
      <c r="C82" s="1062"/>
      <c r="D82" s="280" t="s">
        <v>13</v>
      </c>
      <c r="E82" s="316"/>
      <c r="F82" s="317"/>
      <c r="G82" s="318"/>
      <c r="H82" s="319"/>
      <c r="I82" s="285" t="str">
        <f t="shared" si="4"/>
        <v/>
      </c>
      <c r="J82" s="286"/>
      <c r="K82" s="287" t="str">
        <f t="shared" si="39"/>
        <v/>
      </c>
      <c r="L82" s="288" t="str">
        <f t="shared" si="40"/>
        <v/>
      </c>
      <c r="M82" s="313" t="str">
        <f t="shared" si="41"/>
        <v/>
      </c>
      <c r="N82" s="1065">
        <f t="shared" ref="N82" si="43">SUM(L82:L83)</f>
        <v>0</v>
      </c>
      <c r="O82" s="289"/>
      <c r="P82" s="9"/>
    </row>
    <row r="83" spans="2:19" ht="18.600000000000001" thickBot="1" x14ac:dyDescent="0.4">
      <c r="B83" s="1063"/>
      <c r="C83" s="1064"/>
      <c r="D83" s="290" t="s">
        <v>14</v>
      </c>
      <c r="E83" s="302"/>
      <c r="F83" s="295"/>
      <c r="G83" s="293"/>
      <c r="H83" s="294"/>
      <c r="I83" s="285" t="str">
        <f t="shared" si="4"/>
        <v/>
      </c>
      <c r="J83" s="286"/>
      <c r="K83" s="315" t="str">
        <f t="shared" si="39"/>
        <v/>
      </c>
      <c r="L83" s="299" t="str">
        <f t="shared" si="40"/>
        <v/>
      </c>
      <c r="M83" s="314" t="str">
        <f t="shared" si="41"/>
        <v/>
      </c>
      <c r="N83" s="1066"/>
      <c r="O83" s="289"/>
      <c r="P83" s="9"/>
    </row>
    <row r="84" spans="2:19" ht="18.600000000000001" thickBot="1" x14ac:dyDescent="0.4">
      <c r="B84" s="1061">
        <v>46287</v>
      </c>
      <c r="C84" s="1062"/>
      <c r="D84" s="280" t="s">
        <v>13</v>
      </c>
      <c r="E84" s="316"/>
      <c r="F84" s="317"/>
      <c r="G84" s="318"/>
      <c r="H84" s="319"/>
      <c r="I84" s="285" t="str">
        <f t="shared" si="4"/>
        <v/>
      </c>
      <c r="J84" s="286"/>
      <c r="K84" s="287" t="str">
        <f t="shared" ref="K84:K85" si="44">IFERROR((F84*I84*J84),"")</f>
        <v/>
      </c>
      <c r="L84" s="288" t="str">
        <f t="shared" ref="L84:L85" si="45">IFERROR(((F84*I84)*J84)*(1-H84),"")</f>
        <v/>
      </c>
      <c r="M84" s="313" t="str">
        <f t="shared" ref="M84:M85" si="46">IFERROR((K84/12),"")</f>
        <v/>
      </c>
      <c r="N84" s="1065">
        <f t="shared" ref="N84" si="47">SUM(L84:L85)</f>
        <v>0</v>
      </c>
      <c r="O84" s="289"/>
      <c r="P84" s="9"/>
    </row>
    <row r="85" spans="2:19" ht="18.600000000000001" thickBot="1" x14ac:dyDescent="0.4">
      <c r="B85" s="1063"/>
      <c r="C85" s="1064"/>
      <c r="D85" s="290" t="s">
        <v>14</v>
      </c>
      <c r="E85" s="302"/>
      <c r="F85" s="295"/>
      <c r="G85" s="293"/>
      <c r="H85" s="294"/>
      <c r="I85" s="285" t="str">
        <f t="shared" si="4"/>
        <v/>
      </c>
      <c r="J85" s="286"/>
      <c r="K85" s="315" t="str">
        <f t="shared" si="44"/>
        <v/>
      </c>
      <c r="L85" s="299" t="str">
        <f t="shared" si="45"/>
        <v/>
      </c>
      <c r="M85" s="314" t="str">
        <f t="shared" si="46"/>
        <v/>
      </c>
      <c r="N85" s="1066"/>
      <c r="O85" s="289"/>
      <c r="P85" s="9"/>
    </row>
    <row r="86" spans="2:19" ht="18" x14ac:dyDescent="0.35">
      <c r="B86" s="1069" t="s">
        <v>17</v>
      </c>
      <c r="C86" s="1070"/>
      <c r="D86" s="323"/>
      <c r="E86" s="324"/>
      <c r="F86" s="325">
        <f>AVERAGE(F6:F85)</f>
        <v>219.66666666666666</v>
      </c>
      <c r="G86" s="326"/>
      <c r="H86" s="327">
        <f>AVERAGE(H6:H83)</f>
        <v>0.11380952380952386</v>
      </c>
      <c r="I86" s="328" t="str">
        <f t="shared" si="4"/>
        <v/>
      </c>
      <c r="J86" s="329"/>
      <c r="K86" s="330">
        <f>AVERAGE(K6:K67)</f>
        <v>150.69119047619046</v>
      </c>
      <c r="L86" s="331">
        <f>AVERAGE(L6:L79)</f>
        <v>134.0386</v>
      </c>
      <c r="M86" s="332">
        <f>AVERAGE(M6:M16)</f>
        <v>12.786250000000001</v>
      </c>
      <c r="N86" s="339">
        <f>AVERAGE(N6:N83)</f>
        <v>72.174630769230788</v>
      </c>
      <c r="O86" s="289"/>
      <c r="S86" s="4"/>
    </row>
    <row r="87" spans="2:19" ht="18.600000000000001" thickBot="1" x14ac:dyDescent="0.4">
      <c r="B87" s="1071" t="s">
        <v>18</v>
      </c>
      <c r="C87" s="1072"/>
      <c r="D87" s="333"/>
      <c r="E87" s="333"/>
      <c r="F87" s="334">
        <f>SUM(F6:F83)</f>
        <v>4613</v>
      </c>
      <c r="G87" s="333"/>
      <c r="H87" s="335"/>
      <c r="I87" s="335"/>
      <c r="J87" s="333"/>
      <c r="K87" s="336"/>
      <c r="L87" s="337"/>
      <c r="M87" s="333"/>
      <c r="N87" s="340">
        <f>SUM(N6:N85)</f>
        <v>2814.8106000000007</v>
      </c>
      <c r="O87" s="289"/>
      <c r="Q87" s="4"/>
      <c r="R87" s="4"/>
      <c r="S87" s="2"/>
    </row>
    <row r="88" spans="2:19" ht="15" thickBot="1" x14ac:dyDescent="0.35">
      <c r="D88" s="7"/>
      <c r="F88" s="269"/>
      <c r="H88" s="272"/>
      <c r="I88" s="274"/>
    </row>
    <row r="89" spans="2:19" x14ac:dyDescent="0.3">
      <c r="K89" s="11"/>
      <c r="N89" s="993"/>
    </row>
    <row r="90" spans="2:19" x14ac:dyDescent="0.3">
      <c r="F90" s="270"/>
      <c r="I90" s="270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91" t="s">
        <v>123</v>
      </c>
      <c r="C1" s="1091"/>
      <c r="D1" s="1091"/>
      <c r="E1" s="1091"/>
      <c r="F1" s="1091"/>
      <c r="G1" s="1091"/>
      <c r="H1" s="1091"/>
      <c r="I1" s="1091"/>
      <c r="J1" s="1091"/>
      <c r="K1" s="1091"/>
      <c r="L1" s="1091"/>
    </row>
    <row r="2" spans="1:27" ht="18" x14ac:dyDescent="0.35">
      <c r="F2" s="1097" t="s">
        <v>425</v>
      </c>
      <c r="G2" s="1097"/>
      <c r="H2" s="1097"/>
      <c r="I2" s="1097"/>
      <c r="J2" s="1097"/>
    </row>
    <row r="3" spans="1:27" ht="15" thickBot="1" x14ac:dyDescent="0.35">
      <c r="A3" s="1092" t="s">
        <v>199</v>
      </c>
      <c r="B3" s="1093"/>
      <c r="C3" s="1093"/>
      <c r="D3" s="1093"/>
      <c r="E3" s="1093"/>
      <c r="F3" s="1093"/>
      <c r="G3" s="1094"/>
    </row>
    <row r="4" spans="1:27" ht="15" thickBot="1" x14ac:dyDescent="0.35">
      <c r="A4" s="1095" t="s">
        <v>1</v>
      </c>
      <c r="B4" s="109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60"/>
      <c r="B5" s="261"/>
      <c r="C5" s="262"/>
      <c r="D5" s="263"/>
      <c r="E5" s="263"/>
      <c r="F5" s="263"/>
      <c r="G5" s="264"/>
      <c r="J5" s="16"/>
      <c r="K5" s="16"/>
      <c r="L5" s="16"/>
      <c r="M5" s="16"/>
      <c r="N5" s="145"/>
    </row>
    <row r="6" spans="1:27" x14ac:dyDescent="0.3">
      <c r="A6" s="1087">
        <v>46252</v>
      </c>
      <c r="B6" s="1088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5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87">
        <v>46253</v>
      </c>
      <c r="B7" s="1088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6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87">
        <v>46254</v>
      </c>
      <c r="B8" s="1088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89" t="s">
        <v>210</v>
      </c>
      <c r="AA8" s="1090"/>
    </row>
    <row r="9" spans="1:27" x14ac:dyDescent="0.3">
      <c r="A9" s="1087">
        <v>46255</v>
      </c>
      <c r="B9" s="1088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8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87">
        <v>46256</v>
      </c>
      <c r="B10" s="1088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4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87">
        <v>46257</v>
      </c>
      <c r="B11" s="1088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4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87">
        <v>46258</v>
      </c>
      <c r="B12" s="1088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5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87">
        <v>46259</v>
      </c>
      <c r="B13" s="1088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6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87">
        <v>46260</v>
      </c>
      <c r="B14" s="1088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6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87">
        <v>46261</v>
      </c>
      <c r="B15" s="1088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1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87">
        <v>46262</v>
      </c>
      <c r="B16" s="1088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9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87">
        <v>46263</v>
      </c>
      <c r="B17" s="1088"/>
      <c r="C17" s="399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0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87">
        <v>46264</v>
      </c>
      <c r="B18" s="1088"/>
      <c r="C18" s="409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87">
        <v>46265</v>
      </c>
      <c r="B19" s="1088"/>
      <c r="C19" s="65"/>
      <c r="D19" s="61"/>
      <c r="E19" s="61"/>
      <c r="F19" s="62">
        <f t="shared" si="0"/>
        <v>0</v>
      </c>
      <c r="G19" s="410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87">
        <v>46266</v>
      </c>
      <c r="B20" s="108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87">
        <v>46267</v>
      </c>
      <c r="B21" s="108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87">
        <v>46268</v>
      </c>
      <c r="B22" s="108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87">
        <v>46269</v>
      </c>
      <c r="B23" s="108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87">
        <v>46270</v>
      </c>
      <c r="B24" s="108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87">
        <v>46271</v>
      </c>
      <c r="B25" s="108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87">
        <v>46272</v>
      </c>
      <c r="B26" s="108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87">
        <v>46273</v>
      </c>
      <c r="B27" s="108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87">
        <v>46274</v>
      </c>
      <c r="B28" s="108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87">
        <v>46275</v>
      </c>
      <c r="B29" s="1088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87">
        <v>46276</v>
      </c>
      <c r="B30" s="1088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87">
        <v>46277</v>
      </c>
      <c r="B31" s="1088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87">
        <v>46278</v>
      </c>
      <c r="B32" s="1088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87">
        <v>46279</v>
      </c>
      <c r="B33" s="1088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87">
        <v>46280</v>
      </c>
      <c r="B34" s="1088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87">
        <v>46281</v>
      </c>
      <c r="B35" s="1088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87">
        <v>46282</v>
      </c>
      <c r="B36" s="108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87">
        <v>46283</v>
      </c>
      <c r="B37" s="1088"/>
      <c r="C37" s="65"/>
      <c r="D37" s="61"/>
      <c r="E37" s="61"/>
      <c r="F37" s="62"/>
      <c r="G37" s="66"/>
      <c r="J37" s="255"/>
      <c r="K37" s="67"/>
      <c r="L37" s="117"/>
      <c r="M37" s="118"/>
      <c r="N37" s="6"/>
    </row>
    <row r="38" spans="1:15" x14ac:dyDescent="0.3">
      <c r="A38" s="1087">
        <v>46284</v>
      </c>
      <c r="B38" s="108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87">
        <v>46285</v>
      </c>
      <c r="B39" s="108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87">
        <v>46286</v>
      </c>
      <c r="B40" s="108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87">
        <v>46287</v>
      </c>
      <c r="B41" s="108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87">
        <v>46288</v>
      </c>
      <c r="B42" s="108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H14" zoomScaleNormal="100" workbookViewId="0">
      <selection activeCell="Q27" sqref="Q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38" t="s">
        <v>465</v>
      </c>
      <c r="C2" s="1038"/>
      <c r="D2" s="1038"/>
      <c r="E2" s="1038"/>
      <c r="F2" s="1038"/>
      <c r="G2" s="1038"/>
      <c r="H2" s="1038"/>
      <c r="T2" s="1101" t="s">
        <v>506</v>
      </c>
      <c r="U2" s="1101"/>
      <c r="V2" s="1101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3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3" t="s">
        <v>462</v>
      </c>
      <c r="Q3" s="15" t="s">
        <v>463</v>
      </c>
      <c r="R3" s="15" t="s">
        <v>464</v>
      </c>
      <c r="S3" s="15" t="s">
        <v>344</v>
      </c>
      <c r="T3" s="257" t="s">
        <v>254</v>
      </c>
      <c r="U3" s="257" t="s">
        <v>255</v>
      </c>
      <c r="V3" s="257" t="s">
        <v>256</v>
      </c>
    </row>
    <row r="4" spans="2:28" x14ac:dyDescent="0.3">
      <c r="B4" s="595">
        <v>1</v>
      </c>
      <c r="C4" s="1098">
        <v>1</v>
      </c>
      <c r="D4" s="631" t="s">
        <v>467</v>
      </c>
      <c r="E4" s="632">
        <v>46265</v>
      </c>
      <c r="F4" s="631">
        <v>1.0229999999999999</v>
      </c>
      <c r="G4" s="631">
        <v>0.31</v>
      </c>
      <c r="H4" s="631">
        <v>6.1559999999999997</v>
      </c>
      <c r="M4" s="237">
        <v>1</v>
      </c>
      <c r="N4" s="14">
        <v>1</v>
      </c>
      <c r="O4" s="6" t="s">
        <v>496</v>
      </c>
      <c r="P4" s="44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5">
        <v>2</v>
      </c>
      <c r="C5" s="1099"/>
      <c r="D5" s="631" t="s">
        <v>468</v>
      </c>
      <c r="E5" s="632">
        <v>46265</v>
      </c>
      <c r="F5" s="631">
        <v>0.94899999999999995</v>
      </c>
      <c r="G5" s="631">
        <v>0.51300000000000001</v>
      </c>
      <c r="H5" s="631">
        <v>5.9560000000000004</v>
      </c>
      <c r="M5" s="237">
        <v>2</v>
      </c>
      <c r="N5" s="14">
        <v>1</v>
      </c>
      <c r="O5" s="6" t="s">
        <v>497</v>
      </c>
      <c r="P5" s="44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5">
        <v>3</v>
      </c>
      <c r="C6" s="1099"/>
      <c r="D6" s="631" t="s">
        <v>469</v>
      </c>
      <c r="E6" s="632">
        <v>46265</v>
      </c>
      <c r="F6" s="631">
        <v>0.92900000000000005</v>
      </c>
      <c r="G6" s="631">
        <v>0.40699999999999997</v>
      </c>
      <c r="H6" s="631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498</v>
      </c>
      <c r="P6" s="44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5">
        <v>4</v>
      </c>
      <c r="C7" s="1099"/>
      <c r="D7" s="631" t="s">
        <v>470</v>
      </c>
      <c r="E7" s="632">
        <v>46265</v>
      </c>
      <c r="F7" s="631">
        <v>0.64100000000000001</v>
      </c>
      <c r="G7" s="631">
        <v>0.55700000000000005</v>
      </c>
      <c r="H7" s="631">
        <v>7.72</v>
      </c>
      <c r="M7" s="237">
        <v>4</v>
      </c>
      <c r="N7" s="14">
        <v>1</v>
      </c>
      <c r="O7" s="6" t="s">
        <v>499</v>
      </c>
      <c r="P7" s="44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5">
        <v>5</v>
      </c>
      <c r="C8" s="1099"/>
      <c r="D8" s="631" t="s">
        <v>471</v>
      </c>
      <c r="E8" s="632">
        <v>46265</v>
      </c>
      <c r="F8" s="631">
        <v>0.63700000000000001</v>
      </c>
      <c r="G8" s="631">
        <v>0.502</v>
      </c>
      <c r="H8" s="631">
        <v>7.51</v>
      </c>
      <c r="M8" s="465">
        <v>5</v>
      </c>
      <c r="N8" s="466">
        <v>1</v>
      </c>
      <c r="O8" s="467" t="s">
        <v>500</v>
      </c>
      <c r="P8" s="468">
        <v>46265</v>
      </c>
      <c r="Q8" s="467">
        <v>1.123</v>
      </c>
      <c r="R8" s="467">
        <v>0.28899999999999998</v>
      </c>
      <c r="S8" s="467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5">
        <v>6</v>
      </c>
      <c r="C9" s="1099"/>
      <c r="D9" s="631" t="s">
        <v>472</v>
      </c>
      <c r="E9" s="632">
        <v>46265</v>
      </c>
      <c r="F9" s="631">
        <v>0.54900000000000004</v>
      </c>
      <c r="G9" s="631">
        <v>0.52600000000000002</v>
      </c>
      <c r="H9" s="631">
        <v>7.64</v>
      </c>
      <c r="M9" s="237">
        <v>6</v>
      </c>
      <c r="N9" s="14">
        <v>1</v>
      </c>
      <c r="O9" s="6" t="s">
        <v>501</v>
      </c>
      <c r="P9" s="44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5">
        <v>7</v>
      </c>
      <c r="C10" s="1099"/>
      <c r="D10" s="631" t="s">
        <v>467</v>
      </c>
      <c r="E10" s="632">
        <v>46266</v>
      </c>
      <c r="F10" s="631">
        <v>0.64600000000000002</v>
      </c>
      <c r="G10" s="631">
        <v>0.68100000000000005</v>
      </c>
      <c r="H10" s="631">
        <v>7.62</v>
      </c>
      <c r="M10" s="237">
        <v>7</v>
      </c>
      <c r="N10" s="14">
        <v>1</v>
      </c>
      <c r="O10" s="6" t="s">
        <v>496</v>
      </c>
      <c r="P10" s="44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5">
        <v>8</v>
      </c>
      <c r="C11" s="1099"/>
      <c r="D11" s="631" t="s">
        <v>468</v>
      </c>
      <c r="E11" s="632">
        <v>46266</v>
      </c>
      <c r="F11" s="631">
        <v>0.64500000000000002</v>
      </c>
      <c r="G11" s="631">
        <v>0.68700000000000006</v>
      </c>
      <c r="H11" s="631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497</v>
      </c>
      <c r="P11" s="44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5">
        <v>9</v>
      </c>
      <c r="C12" s="1099"/>
      <c r="D12" s="631" t="s">
        <v>469</v>
      </c>
      <c r="E12" s="632">
        <v>46266</v>
      </c>
      <c r="F12" s="631">
        <v>0.65</v>
      </c>
      <c r="G12" s="631">
        <v>0.65500000000000003</v>
      </c>
      <c r="H12" s="631">
        <v>7.43</v>
      </c>
      <c r="M12" s="237">
        <v>9</v>
      </c>
      <c r="N12" s="14">
        <v>1</v>
      </c>
      <c r="O12" s="6" t="s">
        <v>498</v>
      </c>
      <c r="P12" s="44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5">
        <v>10</v>
      </c>
      <c r="C13" s="1099"/>
      <c r="D13" s="631" t="s">
        <v>470</v>
      </c>
      <c r="E13" s="632">
        <v>46266</v>
      </c>
      <c r="F13" s="631">
        <v>0.64100000000000001</v>
      </c>
      <c r="G13" s="631">
        <v>0.55700000000000005</v>
      </c>
      <c r="H13" s="631">
        <v>7.72</v>
      </c>
      <c r="M13" s="465">
        <v>10</v>
      </c>
      <c r="N13" s="466">
        <v>1</v>
      </c>
      <c r="O13" s="467" t="s">
        <v>500</v>
      </c>
      <c r="P13" s="468">
        <v>46266</v>
      </c>
      <c r="Q13" s="467">
        <v>0.73699999999999999</v>
      </c>
      <c r="R13" s="467">
        <v>0.81499999999999995</v>
      </c>
      <c r="S13" s="467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5">
        <v>11</v>
      </c>
      <c r="C14" s="1099"/>
      <c r="D14" s="631" t="s">
        <v>471</v>
      </c>
      <c r="E14" s="632">
        <v>46266</v>
      </c>
      <c r="F14" s="631">
        <v>0.63700000000000001</v>
      </c>
      <c r="G14" s="631">
        <v>0.502</v>
      </c>
      <c r="H14" s="631">
        <v>7.51</v>
      </c>
      <c r="M14" s="237">
        <v>11</v>
      </c>
      <c r="N14" s="14">
        <v>1</v>
      </c>
      <c r="O14" s="6" t="s">
        <v>502</v>
      </c>
      <c r="P14" s="44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5">
        <v>12</v>
      </c>
      <c r="C15" s="1100"/>
      <c r="D15" s="631" t="s">
        <v>472</v>
      </c>
      <c r="E15" s="632">
        <v>46266</v>
      </c>
      <c r="F15" s="631">
        <v>0.54900000000000004</v>
      </c>
      <c r="G15" s="631">
        <v>0.52600000000000002</v>
      </c>
      <c r="H15" s="631">
        <v>7.64</v>
      </c>
      <c r="M15" s="237">
        <v>12</v>
      </c>
      <c r="N15" s="14">
        <v>1</v>
      </c>
      <c r="O15" s="6" t="s">
        <v>503</v>
      </c>
      <c r="P15" s="44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3">
        <v>13</v>
      </c>
      <c r="C16" s="1102">
        <v>2</v>
      </c>
      <c r="D16" s="634" t="s">
        <v>467</v>
      </c>
      <c r="E16" s="635">
        <v>46267</v>
      </c>
      <c r="F16" s="634">
        <v>0.66</v>
      </c>
      <c r="G16" s="634">
        <v>0.32</v>
      </c>
      <c r="H16" s="634">
        <v>9.6300000000000008</v>
      </c>
      <c r="M16" s="237">
        <v>13</v>
      </c>
      <c r="N16" s="14">
        <v>2</v>
      </c>
      <c r="O16" s="6" t="s">
        <v>504</v>
      </c>
      <c r="P16" s="44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3">
        <v>14</v>
      </c>
      <c r="C17" s="1103"/>
      <c r="D17" s="634" t="s">
        <v>468</v>
      </c>
      <c r="E17" s="635">
        <v>46267</v>
      </c>
      <c r="F17" s="634">
        <v>0.82399999999999995</v>
      </c>
      <c r="G17" s="634">
        <v>0.67</v>
      </c>
      <c r="H17" s="634">
        <v>9.7899999999999991</v>
      </c>
      <c r="M17" s="237">
        <v>14</v>
      </c>
      <c r="N17" s="14">
        <v>2</v>
      </c>
      <c r="O17" s="6" t="s">
        <v>505</v>
      </c>
      <c r="P17" s="44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3">
        <v>15</v>
      </c>
      <c r="C18" s="1103"/>
      <c r="D18" s="634" t="s">
        <v>469</v>
      </c>
      <c r="E18" s="635">
        <v>46267</v>
      </c>
      <c r="F18" s="634">
        <v>0.75</v>
      </c>
      <c r="G18" s="634">
        <v>0.78</v>
      </c>
      <c r="H18" s="634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5">
        <v>15</v>
      </c>
      <c r="N18" s="466">
        <v>2</v>
      </c>
      <c r="O18" s="467" t="s">
        <v>500</v>
      </c>
      <c r="P18" s="468">
        <v>46267</v>
      </c>
      <c r="Q18" s="467">
        <v>0.95899999999999996</v>
      </c>
      <c r="R18" s="467">
        <v>0.62</v>
      </c>
      <c r="S18" s="467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3">
        <v>16</v>
      </c>
      <c r="C19" s="1103"/>
      <c r="D19" s="634" t="s">
        <v>470</v>
      </c>
      <c r="E19" s="635">
        <v>46267</v>
      </c>
      <c r="F19" s="636">
        <v>0.63200000000000001</v>
      </c>
      <c r="G19" s="634">
        <v>1.103</v>
      </c>
      <c r="H19" s="634">
        <v>9.26</v>
      </c>
      <c r="M19" s="237">
        <v>16</v>
      </c>
      <c r="N19" s="14">
        <v>2</v>
      </c>
      <c r="O19" s="6" t="s">
        <v>497</v>
      </c>
      <c r="P19" s="44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3">
        <v>17</v>
      </c>
      <c r="C20" s="1103"/>
      <c r="D20" s="634" t="s">
        <v>471</v>
      </c>
      <c r="E20" s="635">
        <v>46267</v>
      </c>
      <c r="F20" s="634">
        <v>0.63100000000000001</v>
      </c>
      <c r="G20" s="634">
        <v>1.008</v>
      </c>
      <c r="H20" s="634">
        <v>9.24</v>
      </c>
      <c r="M20" s="237">
        <v>17</v>
      </c>
      <c r="N20" s="14">
        <v>2</v>
      </c>
      <c r="O20" s="6" t="s">
        <v>498</v>
      </c>
      <c r="P20" s="44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3">
        <v>18</v>
      </c>
      <c r="C21" s="1103"/>
      <c r="D21" s="634" t="s">
        <v>472</v>
      </c>
      <c r="E21" s="635">
        <v>46267</v>
      </c>
      <c r="F21" s="634">
        <v>0.67500000000000004</v>
      </c>
      <c r="G21" s="634">
        <v>1.089</v>
      </c>
      <c r="H21" s="634">
        <v>9.27</v>
      </c>
      <c r="M21" s="465">
        <v>18</v>
      </c>
      <c r="N21" s="466">
        <v>2</v>
      </c>
      <c r="O21" s="467" t="s">
        <v>500</v>
      </c>
      <c r="P21" s="468">
        <v>46268</v>
      </c>
      <c r="Q21" s="467">
        <v>0.76400000000000001</v>
      </c>
      <c r="R21" s="467">
        <v>0.67</v>
      </c>
      <c r="S21" s="467">
        <v>7.17</v>
      </c>
      <c r="T21" s="243">
        <f>AVERAGE(Q19:Q21)</f>
        <v>0.79766666666666663</v>
      </c>
      <c r="U21" s="243">
        <f t="shared" ref="U21:V21" si="12">AVERAGE(R19:R21)</f>
        <v>0.66</v>
      </c>
      <c r="V21" s="243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3">
        <v>19</v>
      </c>
      <c r="C22" s="1103"/>
      <c r="D22" s="634" t="s">
        <v>467</v>
      </c>
      <c r="E22" s="635">
        <v>46268</v>
      </c>
      <c r="F22" s="634">
        <v>0.66800000000000004</v>
      </c>
      <c r="G22" s="634">
        <v>0.61</v>
      </c>
      <c r="H22" s="634">
        <v>8.17</v>
      </c>
      <c r="M22" s="237">
        <v>19</v>
      </c>
      <c r="N22" s="14">
        <v>3</v>
      </c>
      <c r="O22" s="6" t="s">
        <v>501</v>
      </c>
      <c r="P22" s="44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3">
        <v>20</v>
      </c>
      <c r="C23" s="1103"/>
      <c r="D23" s="634" t="s">
        <v>468</v>
      </c>
      <c r="E23" s="635">
        <v>46268</v>
      </c>
      <c r="F23" s="634">
        <v>0.59399999999999997</v>
      </c>
      <c r="G23" s="634">
        <v>0.71</v>
      </c>
      <c r="H23" s="634">
        <v>7.54</v>
      </c>
      <c r="M23" s="237">
        <v>20</v>
      </c>
      <c r="N23" s="14">
        <v>3</v>
      </c>
      <c r="O23" s="6" t="s">
        <v>496</v>
      </c>
      <c r="P23" s="44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3">
        <v>21</v>
      </c>
      <c r="C24" s="1104"/>
      <c r="D24" s="634" t="s">
        <v>469</v>
      </c>
      <c r="E24" s="635">
        <v>46268</v>
      </c>
      <c r="F24" s="634">
        <v>0.72199999999999998</v>
      </c>
      <c r="G24" s="634">
        <v>0.85</v>
      </c>
      <c r="H24" s="634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497</v>
      </c>
      <c r="P24" s="44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5">
        <v>22</v>
      </c>
      <c r="C25" s="1098">
        <v>3</v>
      </c>
      <c r="D25" s="631" t="s">
        <v>470</v>
      </c>
      <c r="E25" s="632">
        <v>46270</v>
      </c>
      <c r="F25" s="631">
        <v>1.0980000000000001</v>
      </c>
      <c r="G25" s="631">
        <v>0.82</v>
      </c>
      <c r="H25" s="631">
        <v>8.17</v>
      </c>
      <c r="M25" s="237">
        <v>21</v>
      </c>
      <c r="N25" s="14">
        <v>3</v>
      </c>
      <c r="O25" s="6" t="s">
        <v>499</v>
      </c>
      <c r="P25" s="44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5">
        <v>23</v>
      </c>
      <c r="C26" s="1099"/>
      <c r="D26" s="631" t="s">
        <v>471</v>
      </c>
      <c r="E26" s="632">
        <v>46270</v>
      </c>
      <c r="F26" s="631">
        <v>1.0880000000000001</v>
      </c>
      <c r="G26" s="631">
        <v>0.75</v>
      </c>
      <c r="H26" s="631">
        <v>8.1</v>
      </c>
      <c r="M26" s="465">
        <v>21</v>
      </c>
      <c r="N26" s="466">
        <v>3</v>
      </c>
      <c r="O26" s="467" t="s">
        <v>500</v>
      </c>
      <c r="P26" s="468">
        <v>46271</v>
      </c>
      <c r="Q26" s="467">
        <v>1.1679999999999999</v>
      </c>
      <c r="R26" s="467">
        <v>0.83</v>
      </c>
      <c r="S26" s="467">
        <v>9.84</v>
      </c>
    </row>
    <row r="27" spans="2:28" x14ac:dyDescent="0.3">
      <c r="B27" s="595">
        <v>24</v>
      </c>
      <c r="C27" s="1099"/>
      <c r="D27" s="631" t="s">
        <v>472</v>
      </c>
      <c r="E27" s="632">
        <v>46270</v>
      </c>
      <c r="F27" s="631">
        <v>1.075</v>
      </c>
      <c r="G27" s="631">
        <v>0.75</v>
      </c>
      <c r="H27" s="631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5">
        <v>25</v>
      </c>
      <c r="C28" s="1099"/>
      <c r="D28" s="631" t="s">
        <v>467</v>
      </c>
      <c r="E28" s="632">
        <v>46271</v>
      </c>
      <c r="F28" s="631">
        <v>0.92</v>
      </c>
      <c r="G28" s="631">
        <v>0.56999999999999995</v>
      </c>
      <c r="H28" s="631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5">
        <v>26</v>
      </c>
      <c r="C29" s="1099"/>
      <c r="D29" s="631" t="s">
        <v>468</v>
      </c>
      <c r="E29" s="632">
        <v>46271</v>
      </c>
      <c r="F29" s="631">
        <v>0.86</v>
      </c>
      <c r="G29" s="631">
        <v>0.54</v>
      </c>
      <c r="H29" s="631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5">
        <v>27</v>
      </c>
      <c r="C30" s="1099"/>
      <c r="D30" s="631" t="s">
        <v>469</v>
      </c>
      <c r="E30" s="632">
        <v>46271</v>
      </c>
      <c r="F30" s="631">
        <v>0.92700000000000005</v>
      </c>
      <c r="G30" s="631">
        <v>0.6</v>
      </c>
      <c r="H30" s="631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5">
        <v>28</v>
      </c>
      <c r="C31" s="1099"/>
      <c r="D31" s="631" t="s">
        <v>470</v>
      </c>
      <c r="E31" s="632">
        <v>46271</v>
      </c>
      <c r="F31" s="631">
        <v>0.78800000000000003</v>
      </c>
      <c r="G31" s="631">
        <v>0.62</v>
      </c>
      <c r="H31" s="631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5">
        <v>29</v>
      </c>
      <c r="C32" s="1099"/>
      <c r="D32" s="631" t="s">
        <v>471</v>
      </c>
      <c r="E32" s="632">
        <v>46271</v>
      </c>
      <c r="F32" s="631">
        <v>0.74199999999999999</v>
      </c>
      <c r="G32" s="631">
        <v>0.6</v>
      </c>
      <c r="H32" s="631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5">
        <v>30</v>
      </c>
      <c r="C33" s="1099"/>
      <c r="D33" s="631" t="s">
        <v>472</v>
      </c>
      <c r="E33" s="632">
        <v>46271</v>
      </c>
      <c r="F33" s="631">
        <v>0.91300000000000003</v>
      </c>
      <c r="G33" s="631">
        <v>0.68</v>
      </c>
      <c r="H33" s="631">
        <v>9.42</v>
      </c>
    </row>
    <row r="34" spans="2:8" x14ac:dyDescent="0.3">
      <c r="B34" s="595">
        <v>31</v>
      </c>
      <c r="C34" s="1099"/>
      <c r="D34" s="631" t="s">
        <v>467</v>
      </c>
      <c r="E34" s="632">
        <v>46272</v>
      </c>
      <c r="F34" s="631">
        <v>0.91100000000000003</v>
      </c>
      <c r="G34" s="631">
        <v>0.95</v>
      </c>
      <c r="H34" s="631">
        <v>9.3800000000000008</v>
      </c>
    </row>
    <row r="35" spans="2:8" x14ac:dyDescent="0.3">
      <c r="B35" s="595">
        <v>32</v>
      </c>
      <c r="C35" s="1099"/>
      <c r="D35" s="631" t="s">
        <v>468</v>
      </c>
      <c r="E35" s="632">
        <v>46272</v>
      </c>
      <c r="F35" s="631">
        <v>0.95199999999999996</v>
      </c>
      <c r="G35" s="631">
        <v>0.98</v>
      </c>
      <c r="H35" s="631">
        <v>9.4</v>
      </c>
    </row>
    <row r="36" spans="2:8" x14ac:dyDescent="0.3">
      <c r="B36" s="595">
        <v>33</v>
      </c>
      <c r="C36" s="1100"/>
      <c r="D36" s="631" t="s">
        <v>469</v>
      </c>
      <c r="E36" s="632">
        <v>46272</v>
      </c>
      <c r="F36" s="631">
        <v>0.873</v>
      </c>
      <c r="G36" s="631">
        <v>0.93</v>
      </c>
      <c r="H36" s="631">
        <v>9.41</v>
      </c>
    </row>
    <row r="37" spans="2:8" x14ac:dyDescent="0.3">
      <c r="B37" s="633">
        <v>34</v>
      </c>
      <c r="C37" s="1102">
        <v>4</v>
      </c>
      <c r="D37" s="634" t="s">
        <v>470</v>
      </c>
      <c r="E37" s="635">
        <v>46272</v>
      </c>
      <c r="F37" s="634">
        <v>0.53100000000000003</v>
      </c>
      <c r="G37" s="634">
        <v>1.07</v>
      </c>
      <c r="H37" s="634">
        <v>8.8699999999999992</v>
      </c>
    </row>
    <row r="38" spans="2:8" x14ac:dyDescent="0.3">
      <c r="B38" s="633">
        <v>35</v>
      </c>
      <c r="C38" s="1103"/>
      <c r="D38" s="634" t="s">
        <v>471</v>
      </c>
      <c r="E38" s="635">
        <v>46272</v>
      </c>
      <c r="F38" s="634">
        <v>0.501</v>
      </c>
      <c r="G38" s="634">
        <v>1.1200000000000001</v>
      </c>
      <c r="H38" s="634">
        <v>8.99</v>
      </c>
    </row>
    <row r="39" spans="2:8" x14ac:dyDescent="0.3">
      <c r="B39" s="633">
        <v>36</v>
      </c>
      <c r="C39" s="1103"/>
      <c r="D39" s="634" t="s">
        <v>472</v>
      </c>
      <c r="E39" s="635">
        <v>46272</v>
      </c>
      <c r="F39" s="634">
        <v>0.55900000000000005</v>
      </c>
      <c r="G39" s="634">
        <v>1.02</v>
      </c>
      <c r="H39" s="634">
        <v>8.92</v>
      </c>
    </row>
    <row r="40" spans="2:8" x14ac:dyDescent="0.3">
      <c r="B40" s="633">
        <v>37</v>
      </c>
      <c r="C40" s="1103"/>
      <c r="D40" s="634" t="s">
        <v>467</v>
      </c>
      <c r="E40" s="635">
        <v>46273</v>
      </c>
      <c r="F40" s="634">
        <v>0.66400000000000003</v>
      </c>
      <c r="G40" s="634">
        <v>0.98</v>
      </c>
      <c r="H40" s="634">
        <v>9.0500000000000007</v>
      </c>
    </row>
    <row r="41" spans="2:8" x14ac:dyDescent="0.3">
      <c r="B41" s="633">
        <v>38</v>
      </c>
      <c r="C41" s="1103"/>
      <c r="D41" s="634" t="s">
        <v>468</v>
      </c>
      <c r="E41" s="635">
        <v>46273</v>
      </c>
      <c r="F41" s="634">
        <v>0.64500000000000002</v>
      </c>
      <c r="G41" s="634">
        <v>0.94</v>
      </c>
      <c r="H41" s="634">
        <v>9.0299999999999994</v>
      </c>
    </row>
    <row r="42" spans="2:8" x14ac:dyDescent="0.3">
      <c r="B42" s="633">
        <v>39</v>
      </c>
      <c r="C42" s="1103"/>
      <c r="D42" s="634" t="s">
        <v>469</v>
      </c>
      <c r="E42" s="635">
        <v>46273</v>
      </c>
      <c r="F42" s="634">
        <v>0.63100000000000001</v>
      </c>
      <c r="G42" s="634">
        <v>0.97</v>
      </c>
      <c r="H42" s="634">
        <v>9.23</v>
      </c>
    </row>
    <row r="43" spans="2:8" x14ac:dyDescent="0.3">
      <c r="B43" s="633">
        <v>40</v>
      </c>
      <c r="C43" s="1103"/>
      <c r="D43" s="634" t="s">
        <v>470</v>
      </c>
      <c r="E43" s="635">
        <v>46273</v>
      </c>
      <c r="F43" s="634">
        <v>0.61</v>
      </c>
      <c r="G43" s="634">
        <v>1.01</v>
      </c>
      <c r="H43" s="634">
        <v>7.79</v>
      </c>
    </row>
    <row r="44" spans="2:8" x14ac:dyDescent="0.3">
      <c r="B44" s="633">
        <v>41</v>
      </c>
      <c r="C44" s="1103"/>
      <c r="D44" s="634" t="s">
        <v>471</v>
      </c>
      <c r="E44" s="635">
        <v>46273</v>
      </c>
      <c r="F44" s="634">
        <v>0.63300000000000001</v>
      </c>
      <c r="G44" s="634">
        <v>1.05</v>
      </c>
      <c r="H44" s="634">
        <v>7.71</v>
      </c>
    </row>
    <row r="45" spans="2:8" x14ac:dyDescent="0.3">
      <c r="B45" s="633">
        <v>42</v>
      </c>
      <c r="C45" s="1103"/>
      <c r="D45" s="634" t="s">
        <v>472</v>
      </c>
      <c r="E45" s="635">
        <v>46273</v>
      </c>
      <c r="F45" s="634">
        <v>0.66200000000000003</v>
      </c>
      <c r="G45" s="634">
        <v>1.04</v>
      </c>
      <c r="H45" s="634">
        <v>7.93</v>
      </c>
    </row>
    <row r="46" spans="2:8" x14ac:dyDescent="0.3">
      <c r="B46" s="633">
        <v>43</v>
      </c>
      <c r="C46" s="1103"/>
      <c r="D46" s="634" t="s">
        <v>467</v>
      </c>
      <c r="E46" s="635">
        <v>46274</v>
      </c>
      <c r="F46" s="637">
        <v>0.59599999999999997</v>
      </c>
      <c r="G46" s="634">
        <v>0.64</v>
      </c>
      <c r="H46" s="634">
        <v>7.27</v>
      </c>
    </row>
    <row r="47" spans="2:8" x14ac:dyDescent="0.3">
      <c r="B47" s="633">
        <v>44</v>
      </c>
      <c r="C47" s="1103"/>
      <c r="D47" s="634" t="s">
        <v>468</v>
      </c>
      <c r="E47" s="635">
        <v>46274</v>
      </c>
      <c r="F47" s="634">
        <v>0.59399999999999997</v>
      </c>
      <c r="G47" s="634">
        <v>0.68</v>
      </c>
      <c r="H47" s="634">
        <v>7.24</v>
      </c>
    </row>
    <row r="48" spans="2:8" x14ac:dyDescent="0.3">
      <c r="B48" s="633">
        <v>45</v>
      </c>
      <c r="C48" s="1104"/>
      <c r="D48" s="634" t="s">
        <v>469</v>
      </c>
      <c r="E48" s="635">
        <v>46274</v>
      </c>
      <c r="F48" s="634">
        <v>0.58699999999999997</v>
      </c>
      <c r="G48" s="634">
        <v>0.68</v>
      </c>
      <c r="H48" s="634">
        <v>7.21</v>
      </c>
    </row>
    <row r="49" spans="2:8" x14ac:dyDescent="0.3">
      <c r="B49" s="237">
        <v>46</v>
      </c>
      <c r="C49" s="6"/>
      <c r="D49" s="6" t="s">
        <v>470</v>
      </c>
      <c r="E49" s="444">
        <v>46274</v>
      </c>
      <c r="F49" s="6" t="s">
        <v>545</v>
      </c>
      <c r="G49" s="6"/>
      <c r="H49" s="6"/>
    </row>
    <row r="50" spans="2:8" x14ac:dyDescent="0.3">
      <c r="B50" s="237">
        <v>47</v>
      </c>
      <c r="C50" s="6"/>
      <c r="D50" s="6" t="s">
        <v>471</v>
      </c>
      <c r="E50" s="444">
        <v>46274</v>
      </c>
      <c r="F50" s="6" t="s">
        <v>546</v>
      </c>
      <c r="G50" s="6"/>
      <c r="H50" s="6"/>
    </row>
    <row r="51" spans="2:8" x14ac:dyDescent="0.3">
      <c r="B51" s="237">
        <v>48</v>
      </c>
      <c r="C51" s="6"/>
      <c r="D51" s="6" t="s">
        <v>472</v>
      </c>
      <c r="E51" s="444">
        <v>46274</v>
      </c>
      <c r="F51" s="6"/>
      <c r="G51" s="6"/>
      <c r="H51" s="6"/>
    </row>
    <row r="52" spans="2:8" x14ac:dyDescent="0.3">
      <c r="B52" s="633">
        <v>49</v>
      </c>
      <c r="C52" s="1102">
        <v>5</v>
      </c>
      <c r="D52" s="634" t="s">
        <v>467</v>
      </c>
      <c r="E52" s="635">
        <v>46275</v>
      </c>
      <c r="F52" s="634">
        <v>0.79600000000000004</v>
      </c>
      <c r="G52" s="634">
        <v>0.64</v>
      </c>
      <c r="H52" s="634">
        <v>9.08</v>
      </c>
    </row>
    <row r="53" spans="2:8" x14ac:dyDescent="0.3">
      <c r="B53" s="633">
        <v>50</v>
      </c>
      <c r="C53" s="1103"/>
      <c r="D53" s="634" t="s">
        <v>468</v>
      </c>
      <c r="E53" s="635">
        <v>46275</v>
      </c>
      <c r="F53" s="634">
        <v>0.82599999999999996</v>
      </c>
      <c r="G53" s="634">
        <v>0.72</v>
      </c>
      <c r="H53" s="634">
        <v>8.82</v>
      </c>
    </row>
    <row r="54" spans="2:8" x14ac:dyDescent="0.3">
      <c r="B54" s="633">
        <v>51</v>
      </c>
      <c r="C54" s="1103"/>
      <c r="D54" s="634" t="s">
        <v>469</v>
      </c>
      <c r="E54" s="635">
        <v>46275</v>
      </c>
      <c r="F54" s="634">
        <v>0.73</v>
      </c>
      <c r="G54" s="634">
        <v>0.63</v>
      </c>
      <c r="H54" s="634">
        <v>8.57</v>
      </c>
    </row>
    <row r="55" spans="2:8" x14ac:dyDescent="0.3">
      <c r="B55" s="633">
        <v>52</v>
      </c>
      <c r="C55" s="1103"/>
      <c r="D55" s="634" t="s">
        <v>470</v>
      </c>
      <c r="E55" s="635">
        <v>46275</v>
      </c>
      <c r="F55" s="634">
        <v>0.49299999999999999</v>
      </c>
      <c r="G55" s="634">
        <v>0.45</v>
      </c>
      <c r="H55" s="634">
        <v>9.11</v>
      </c>
    </row>
    <row r="56" spans="2:8" x14ac:dyDescent="0.3">
      <c r="B56" s="633">
        <v>53</v>
      </c>
      <c r="C56" s="1103"/>
      <c r="D56" s="634" t="s">
        <v>471</v>
      </c>
      <c r="E56" s="635">
        <v>46275</v>
      </c>
      <c r="F56" s="634">
        <v>0.497</v>
      </c>
      <c r="G56" s="634">
        <v>0.52</v>
      </c>
      <c r="H56" s="634">
        <v>9.36</v>
      </c>
    </row>
    <row r="57" spans="2:8" x14ac:dyDescent="0.3">
      <c r="B57" s="633">
        <v>54</v>
      </c>
      <c r="C57" s="1103"/>
      <c r="D57" s="634" t="s">
        <v>472</v>
      </c>
      <c r="E57" s="635">
        <v>46275</v>
      </c>
      <c r="F57" s="634">
        <v>0.55800000000000005</v>
      </c>
      <c r="G57" s="634">
        <v>0.32</v>
      </c>
      <c r="H57" s="634">
        <v>9.36</v>
      </c>
    </row>
    <row r="58" spans="2:8" x14ac:dyDescent="0.3">
      <c r="B58" s="633">
        <v>55</v>
      </c>
      <c r="C58" s="1103"/>
      <c r="D58" s="634" t="s">
        <v>467</v>
      </c>
      <c r="E58" s="635">
        <v>46276</v>
      </c>
      <c r="F58" s="634">
        <v>1.3759999999999999</v>
      </c>
      <c r="G58" s="634">
        <v>0.99</v>
      </c>
      <c r="H58" s="634">
        <v>9.2100000000000009</v>
      </c>
    </row>
    <row r="59" spans="2:8" x14ac:dyDescent="0.3">
      <c r="B59" s="633">
        <v>56</v>
      </c>
      <c r="C59" s="1103"/>
      <c r="D59" s="634" t="s">
        <v>468</v>
      </c>
      <c r="E59" s="635">
        <v>46276</v>
      </c>
      <c r="F59" s="634">
        <v>1.468</v>
      </c>
      <c r="G59" s="634">
        <v>0.93</v>
      </c>
      <c r="H59" s="634">
        <v>8.94</v>
      </c>
    </row>
    <row r="60" spans="2:8" x14ac:dyDescent="0.3">
      <c r="B60" s="633">
        <v>57</v>
      </c>
      <c r="C60" s="1104"/>
      <c r="D60" s="634" t="s">
        <v>469</v>
      </c>
      <c r="E60" s="635">
        <v>46276</v>
      </c>
      <c r="F60" s="634">
        <v>1.4419999999999999</v>
      </c>
      <c r="G60" s="634">
        <v>1.06</v>
      </c>
      <c r="H60" s="634">
        <v>9.25</v>
      </c>
    </row>
    <row r="61" spans="2:8" x14ac:dyDescent="0.3">
      <c r="B61" s="595">
        <v>58</v>
      </c>
      <c r="C61" s="1098">
        <v>6</v>
      </c>
      <c r="D61" s="631" t="s">
        <v>470</v>
      </c>
      <c r="E61" s="632">
        <v>46276</v>
      </c>
      <c r="F61" s="631">
        <v>0.28000000000000003</v>
      </c>
      <c r="G61" s="631">
        <v>0.56000000000000005</v>
      </c>
      <c r="H61" s="631">
        <v>7.41</v>
      </c>
    </row>
    <row r="62" spans="2:8" x14ac:dyDescent="0.3">
      <c r="B62" s="595">
        <v>59</v>
      </c>
      <c r="C62" s="1099"/>
      <c r="D62" s="631" t="s">
        <v>471</v>
      </c>
      <c r="E62" s="632">
        <v>46276</v>
      </c>
      <c r="F62" s="631">
        <v>0.23300000000000001</v>
      </c>
      <c r="G62" s="631">
        <v>0.66</v>
      </c>
      <c r="H62" s="631">
        <v>7.27</v>
      </c>
    </row>
    <row r="63" spans="2:8" x14ac:dyDescent="0.3">
      <c r="B63" s="595">
        <v>60</v>
      </c>
      <c r="C63" s="1099"/>
      <c r="D63" s="631" t="s">
        <v>472</v>
      </c>
      <c r="E63" s="632">
        <v>46276</v>
      </c>
      <c r="F63" s="631">
        <v>0.28199999999999997</v>
      </c>
      <c r="G63" s="631">
        <v>0.5</v>
      </c>
      <c r="H63" s="631">
        <v>8.1</v>
      </c>
    </row>
    <row r="64" spans="2:8" x14ac:dyDescent="0.3">
      <c r="B64" s="595">
        <v>61</v>
      </c>
      <c r="C64" s="1099"/>
      <c r="D64" s="631" t="s">
        <v>467</v>
      </c>
      <c r="E64" s="632">
        <v>46277</v>
      </c>
      <c r="F64" s="631">
        <v>0.27800000000000002</v>
      </c>
      <c r="G64" s="631">
        <v>0.54</v>
      </c>
      <c r="H64" s="631">
        <v>6.85</v>
      </c>
    </row>
    <row r="65" spans="2:8" x14ac:dyDescent="0.3">
      <c r="B65" s="595">
        <v>62</v>
      </c>
      <c r="C65" s="1099"/>
      <c r="D65" s="631" t="s">
        <v>468</v>
      </c>
      <c r="E65" s="632">
        <v>46277</v>
      </c>
      <c r="F65" s="631">
        <v>0.313</v>
      </c>
      <c r="G65" s="631">
        <v>0.71</v>
      </c>
      <c r="H65" s="631">
        <v>6.29</v>
      </c>
    </row>
    <row r="66" spans="2:8" x14ac:dyDescent="0.3">
      <c r="B66" s="595">
        <v>63</v>
      </c>
      <c r="C66" s="1100"/>
      <c r="D66" s="631" t="s">
        <v>469</v>
      </c>
      <c r="E66" s="632">
        <v>46277</v>
      </c>
      <c r="F66" s="631">
        <v>0.32500000000000001</v>
      </c>
      <c r="G66" s="631">
        <v>0.41</v>
      </c>
      <c r="H66" s="631">
        <v>7.25</v>
      </c>
    </row>
    <row r="67" spans="2:8" x14ac:dyDescent="0.3">
      <c r="B67" s="633">
        <v>64</v>
      </c>
      <c r="C67" s="1102">
        <v>7</v>
      </c>
      <c r="D67" s="634" t="s">
        <v>470</v>
      </c>
      <c r="E67" s="635">
        <v>46279</v>
      </c>
      <c r="F67" s="634">
        <v>0.72</v>
      </c>
      <c r="G67" s="634">
        <v>0.56999999999999995</v>
      </c>
      <c r="H67" s="634">
        <v>8.7200000000000006</v>
      </c>
    </row>
    <row r="68" spans="2:8" x14ac:dyDescent="0.3">
      <c r="B68" s="633">
        <v>65</v>
      </c>
      <c r="C68" s="1103"/>
      <c r="D68" s="634" t="s">
        <v>471</v>
      </c>
      <c r="E68" s="635">
        <v>46279</v>
      </c>
      <c r="F68" s="634">
        <v>0.505</v>
      </c>
      <c r="G68" s="634">
        <v>0.55000000000000004</v>
      </c>
      <c r="H68" s="634">
        <v>8.4</v>
      </c>
    </row>
    <row r="69" spans="2:8" x14ac:dyDescent="0.3">
      <c r="B69" s="633">
        <v>66</v>
      </c>
      <c r="C69" s="1103"/>
      <c r="D69" s="634" t="s">
        <v>472</v>
      </c>
      <c r="E69" s="635">
        <v>46279</v>
      </c>
      <c r="F69" s="634">
        <v>0.67100000000000004</v>
      </c>
      <c r="G69" s="634">
        <v>0.64</v>
      </c>
      <c r="H69" s="634">
        <v>8.67</v>
      </c>
    </row>
    <row r="70" spans="2:8" x14ac:dyDescent="0.3">
      <c r="B70" s="633">
        <v>67</v>
      </c>
      <c r="C70" s="1103"/>
      <c r="D70" s="634" t="s">
        <v>467</v>
      </c>
      <c r="E70" s="635">
        <v>46280</v>
      </c>
      <c r="F70" s="634">
        <v>0.35</v>
      </c>
      <c r="G70" s="634">
        <v>0.49</v>
      </c>
      <c r="H70" s="634">
        <v>9.5299999999999994</v>
      </c>
    </row>
    <row r="71" spans="2:8" x14ac:dyDescent="0.3">
      <c r="B71" s="633">
        <v>68</v>
      </c>
      <c r="C71" s="1103"/>
      <c r="D71" s="634" t="s">
        <v>468</v>
      </c>
      <c r="E71" s="635">
        <v>46280</v>
      </c>
      <c r="F71" s="634">
        <v>0.375</v>
      </c>
      <c r="G71" s="634">
        <v>0.46</v>
      </c>
      <c r="H71" s="634">
        <v>9.86</v>
      </c>
    </row>
    <row r="72" spans="2:8" x14ac:dyDescent="0.3">
      <c r="B72" s="633">
        <v>69</v>
      </c>
      <c r="C72" s="1103"/>
      <c r="D72" s="634" t="s">
        <v>469</v>
      </c>
      <c r="E72" s="635">
        <v>46280</v>
      </c>
      <c r="F72" s="634">
        <v>0.36899999999999999</v>
      </c>
      <c r="G72" s="634">
        <v>0.45</v>
      </c>
      <c r="H72" s="634">
        <v>9.32</v>
      </c>
    </row>
    <row r="73" spans="2:8" x14ac:dyDescent="0.3">
      <c r="B73" s="633">
        <v>70</v>
      </c>
      <c r="C73" s="1103"/>
      <c r="D73" s="634" t="s">
        <v>470</v>
      </c>
      <c r="E73" s="635">
        <v>46280</v>
      </c>
      <c r="F73" s="634">
        <v>0.64</v>
      </c>
      <c r="G73" s="634">
        <v>0.57999999999999996</v>
      </c>
      <c r="H73" s="634">
        <v>11.12</v>
      </c>
    </row>
    <row r="74" spans="2:8" x14ac:dyDescent="0.3">
      <c r="B74" s="633">
        <v>71</v>
      </c>
      <c r="C74" s="1103"/>
      <c r="D74" s="634" t="s">
        <v>471</v>
      </c>
      <c r="E74" s="635">
        <v>46280</v>
      </c>
      <c r="F74" s="634">
        <v>0.58299999999999996</v>
      </c>
      <c r="G74" s="634">
        <v>0.53</v>
      </c>
      <c r="H74" s="634">
        <v>11.35</v>
      </c>
    </row>
    <row r="75" spans="2:8" x14ac:dyDescent="0.3">
      <c r="B75" s="633">
        <v>72</v>
      </c>
      <c r="C75" s="1104"/>
      <c r="D75" s="634" t="s">
        <v>472</v>
      </c>
      <c r="E75" s="635">
        <v>46280</v>
      </c>
      <c r="F75" s="634">
        <v>0.60699999999999998</v>
      </c>
      <c r="G75" s="634">
        <v>0.55000000000000004</v>
      </c>
      <c r="H75" s="634">
        <v>11.36</v>
      </c>
    </row>
    <row r="76" spans="2:8" x14ac:dyDescent="0.3">
      <c r="B76" s="595">
        <v>73</v>
      </c>
      <c r="C76" s="1098">
        <v>8</v>
      </c>
      <c r="D76" s="631" t="s">
        <v>467</v>
      </c>
      <c r="E76" s="632">
        <v>46281</v>
      </c>
      <c r="F76" s="631">
        <v>0.44900000000000001</v>
      </c>
      <c r="G76" s="631">
        <v>0.63</v>
      </c>
      <c r="H76" s="631">
        <v>11.56</v>
      </c>
    </row>
    <row r="77" spans="2:8" x14ac:dyDescent="0.3">
      <c r="B77" s="595">
        <v>74</v>
      </c>
      <c r="C77" s="1099"/>
      <c r="D77" s="631" t="s">
        <v>468</v>
      </c>
      <c r="E77" s="632">
        <v>46281</v>
      </c>
      <c r="F77" s="631">
        <v>0.46800000000000003</v>
      </c>
      <c r="G77" s="631">
        <v>0.6</v>
      </c>
      <c r="H77" s="631">
        <v>11.66</v>
      </c>
    </row>
    <row r="78" spans="2:8" x14ac:dyDescent="0.3">
      <c r="B78" s="595">
        <v>75</v>
      </c>
      <c r="C78" s="1099"/>
      <c r="D78" s="631" t="s">
        <v>469</v>
      </c>
      <c r="E78" s="632">
        <v>46281</v>
      </c>
      <c r="F78" s="631">
        <v>0.438</v>
      </c>
      <c r="G78" s="631">
        <v>0.67</v>
      </c>
      <c r="H78" s="631">
        <v>11.67</v>
      </c>
    </row>
    <row r="79" spans="2:8" x14ac:dyDescent="0.3">
      <c r="B79" s="595">
        <v>76</v>
      </c>
      <c r="C79" s="1099"/>
      <c r="D79" s="631" t="s">
        <v>470</v>
      </c>
      <c r="E79" s="632">
        <v>46281</v>
      </c>
      <c r="F79" s="631"/>
      <c r="G79" s="631"/>
      <c r="H79" s="631"/>
    </row>
    <row r="80" spans="2:8" x14ac:dyDescent="0.3">
      <c r="B80" s="595">
        <v>77</v>
      </c>
      <c r="C80" s="1099"/>
      <c r="D80" s="631" t="s">
        <v>471</v>
      </c>
      <c r="E80" s="632">
        <v>46281</v>
      </c>
      <c r="F80" s="631"/>
      <c r="G80" s="631"/>
      <c r="H80" s="631"/>
    </row>
    <row r="81" spans="2:8" x14ac:dyDescent="0.3">
      <c r="B81" s="595">
        <v>78</v>
      </c>
      <c r="C81" s="1100"/>
      <c r="D81" s="631" t="s">
        <v>472</v>
      </c>
      <c r="E81" s="632">
        <v>46281</v>
      </c>
      <c r="F81" s="631"/>
      <c r="G81" s="631"/>
      <c r="H81" s="631"/>
    </row>
    <row r="82" spans="2:8" x14ac:dyDescent="0.3">
      <c r="B82" s="237">
        <v>79</v>
      </c>
      <c r="C82" s="6"/>
      <c r="D82" s="631" t="s">
        <v>467</v>
      </c>
      <c r="E82" s="632">
        <v>46282</v>
      </c>
      <c r="F82" s="6"/>
      <c r="G82" s="6"/>
      <c r="H82" s="6"/>
    </row>
    <row r="83" spans="2:8" x14ac:dyDescent="0.3">
      <c r="B83" s="237">
        <v>80</v>
      </c>
      <c r="C83" s="6"/>
      <c r="D83" s="631" t="s">
        <v>468</v>
      </c>
      <c r="E83" s="632">
        <v>46282</v>
      </c>
      <c r="F83" s="6"/>
      <c r="G83" s="6"/>
      <c r="H83" s="6"/>
    </row>
    <row r="84" spans="2:8" x14ac:dyDescent="0.3">
      <c r="B84" s="237">
        <v>81</v>
      </c>
      <c r="C84" s="6"/>
      <c r="D84" s="631" t="s">
        <v>469</v>
      </c>
      <c r="E84" s="632">
        <v>46282</v>
      </c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106" zoomScaleNormal="70" workbookViewId="0">
      <pane ySplit="4" topLeftCell="A12" activePane="bottomLeft" state="frozen"/>
      <selection pane="bottomLeft" activeCell="H12" sqref="H12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2" bestFit="1" customWidth="1"/>
    <col min="9" max="9" width="8.77734375" style="139"/>
    <col min="10" max="10" width="14.77734375" style="445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08" t="s">
        <v>64</v>
      </c>
      <c r="B3" s="1048"/>
      <c r="C3" s="1048"/>
      <c r="D3" s="1048"/>
      <c r="E3" s="1048"/>
      <c r="F3" s="1048"/>
      <c r="G3" s="1048"/>
      <c r="H3" s="1048"/>
      <c r="I3" s="1048"/>
      <c r="J3" s="1048"/>
      <c r="K3" s="1048"/>
      <c r="L3" s="1048"/>
    </row>
    <row r="4" spans="1:36" ht="28.8" x14ac:dyDescent="0.3">
      <c r="A4" s="1115" t="s">
        <v>1</v>
      </c>
      <c r="B4" s="1115"/>
      <c r="C4" s="940" t="s">
        <v>27</v>
      </c>
      <c r="D4" s="940" t="s">
        <v>2</v>
      </c>
      <c r="E4" s="940" t="s">
        <v>61</v>
      </c>
      <c r="F4" s="940" t="s">
        <v>62</v>
      </c>
      <c r="G4" s="940" t="s">
        <v>63</v>
      </c>
      <c r="H4" s="940" t="s">
        <v>65</v>
      </c>
      <c r="I4" s="940" t="s">
        <v>551</v>
      </c>
      <c r="J4" s="946" t="s">
        <v>603</v>
      </c>
      <c r="K4" s="940" t="s">
        <v>604</v>
      </c>
      <c r="L4" s="940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09">
        <v>46265</v>
      </c>
      <c r="B5" s="1110"/>
      <c r="C5" s="947" t="s">
        <v>13</v>
      </c>
      <c r="D5" s="941" t="s">
        <v>170</v>
      </c>
      <c r="E5" s="942">
        <v>6.9444444444444447E-4</v>
      </c>
      <c r="F5" s="766">
        <v>6.5972222222222224E-2</v>
      </c>
      <c r="G5" s="767">
        <f>(F5-E5)*1440</f>
        <v>94</v>
      </c>
      <c r="H5" s="943" t="s">
        <v>453</v>
      </c>
      <c r="I5" s="1099">
        <v>1</v>
      </c>
      <c r="J5" s="944">
        <f>(720-G5)/60</f>
        <v>10.433333333333334</v>
      </c>
      <c r="K5" s="945">
        <f>J5/12</f>
        <v>0.86944444444444446</v>
      </c>
      <c r="L5" s="110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7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11">
        <v>46265</v>
      </c>
      <c r="B6" s="1112"/>
      <c r="C6" s="799" t="s">
        <v>14</v>
      </c>
      <c r="D6" s="608"/>
      <c r="E6" s="602"/>
      <c r="F6" s="517"/>
      <c r="G6" s="518">
        <f>(F6-E6)*1440</f>
        <v>0</v>
      </c>
      <c r="H6" s="603"/>
      <c r="I6" s="1099"/>
      <c r="J6" s="840">
        <f>(720-G6)/60</f>
        <v>12</v>
      </c>
      <c r="K6" s="843">
        <f t="shared" ref="K6:K8" si="1">J6/12</f>
        <v>1</v>
      </c>
      <c r="L6" s="110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8" t="str">
        <f>H8</f>
        <v>shift malam jam 20:59-21:40 stop thicekener tank bermasalah, jam 06:00-07:00 houskepping ball mill 3 meluap</v>
      </c>
      <c r="V6" s="1" t="s">
        <v>14</v>
      </c>
      <c r="AH6" s="997">
        <f>Q59</f>
        <v>292.79999999999995</v>
      </c>
      <c r="AI6" s="998">
        <f>S59</f>
        <v>139.19999999999999</v>
      </c>
      <c r="AJ6" s="999">
        <f>R59</f>
        <v>0.67777777777777781</v>
      </c>
    </row>
    <row r="7" spans="1:36" ht="44.4" customHeight="1" thickBot="1" x14ac:dyDescent="0.45">
      <c r="A7" s="1111">
        <v>46266</v>
      </c>
      <c r="B7" s="1112"/>
      <c r="C7" s="799" t="s">
        <v>13</v>
      </c>
      <c r="D7" s="608"/>
      <c r="E7" s="602"/>
      <c r="F7" s="517"/>
      <c r="G7" s="518">
        <f>(F7-E7)*1440</f>
        <v>0</v>
      </c>
      <c r="H7" s="603"/>
      <c r="I7" s="1099"/>
      <c r="J7" s="840">
        <f>(720-G7)/60</f>
        <v>12</v>
      </c>
      <c r="K7" s="843">
        <f t="shared" si="1"/>
        <v>1</v>
      </c>
      <c r="L7" s="110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8" t="str">
        <f>H9</f>
        <v>Ball mill sampai jam 12 Cuma berjalan 1, housekepping material meluap dari ball mill 3 hingga jam 9</v>
      </c>
      <c r="AH7" s="996" t="s">
        <v>652</v>
      </c>
      <c r="AI7" s="996" t="s">
        <v>653</v>
      </c>
      <c r="AJ7" s="996" t="s">
        <v>654</v>
      </c>
    </row>
    <row r="8" spans="1:36" ht="54" customHeight="1" x14ac:dyDescent="0.3">
      <c r="A8" s="1111">
        <v>46266</v>
      </c>
      <c r="B8" s="1112"/>
      <c r="C8" s="799" t="s">
        <v>14</v>
      </c>
      <c r="D8" s="609" t="s">
        <v>170</v>
      </c>
      <c r="E8" s="517">
        <v>6.9444444444444447E-4</v>
      </c>
      <c r="F8" s="517">
        <v>4.6527777777777779E-2</v>
      </c>
      <c r="G8" s="518">
        <f t="shared" ref="G8:G45" si="4">(F8-E8)*1440</f>
        <v>66</v>
      </c>
      <c r="H8" s="604" t="s">
        <v>484</v>
      </c>
      <c r="I8" s="1100"/>
      <c r="J8" s="840">
        <f t="shared" ref="J8:J14" si="5">(720-G8)/60</f>
        <v>10.9</v>
      </c>
      <c r="K8" s="843">
        <f t="shared" si="1"/>
        <v>0.90833333333333333</v>
      </c>
      <c r="L8" s="110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8" t="str">
        <f>H12</f>
        <v>Stop ball mill jam 18:00 material finish pump ke tank 3, shift malam drain slurry tank 2</v>
      </c>
    </row>
    <row r="9" spans="1:36" ht="28.8" x14ac:dyDescent="0.3">
      <c r="A9" s="1113">
        <v>46267</v>
      </c>
      <c r="B9" s="1114"/>
      <c r="C9" s="864" t="s">
        <v>13</v>
      </c>
      <c r="D9" s="610" t="s">
        <v>223</v>
      </c>
      <c r="E9" s="514">
        <v>6.9444444444444447E-4</v>
      </c>
      <c r="F9" s="514">
        <v>8.4027777777777785E-2</v>
      </c>
      <c r="G9" s="515">
        <f t="shared" si="4"/>
        <v>120.00000000000001</v>
      </c>
      <c r="H9" s="983" t="s">
        <v>485</v>
      </c>
      <c r="I9" s="1102">
        <v>2</v>
      </c>
      <c r="J9" s="841">
        <f t="shared" si="5"/>
        <v>10</v>
      </c>
      <c r="K9" s="844">
        <f>J9/12</f>
        <v>0.83333333333333337</v>
      </c>
      <c r="L9" s="1105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13">
        <v>46267</v>
      </c>
      <c r="B10" s="1114"/>
      <c r="C10" s="864" t="s">
        <v>14</v>
      </c>
      <c r="D10" s="610"/>
      <c r="E10" s="514"/>
      <c r="F10" s="514"/>
      <c r="G10" s="515">
        <f t="shared" si="4"/>
        <v>0</v>
      </c>
      <c r="H10" s="605"/>
      <c r="I10" s="1103"/>
      <c r="J10" s="841">
        <f t="shared" si="5"/>
        <v>12</v>
      </c>
      <c r="K10" s="844">
        <f t="shared" ref="K10:K14" si="6">J10/12</f>
        <v>1</v>
      </c>
      <c r="L10" s="1105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8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13">
        <v>46268</v>
      </c>
      <c r="B11" s="1114"/>
      <c r="C11" s="864" t="s">
        <v>13</v>
      </c>
      <c r="D11" s="610"/>
      <c r="E11" s="514"/>
      <c r="F11" s="514"/>
      <c r="G11" s="515">
        <f t="shared" si="4"/>
        <v>0</v>
      </c>
      <c r="H11" s="605"/>
      <c r="I11" s="1103"/>
      <c r="J11" s="841">
        <f t="shared" si="5"/>
        <v>12</v>
      </c>
      <c r="K11" s="844">
        <f t="shared" si="6"/>
        <v>1</v>
      </c>
      <c r="L11" s="1105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13">
        <v>46268</v>
      </c>
      <c r="B12" s="1114"/>
      <c r="C12" s="864" t="s">
        <v>14</v>
      </c>
      <c r="D12" s="611" t="s">
        <v>170</v>
      </c>
      <c r="E12" s="514">
        <v>6.9444444444444447E-4</v>
      </c>
      <c r="F12" s="514">
        <v>4.2361111111111113E-2</v>
      </c>
      <c r="G12" s="515">
        <f t="shared" si="4"/>
        <v>60.000000000000007</v>
      </c>
      <c r="H12" s="605" t="s">
        <v>475</v>
      </c>
      <c r="I12" s="1103"/>
      <c r="J12" s="841">
        <f t="shared" si="5"/>
        <v>11</v>
      </c>
      <c r="K12" s="844">
        <f t="shared" si="6"/>
        <v>0.91666666666666663</v>
      </c>
      <c r="L12" s="1105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8" t="s">
        <v>532</v>
      </c>
      <c r="V12" s="11">
        <f>SUM(S17:S19)</f>
        <v>62</v>
      </c>
    </row>
    <row r="13" spans="1:36" ht="72" x14ac:dyDescent="0.3">
      <c r="A13" s="1113">
        <v>46269</v>
      </c>
      <c r="B13" s="1114"/>
      <c r="C13" s="864" t="s">
        <v>13</v>
      </c>
      <c r="D13" s="612" t="s">
        <v>223</v>
      </c>
      <c r="E13" s="606">
        <v>6.9444444444444447E-4</v>
      </c>
      <c r="F13" s="514">
        <v>0.50069444444444444</v>
      </c>
      <c r="G13" s="515">
        <f t="shared" si="4"/>
        <v>720</v>
      </c>
      <c r="H13" s="607" t="s">
        <v>483</v>
      </c>
      <c r="I13" s="1103"/>
      <c r="J13" s="841">
        <f t="shared" si="5"/>
        <v>0</v>
      </c>
      <c r="K13" s="844">
        <f t="shared" si="6"/>
        <v>0</v>
      </c>
      <c r="L13" s="1105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8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13">
        <v>46269</v>
      </c>
      <c r="B14" s="1114"/>
      <c r="C14" s="864" t="s">
        <v>14</v>
      </c>
      <c r="D14" s="872" t="s">
        <v>170</v>
      </c>
      <c r="E14" s="606">
        <v>6.9444444444444447E-4</v>
      </c>
      <c r="F14" s="514">
        <v>0.50069444444444444</v>
      </c>
      <c r="G14" s="515">
        <f t="shared" si="4"/>
        <v>720</v>
      </c>
      <c r="H14" s="873" t="s">
        <v>483</v>
      </c>
      <c r="I14" s="1104"/>
      <c r="J14" s="841">
        <f t="shared" si="5"/>
        <v>0</v>
      </c>
      <c r="K14" s="844">
        <f t="shared" si="6"/>
        <v>0</v>
      </c>
      <c r="L14" s="1105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8" t="s">
        <v>539</v>
      </c>
    </row>
    <row r="15" spans="1:36" ht="65.400000000000006" customHeight="1" x14ac:dyDescent="0.3">
      <c r="A15" s="1111">
        <v>46270</v>
      </c>
      <c r="B15" s="1112"/>
      <c r="C15" s="799" t="s">
        <v>13</v>
      </c>
      <c r="D15" s="813"/>
      <c r="E15" s="814">
        <v>6.9444444444444447E-4</v>
      </c>
      <c r="F15" s="517">
        <v>0.50069444444444444</v>
      </c>
      <c r="G15" s="518">
        <f t="shared" si="4"/>
        <v>720</v>
      </c>
      <c r="H15" s="815" t="s">
        <v>596</v>
      </c>
      <c r="I15" s="1098">
        <v>3</v>
      </c>
      <c r="J15" s="840">
        <f>(720-G15)/60</f>
        <v>0</v>
      </c>
      <c r="K15" s="843">
        <f>J15/12</f>
        <v>0</v>
      </c>
      <c r="L15" s="110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8"/>
    </row>
    <row r="16" spans="1:36" ht="43.2" x14ac:dyDescent="0.3">
      <c r="A16" s="1111">
        <v>46270</v>
      </c>
      <c r="B16" s="1112"/>
      <c r="C16" s="799" t="s">
        <v>14</v>
      </c>
      <c r="D16" s="617" t="s">
        <v>170</v>
      </c>
      <c r="E16" s="517">
        <v>6.9444444444444447E-4</v>
      </c>
      <c r="F16" s="517">
        <v>4.2361111111111113E-2</v>
      </c>
      <c r="G16" s="518">
        <f>(F16-E16)*1440</f>
        <v>60.000000000000007</v>
      </c>
      <c r="H16" s="618" t="s">
        <v>495</v>
      </c>
      <c r="I16" s="1099"/>
      <c r="J16" s="840">
        <f t="shared" ref="J16:J19" si="8">(720-G16)/60</f>
        <v>11</v>
      </c>
      <c r="K16" s="843">
        <f t="shared" ref="K16:K19" si="9">J16/12</f>
        <v>0.91666666666666663</v>
      </c>
      <c r="L16" s="110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11">
        <v>46271</v>
      </c>
      <c r="B17" s="1112"/>
      <c r="C17" s="799" t="s">
        <v>13</v>
      </c>
      <c r="D17" s="619" t="s">
        <v>515</v>
      </c>
      <c r="E17" s="517">
        <v>6.9444444444444447E-4</v>
      </c>
      <c r="F17" s="517">
        <v>0.18124999999999999</v>
      </c>
      <c r="G17" s="518">
        <f>(F17-E17)*720</f>
        <v>130</v>
      </c>
      <c r="H17" s="620" t="s">
        <v>517</v>
      </c>
      <c r="I17" s="1099"/>
      <c r="J17" s="840">
        <f t="shared" si="8"/>
        <v>9.8333333333333339</v>
      </c>
      <c r="K17" s="843">
        <f t="shared" si="9"/>
        <v>0.81944444444444453</v>
      </c>
      <c r="L17" s="110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11">
        <v>46271</v>
      </c>
      <c r="B18" s="1112"/>
      <c r="C18" s="799" t="s">
        <v>14</v>
      </c>
      <c r="D18" s="619" t="s">
        <v>516</v>
      </c>
      <c r="E18" s="517"/>
      <c r="F18" s="517"/>
      <c r="G18" s="518">
        <f t="shared" si="4"/>
        <v>0</v>
      </c>
      <c r="H18" s="620" t="s">
        <v>524</v>
      </c>
      <c r="I18" s="1099"/>
      <c r="J18" s="840">
        <f t="shared" si="8"/>
        <v>12</v>
      </c>
      <c r="K18" s="843">
        <f t="shared" si="9"/>
        <v>1</v>
      </c>
      <c r="L18" s="110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11">
        <v>46272</v>
      </c>
      <c r="B19" s="1112"/>
      <c r="C19" s="799" t="s">
        <v>13</v>
      </c>
      <c r="D19" s="621" t="s">
        <v>170</v>
      </c>
      <c r="E19" s="517">
        <v>6.9444444444444447E-4</v>
      </c>
      <c r="F19" s="517">
        <v>1.3888888888888888E-2</v>
      </c>
      <c r="G19" s="518">
        <f t="shared" si="4"/>
        <v>19</v>
      </c>
      <c r="H19" s="622" t="s">
        <v>533</v>
      </c>
      <c r="I19" s="1100"/>
      <c r="J19" s="840">
        <f t="shared" si="8"/>
        <v>11.683333333333334</v>
      </c>
      <c r="K19" s="843">
        <f t="shared" si="9"/>
        <v>0.97361111111111109</v>
      </c>
      <c r="L19" s="1106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13">
        <v>46272</v>
      </c>
      <c r="B20" s="1114"/>
      <c r="C20" s="864" t="s">
        <v>14</v>
      </c>
      <c r="D20" s="623" t="s">
        <v>170</v>
      </c>
      <c r="E20" s="514">
        <v>6.9444444444444447E-4</v>
      </c>
      <c r="F20" s="514">
        <v>5.2083333333333336E-2</v>
      </c>
      <c r="G20" s="515">
        <f t="shared" si="4"/>
        <v>74</v>
      </c>
      <c r="H20" s="519" t="s">
        <v>534</v>
      </c>
      <c r="I20" s="1139">
        <v>4</v>
      </c>
      <c r="J20" s="841">
        <f>(720-G20)/60</f>
        <v>10.766666666666667</v>
      </c>
      <c r="K20" s="844">
        <f>J20/12</f>
        <v>0.89722222222222225</v>
      </c>
      <c r="L20" s="1106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13">
        <v>46273</v>
      </c>
      <c r="B21" s="1114"/>
      <c r="C21" s="864" t="s">
        <v>13</v>
      </c>
      <c r="D21" s="623" t="s">
        <v>170</v>
      </c>
      <c r="E21" s="514">
        <v>6.9444444444444447E-4</v>
      </c>
      <c r="F21" s="514">
        <v>7.013888888888889E-2</v>
      </c>
      <c r="G21" s="515">
        <f>(F21-E21)*1440</f>
        <v>100</v>
      </c>
      <c r="H21" s="624" t="s">
        <v>527</v>
      </c>
      <c r="I21" s="1140"/>
      <c r="J21" s="841">
        <f t="shared" ref="J21:J23" si="10">(720-G21)/60</f>
        <v>10.333333333333334</v>
      </c>
      <c r="K21" s="844">
        <f t="shared" ref="K21:K23" si="11">J21/12</f>
        <v>0.86111111111111116</v>
      </c>
      <c r="L21" s="1105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13">
        <v>46273</v>
      </c>
      <c r="B22" s="1114"/>
      <c r="C22" s="864" t="s">
        <v>14</v>
      </c>
      <c r="D22" s="625" t="s">
        <v>531</v>
      </c>
      <c r="E22" s="514">
        <v>6.9444444444444447E-4</v>
      </c>
      <c r="F22" s="514">
        <v>0.10694444444444444</v>
      </c>
      <c r="G22" s="515">
        <f>(F22-E22)*1440</f>
        <v>153</v>
      </c>
      <c r="H22" s="519" t="s">
        <v>535</v>
      </c>
      <c r="I22" s="1140"/>
      <c r="J22" s="841">
        <f t="shared" si="10"/>
        <v>9.4499999999999993</v>
      </c>
      <c r="K22" s="844">
        <f t="shared" si="11"/>
        <v>0.78749999999999998</v>
      </c>
      <c r="L22" s="1105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13">
        <v>46274</v>
      </c>
      <c r="B23" s="1114"/>
      <c r="C23" s="864" t="s">
        <v>13</v>
      </c>
      <c r="D23" s="614" t="s">
        <v>170</v>
      </c>
      <c r="E23" s="514">
        <v>6.9444444444444447E-4</v>
      </c>
      <c r="F23" s="514">
        <v>0.37569444444444444</v>
      </c>
      <c r="G23" s="515">
        <f t="shared" si="4"/>
        <v>540</v>
      </c>
      <c r="H23" s="519" t="s">
        <v>538</v>
      </c>
      <c r="I23" s="1141"/>
      <c r="J23" s="841">
        <f t="shared" si="10"/>
        <v>3</v>
      </c>
      <c r="K23" s="844">
        <f t="shared" si="11"/>
        <v>0.25</v>
      </c>
      <c r="L23" s="1105">
        <f>SUM(J23:J24)/24</f>
        <v>0.125</v>
      </c>
      <c r="O23" s="63">
        <v>46283</v>
      </c>
      <c r="P23" s="67"/>
      <c r="Q23" s="67"/>
      <c r="R23" s="64">
        <f t="shared" si="3"/>
        <v>0</v>
      </c>
      <c r="S23" s="67">
        <f t="shared" si="7"/>
        <v>0</v>
      </c>
      <c r="T23" s="6"/>
    </row>
    <row r="24" spans="1:20" x14ac:dyDescent="0.3">
      <c r="A24" s="1116">
        <v>46274</v>
      </c>
      <c r="B24" s="1117"/>
      <c r="C24" s="948" t="s">
        <v>14</v>
      </c>
      <c r="D24" s="613" t="s">
        <v>170</v>
      </c>
      <c r="E24" s="511">
        <v>6.9444444444444447E-4</v>
      </c>
      <c r="F24" s="511">
        <v>0.50069444444444444</v>
      </c>
      <c r="G24" s="512">
        <f t="shared" si="4"/>
        <v>720</v>
      </c>
      <c r="H24" s="469" t="s">
        <v>537</v>
      </c>
      <c r="I24" s="812"/>
      <c r="J24" s="431">
        <f>(720-G24)/60</f>
        <v>0</v>
      </c>
      <c r="K24" s="842">
        <f>J24/12</f>
        <v>0</v>
      </c>
      <c r="L24" s="1105"/>
      <c r="O24" s="63">
        <v>46284</v>
      </c>
      <c r="P24" s="6"/>
      <c r="Q24" s="67"/>
      <c r="R24" s="64">
        <f t="shared" si="3"/>
        <v>0</v>
      </c>
      <c r="S24" s="67">
        <f t="shared" si="7"/>
        <v>0</v>
      </c>
      <c r="T24" s="6"/>
    </row>
    <row r="25" spans="1:20" ht="28.8" x14ac:dyDescent="0.3">
      <c r="A25" s="1111">
        <v>46275</v>
      </c>
      <c r="B25" s="1112"/>
      <c r="C25" s="799" t="s">
        <v>13</v>
      </c>
      <c r="D25" s="626" t="s">
        <v>170</v>
      </c>
      <c r="E25" s="517">
        <v>6.9444444444444447E-4</v>
      </c>
      <c r="F25" s="517">
        <v>6.0416666666666667E-2</v>
      </c>
      <c r="G25" s="518">
        <f t="shared" si="4"/>
        <v>86</v>
      </c>
      <c r="H25" s="622" t="s">
        <v>543</v>
      </c>
      <c r="I25" s="1129">
        <v>5</v>
      </c>
      <c r="J25" s="840">
        <f>(720-G25)/60</f>
        <v>10.566666666666666</v>
      </c>
      <c r="K25" s="843">
        <f>J25/12</f>
        <v>0.88055555555555554</v>
      </c>
      <c r="L25" s="1107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11">
        <v>46275</v>
      </c>
      <c r="B26" s="1112"/>
      <c r="C26" s="799" t="s">
        <v>14</v>
      </c>
      <c r="D26" s="627" t="s">
        <v>549</v>
      </c>
      <c r="E26" s="628">
        <v>6.9444444444444447E-4</v>
      </c>
      <c r="F26" s="628">
        <v>6.458333333333334E-2</v>
      </c>
      <c r="G26" s="498">
        <f t="shared" si="4"/>
        <v>92.000000000000014</v>
      </c>
      <c r="H26" s="650" t="s">
        <v>550</v>
      </c>
      <c r="I26" s="1130"/>
      <c r="J26" s="840">
        <f t="shared" ref="J26:J27" si="12">(720-G26)/60</f>
        <v>10.466666666666667</v>
      </c>
      <c r="K26" s="843">
        <f t="shared" ref="K26:K27" si="13">J26/12</f>
        <v>0.87222222222222223</v>
      </c>
      <c r="L26" s="1107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11">
        <v>46276</v>
      </c>
      <c r="B27" s="1112"/>
      <c r="C27" s="799" t="s">
        <v>13</v>
      </c>
      <c r="D27" s="629" t="s">
        <v>170</v>
      </c>
      <c r="E27" s="517">
        <v>6.9444444444444447E-4</v>
      </c>
      <c r="F27" s="517">
        <v>4.3055555555555555E-2</v>
      </c>
      <c r="G27" s="649">
        <f>(F27-E27)*1440</f>
        <v>61</v>
      </c>
      <c r="H27" s="651" t="s">
        <v>553</v>
      </c>
      <c r="I27" s="1131"/>
      <c r="J27" s="840">
        <f t="shared" si="12"/>
        <v>10.983333333333333</v>
      </c>
      <c r="K27" s="843">
        <f t="shared" si="13"/>
        <v>0.91527777777777775</v>
      </c>
      <c r="L27" s="1106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24">
        <v>46276</v>
      </c>
      <c r="B28" s="1125"/>
      <c r="C28" s="864" t="s">
        <v>14</v>
      </c>
      <c r="D28" s="641" t="s">
        <v>170</v>
      </c>
      <c r="E28" s="642">
        <v>6.9444444444444447E-4</v>
      </c>
      <c r="F28" s="642">
        <v>0.41736111111111113</v>
      </c>
      <c r="G28" s="652">
        <f t="shared" si="4"/>
        <v>600</v>
      </c>
      <c r="H28" s="657" t="s">
        <v>562</v>
      </c>
      <c r="I28" s="1136">
        <v>6</v>
      </c>
      <c r="J28" s="841">
        <f>(720-G28)/60</f>
        <v>2</v>
      </c>
      <c r="K28" s="844">
        <f>J28/12</f>
        <v>0.16666666666666666</v>
      </c>
      <c r="L28" s="1106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20">
        <v>46277</v>
      </c>
      <c r="B29" s="1121"/>
      <c r="C29" s="864" t="s">
        <v>13</v>
      </c>
      <c r="D29" s="645" t="s">
        <v>170</v>
      </c>
      <c r="E29" s="646">
        <v>6.9444444444444447E-4</v>
      </c>
      <c r="F29" s="646">
        <v>0.50069444444444444</v>
      </c>
      <c r="G29" s="647">
        <f t="shared" si="4"/>
        <v>720</v>
      </c>
      <c r="H29" s="648" t="s">
        <v>552</v>
      </c>
      <c r="I29" s="1137"/>
      <c r="J29" s="841">
        <f t="shared" ref="J29:J33" si="14">(720-G29)/60</f>
        <v>0</v>
      </c>
      <c r="K29" s="844">
        <f t="shared" ref="K29:K33" si="15">J29/12</f>
        <v>0</v>
      </c>
      <c r="L29" s="1105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122">
        <v>46277</v>
      </c>
      <c r="B30" s="1123"/>
      <c r="C30" s="864" t="s">
        <v>14</v>
      </c>
      <c r="D30" s="643" t="s">
        <v>170</v>
      </c>
      <c r="E30" s="644">
        <v>6.9444444444444447E-4</v>
      </c>
      <c r="F30" s="644">
        <v>0.50069444444444444</v>
      </c>
      <c r="G30" s="640">
        <f t="shared" si="4"/>
        <v>720</v>
      </c>
      <c r="H30" s="658" t="s">
        <v>563</v>
      </c>
      <c r="I30" s="1137"/>
      <c r="J30" s="841">
        <f t="shared" si="14"/>
        <v>0</v>
      </c>
      <c r="K30" s="844">
        <f t="shared" si="15"/>
        <v>0</v>
      </c>
      <c r="L30" s="1105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24">
        <v>46278</v>
      </c>
      <c r="B31" s="1125"/>
      <c r="C31" s="864" t="s">
        <v>13</v>
      </c>
      <c r="D31" s="787" t="s">
        <v>223</v>
      </c>
      <c r="E31" s="642">
        <v>6.9444444444444447E-4</v>
      </c>
      <c r="F31" s="642">
        <v>0.50069444444444444</v>
      </c>
      <c r="G31" s="756">
        <f t="shared" si="4"/>
        <v>720</v>
      </c>
      <c r="H31" s="757" t="s">
        <v>564</v>
      </c>
      <c r="I31" s="1137"/>
      <c r="J31" s="841">
        <f t="shared" si="14"/>
        <v>0</v>
      </c>
      <c r="K31" s="844">
        <f t="shared" si="15"/>
        <v>0</v>
      </c>
      <c r="L31" s="1105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126">
        <v>46278</v>
      </c>
      <c r="B32" s="1127"/>
      <c r="C32" s="864" t="s">
        <v>14</v>
      </c>
      <c r="D32" s="788" t="s">
        <v>170</v>
      </c>
      <c r="E32" s="759">
        <v>6.9444444444444447E-4</v>
      </c>
      <c r="F32" s="759">
        <v>0.50069444444444444</v>
      </c>
      <c r="G32" s="760">
        <f t="shared" si="4"/>
        <v>720</v>
      </c>
      <c r="H32" s="761"/>
      <c r="I32" s="1137"/>
      <c r="J32" s="841">
        <f t="shared" si="14"/>
        <v>0</v>
      </c>
      <c r="K32" s="844">
        <f t="shared" si="15"/>
        <v>0</v>
      </c>
      <c r="L32" s="1105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32">
        <v>46279</v>
      </c>
      <c r="B33" s="1133"/>
      <c r="C33" s="864" t="s">
        <v>13</v>
      </c>
      <c r="D33" s="762" t="s">
        <v>170</v>
      </c>
      <c r="E33" s="763">
        <v>6.9444444444444447E-4</v>
      </c>
      <c r="F33" s="763">
        <v>0.50069444444444444</v>
      </c>
      <c r="G33" s="764">
        <f t="shared" si="4"/>
        <v>720</v>
      </c>
      <c r="H33" s="765"/>
      <c r="I33" s="1138"/>
      <c r="J33" s="841">
        <f t="shared" si="14"/>
        <v>0</v>
      </c>
      <c r="K33" s="844">
        <f t="shared" si="15"/>
        <v>0</v>
      </c>
      <c r="L33" s="1106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09">
        <v>46279</v>
      </c>
      <c r="B34" s="1110"/>
      <c r="C34" s="799" t="s">
        <v>14</v>
      </c>
      <c r="D34" s="768" t="s">
        <v>591</v>
      </c>
      <c r="E34" s="766">
        <v>6.9444444444444447E-4</v>
      </c>
      <c r="F34" s="766">
        <v>8.4027777777777785E-2</v>
      </c>
      <c r="G34" s="767">
        <f t="shared" si="4"/>
        <v>120.00000000000001</v>
      </c>
      <c r="H34" s="789" t="s">
        <v>592</v>
      </c>
      <c r="I34" s="1128">
        <v>7</v>
      </c>
      <c r="J34" s="840">
        <f>(720-G34)/60</f>
        <v>10</v>
      </c>
      <c r="K34" s="843">
        <f>J34/12</f>
        <v>0.83333333333333337</v>
      </c>
      <c r="L34" s="1106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11">
        <v>46280</v>
      </c>
      <c r="B35" s="1112"/>
      <c r="C35" s="799" t="s">
        <v>13</v>
      </c>
      <c r="D35" s="845" t="s">
        <v>531</v>
      </c>
      <c r="E35" s="517"/>
      <c r="F35" s="517"/>
      <c r="G35" s="518">
        <f t="shared" si="4"/>
        <v>0</v>
      </c>
      <c r="H35" s="846" t="s">
        <v>598</v>
      </c>
      <c r="I35" s="1099"/>
      <c r="J35" s="840">
        <f t="shared" ref="J35:J36" si="16">(720-G35)/60</f>
        <v>12</v>
      </c>
      <c r="K35" s="843">
        <f t="shared" ref="K35:K36" si="17">J35/12</f>
        <v>1</v>
      </c>
      <c r="L35" s="1107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11">
        <v>46280</v>
      </c>
      <c r="B36" s="1112"/>
      <c r="C36" s="799" t="s">
        <v>14</v>
      </c>
      <c r="D36" s="866" t="s">
        <v>591</v>
      </c>
      <c r="E36" s="517"/>
      <c r="F36" s="517"/>
      <c r="G36" s="518">
        <f t="shared" si="4"/>
        <v>0</v>
      </c>
      <c r="H36" s="871" t="s">
        <v>602</v>
      </c>
      <c r="I36" s="1100"/>
      <c r="J36" s="840">
        <f t="shared" si="16"/>
        <v>12</v>
      </c>
      <c r="K36" s="843">
        <f t="shared" si="17"/>
        <v>1</v>
      </c>
      <c r="L36" s="1107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13">
        <v>46281</v>
      </c>
      <c r="B37" s="1114"/>
      <c r="C37" s="864" t="s">
        <v>13</v>
      </c>
      <c r="D37" s="868" t="s">
        <v>531</v>
      </c>
      <c r="E37" s="867"/>
      <c r="F37" s="867"/>
      <c r="G37" s="515">
        <f t="shared" si="4"/>
        <v>0</v>
      </c>
      <c r="H37" s="869" t="s">
        <v>600</v>
      </c>
      <c r="I37" s="1134">
        <v>8</v>
      </c>
      <c r="J37" s="841">
        <f>(720-G37)/60</f>
        <v>12</v>
      </c>
      <c r="K37" s="844">
        <f>J37/12</f>
        <v>1</v>
      </c>
      <c r="L37" s="1105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13">
        <v>46281</v>
      </c>
      <c r="B38" s="1114"/>
      <c r="C38" s="864" t="s">
        <v>14</v>
      </c>
      <c r="D38" s="877" t="s">
        <v>605</v>
      </c>
      <c r="E38" s="867">
        <v>6.9444444444444447E-4</v>
      </c>
      <c r="F38" s="867">
        <v>4.5138888888888888E-2</v>
      </c>
      <c r="G38" s="515">
        <f t="shared" si="4"/>
        <v>64</v>
      </c>
      <c r="H38" s="878" t="s">
        <v>607</v>
      </c>
      <c r="I38" s="1135"/>
      <c r="J38" s="841">
        <f t="shared" ref="J38:J69" si="18">(720-G38)/60</f>
        <v>10.933333333333334</v>
      </c>
      <c r="K38" s="844">
        <f t="shared" ref="K38:K69" si="19">J38/12</f>
        <v>0.91111111111111109</v>
      </c>
      <c r="L38" s="1105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13">
        <v>46282</v>
      </c>
      <c r="B39" s="1114"/>
      <c r="C39" s="513" t="s">
        <v>13</v>
      </c>
      <c r="D39" s="965" t="s">
        <v>636</v>
      </c>
      <c r="E39" s="867"/>
      <c r="F39" s="867"/>
      <c r="G39" s="515">
        <f t="shared" si="4"/>
        <v>0</v>
      </c>
      <c r="H39" s="966" t="s">
        <v>637</v>
      </c>
      <c r="I39" s="994"/>
      <c r="J39" s="841">
        <f t="shared" si="18"/>
        <v>12</v>
      </c>
      <c r="K39" s="844">
        <f t="shared" si="19"/>
        <v>1</v>
      </c>
      <c r="L39" s="1105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18">
        <v>46282</v>
      </c>
      <c r="B40" s="1119"/>
      <c r="C40" s="951" t="s">
        <v>14</v>
      </c>
      <c r="D40" s="988" t="s">
        <v>605</v>
      </c>
      <c r="E40" s="984"/>
      <c r="F40" s="984"/>
      <c r="G40" s="985">
        <f t="shared" si="4"/>
        <v>0</v>
      </c>
      <c r="H40" s="989" t="s">
        <v>650</v>
      </c>
      <c r="I40" s="108"/>
      <c r="J40" s="986">
        <f t="shared" si="18"/>
        <v>12</v>
      </c>
      <c r="K40" s="987">
        <f t="shared" si="19"/>
        <v>1</v>
      </c>
      <c r="L40" s="1105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x14ac:dyDescent="0.3">
      <c r="A41" s="1116">
        <v>46283</v>
      </c>
      <c r="B41" s="1117"/>
      <c r="C41" s="37" t="s">
        <v>13</v>
      </c>
      <c r="D41" s="66"/>
      <c r="E41" s="68"/>
      <c r="F41" s="68"/>
      <c r="G41" s="512">
        <f t="shared" si="4"/>
        <v>0</v>
      </c>
      <c r="H41" s="451"/>
      <c r="I41" s="430"/>
      <c r="J41" s="431">
        <f t="shared" si="18"/>
        <v>12</v>
      </c>
      <c r="K41" s="842">
        <f t="shared" si="19"/>
        <v>1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16">
        <v>46283</v>
      </c>
      <c r="B42" s="1117"/>
      <c r="C42" s="37" t="s">
        <v>14</v>
      </c>
      <c r="D42" s="66"/>
      <c r="E42" s="68"/>
      <c r="F42" s="68"/>
      <c r="G42" s="512">
        <f t="shared" si="4"/>
        <v>0</v>
      </c>
      <c r="H42" s="451"/>
      <c r="I42" s="430"/>
      <c r="J42" s="431">
        <f t="shared" si="18"/>
        <v>12</v>
      </c>
      <c r="K42" s="842">
        <f t="shared" si="19"/>
        <v>1</v>
      </c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16">
        <v>46284</v>
      </c>
      <c r="B43" s="1117"/>
      <c r="C43" s="37" t="s">
        <v>13</v>
      </c>
      <c r="D43" s="66"/>
      <c r="E43" s="68"/>
      <c r="F43" s="68"/>
      <c r="G43" s="512">
        <f t="shared" si="4"/>
        <v>0</v>
      </c>
      <c r="H43" s="451"/>
      <c r="I43" s="430"/>
      <c r="J43" s="431">
        <f t="shared" si="18"/>
        <v>12</v>
      </c>
      <c r="K43" s="842">
        <f t="shared" si="19"/>
        <v>1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116">
        <v>46284</v>
      </c>
      <c r="B44" s="1117"/>
      <c r="C44" s="37" t="s">
        <v>14</v>
      </c>
      <c r="D44" s="66"/>
      <c r="E44" s="68"/>
      <c r="F44" s="68"/>
      <c r="G44" s="512">
        <f t="shared" si="4"/>
        <v>0</v>
      </c>
      <c r="H44" s="451"/>
      <c r="I44" s="430"/>
      <c r="J44" s="431">
        <f t="shared" si="18"/>
        <v>12</v>
      </c>
      <c r="K44" s="842">
        <f t="shared" si="19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116">
        <v>46285</v>
      </c>
      <c r="B45" s="1117"/>
      <c r="C45" s="37" t="s">
        <v>13</v>
      </c>
      <c r="D45" s="66"/>
      <c r="E45" s="68"/>
      <c r="F45" s="68"/>
      <c r="G45" s="512">
        <f t="shared" si="4"/>
        <v>0</v>
      </c>
      <c r="H45" s="451"/>
      <c r="I45" s="430"/>
      <c r="J45" s="431">
        <f t="shared" si="18"/>
        <v>12</v>
      </c>
      <c r="K45" s="842">
        <f t="shared" si="19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16">
        <v>46285</v>
      </c>
      <c r="B46" s="1117"/>
      <c r="C46" s="37" t="s">
        <v>14</v>
      </c>
      <c r="D46" s="66"/>
      <c r="E46" s="68"/>
      <c r="F46" s="68"/>
      <c r="G46" s="512">
        <f t="shared" ref="G46:G47" si="20">(F46-E46)*1440</f>
        <v>0</v>
      </c>
      <c r="H46" s="451"/>
      <c r="I46" s="430"/>
      <c r="J46" s="431">
        <f t="shared" si="18"/>
        <v>12</v>
      </c>
      <c r="K46" s="842">
        <f t="shared" si="19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16">
        <v>46286</v>
      </c>
      <c r="B47" s="1117"/>
      <c r="C47" s="37" t="s">
        <v>13</v>
      </c>
      <c r="D47" s="66"/>
      <c r="E47" s="68"/>
      <c r="F47" s="68"/>
      <c r="G47" s="512">
        <f t="shared" si="20"/>
        <v>0</v>
      </c>
      <c r="H47" s="451"/>
      <c r="I47" s="430"/>
      <c r="J47" s="431">
        <f t="shared" si="18"/>
        <v>12</v>
      </c>
      <c r="K47" s="842">
        <f t="shared" si="19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16">
        <v>46286</v>
      </c>
      <c r="B48" s="1117"/>
      <c r="C48" s="37" t="s">
        <v>14</v>
      </c>
      <c r="D48" s="66"/>
      <c r="E48" s="68"/>
      <c r="F48" s="68"/>
      <c r="G48" s="512">
        <f t="shared" ref="G48" si="21">(F48-E48)*1440</f>
        <v>0</v>
      </c>
      <c r="H48" s="451"/>
      <c r="I48" s="430"/>
      <c r="J48" s="431">
        <f t="shared" si="18"/>
        <v>12</v>
      </c>
      <c r="K48" s="842">
        <f t="shared" si="19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16">
        <v>46287</v>
      </c>
      <c r="B49" s="1117"/>
      <c r="C49" s="37" t="s">
        <v>13</v>
      </c>
      <c r="D49" s="66"/>
      <c r="E49" s="68"/>
      <c r="F49" s="68"/>
      <c r="G49" s="512">
        <f t="shared" ref="G49:G51" si="22">(F49-E49)*1440</f>
        <v>0</v>
      </c>
      <c r="H49" s="451"/>
      <c r="I49" s="430"/>
      <c r="J49" s="431">
        <f t="shared" si="18"/>
        <v>12</v>
      </c>
      <c r="K49" s="842">
        <f t="shared" si="19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16">
        <v>46287</v>
      </c>
      <c r="B50" s="1117"/>
      <c r="C50" s="37" t="s">
        <v>14</v>
      </c>
      <c r="D50" s="66"/>
      <c r="E50" s="68"/>
      <c r="F50" s="68"/>
      <c r="G50" s="512">
        <f t="shared" si="22"/>
        <v>0</v>
      </c>
      <c r="H50" s="451"/>
      <c r="I50" s="430"/>
      <c r="J50" s="431">
        <f t="shared" si="18"/>
        <v>12</v>
      </c>
      <c r="K50" s="842">
        <f t="shared" si="19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16">
        <v>46288</v>
      </c>
      <c r="B51" s="1117"/>
      <c r="C51" s="37" t="s">
        <v>13</v>
      </c>
      <c r="D51" s="66"/>
      <c r="E51" s="68"/>
      <c r="F51" s="68"/>
      <c r="G51" s="512">
        <f t="shared" si="22"/>
        <v>0</v>
      </c>
      <c r="H51" s="451"/>
      <c r="I51" s="430"/>
      <c r="J51" s="431">
        <f t="shared" si="18"/>
        <v>12</v>
      </c>
      <c r="K51" s="842">
        <f t="shared" si="19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16">
        <v>46288</v>
      </c>
      <c r="B52" s="1117"/>
      <c r="C52" s="37" t="s">
        <v>14</v>
      </c>
      <c r="D52" s="66"/>
      <c r="E52" s="68"/>
      <c r="F52" s="68"/>
      <c r="G52" s="512">
        <f>(F52-E52)*1440</f>
        <v>0</v>
      </c>
      <c r="H52" s="451"/>
      <c r="I52" s="430"/>
      <c r="J52" s="431">
        <f t="shared" si="18"/>
        <v>12</v>
      </c>
      <c r="K52" s="842">
        <f t="shared" si="19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16">
        <v>46289</v>
      </c>
      <c r="B53" s="1117"/>
      <c r="C53" s="37" t="s">
        <v>13</v>
      </c>
      <c r="D53" s="66"/>
      <c r="E53" s="68"/>
      <c r="F53" s="68"/>
      <c r="G53" s="512">
        <f t="shared" ref="G53:G57" si="23">(F53-E53)*1440</f>
        <v>0</v>
      </c>
      <c r="H53" s="451"/>
      <c r="I53" s="430"/>
      <c r="J53" s="431">
        <f t="shared" si="18"/>
        <v>12</v>
      </c>
      <c r="K53" s="842">
        <f t="shared" si="19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16">
        <v>46289</v>
      </c>
      <c r="B54" s="1117"/>
      <c r="C54" s="37" t="s">
        <v>14</v>
      </c>
      <c r="D54" s="66"/>
      <c r="E54" s="68"/>
      <c r="F54" s="68"/>
      <c r="G54" s="512">
        <f t="shared" si="23"/>
        <v>0</v>
      </c>
      <c r="H54" s="451"/>
      <c r="I54" s="430"/>
      <c r="J54" s="431">
        <f t="shared" si="18"/>
        <v>12</v>
      </c>
      <c r="K54" s="842">
        <f t="shared" si="19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16">
        <v>46290</v>
      </c>
      <c r="B55" s="1117"/>
      <c r="C55" s="37" t="s">
        <v>13</v>
      </c>
      <c r="D55" s="66"/>
      <c r="E55" s="68"/>
      <c r="F55" s="68"/>
      <c r="G55" s="512">
        <f t="shared" si="23"/>
        <v>0</v>
      </c>
      <c r="H55" s="451"/>
      <c r="I55" s="430"/>
      <c r="J55" s="431">
        <f t="shared" si="18"/>
        <v>12</v>
      </c>
      <c r="K55" s="842">
        <f t="shared" si="19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16">
        <v>46290</v>
      </c>
      <c r="B56" s="1117"/>
      <c r="C56" s="37" t="s">
        <v>14</v>
      </c>
      <c r="D56" s="66"/>
      <c r="E56" s="68"/>
      <c r="F56" s="68"/>
      <c r="G56" s="512">
        <f t="shared" si="23"/>
        <v>0</v>
      </c>
      <c r="H56" s="451"/>
      <c r="I56" s="430"/>
      <c r="J56" s="431">
        <f t="shared" si="18"/>
        <v>12</v>
      </c>
      <c r="K56" s="842">
        <f t="shared" si="19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16">
        <v>46291</v>
      </c>
      <c r="B57" s="1117"/>
      <c r="C57" s="37" t="s">
        <v>13</v>
      </c>
      <c r="D57" s="66"/>
      <c r="E57" s="68"/>
      <c r="F57" s="68"/>
      <c r="G57" s="512">
        <f t="shared" si="23"/>
        <v>0</v>
      </c>
      <c r="H57" s="451"/>
      <c r="I57" s="430"/>
      <c r="J57" s="431">
        <f t="shared" si="18"/>
        <v>12</v>
      </c>
      <c r="K57" s="842">
        <f t="shared" si="19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16">
        <v>46291</v>
      </c>
      <c r="B58" s="1117"/>
      <c r="C58" s="37" t="s">
        <v>14</v>
      </c>
      <c r="D58" s="66"/>
      <c r="E58" s="68"/>
      <c r="F58" s="68"/>
      <c r="G58" s="512">
        <f t="shared" ref="G58:G69" si="24">(F58-E58)*1440</f>
        <v>0</v>
      </c>
      <c r="H58" s="451"/>
      <c r="I58" s="430"/>
      <c r="J58" s="431">
        <f t="shared" si="18"/>
        <v>12</v>
      </c>
      <c r="K58" s="842">
        <f t="shared" si="19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16">
        <v>46292</v>
      </c>
      <c r="B59" s="1117"/>
      <c r="C59" s="37" t="s">
        <v>13</v>
      </c>
      <c r="D59" s="66"/>
      <c r="E59" s="68"/>
      <c r="F59" s="68"/>
      <c r="G59" s="512">
        <f t="shared" si="24"/>
        <v>0</v>
      </c>
      <c r="H59" s="451"/>
      <c r="I59" s="430"/>
      <c r="J59" s="431">
        <f t="shared" si="18"/>
        <v>12</v>
      </c>
      <c r="K59" s="842">
        <f t="shared" si="19"/>
        <v>1</v>
      </c>
      <c r="O59" s="63"/>
      <c r="P59" s="70">
        <f>SUM(P5:P58)</f>
        <v>8352</v>
      </c>
      <c r="Q59" s="70">
        <f>SUM(Q5:Q58)</f>
        <v>292.79999999999995</v>
      </c>
      <c r="R59" s="71">
        <f>Q59/(Q59+S59)</f>
        <v>0.67777777777777781</v>
      </c>
      <c r="S59" s="67">
        <f>SUM(S5:S58)</f>
        <v>139.19999999999999</v>
      </c>
      <c r="T59" s="6"/>
    </row>
    <row r="60" spans="1:20" x14ac:dyDescent="0.3">
      <c r="A60" s="1116">
        <v>46292</v>
      </c>
      <c r="B60" s="1117"/>
      <c r="C60" s="37" t="s">
        <v>14</v>
      </c>
      <c r="D60" s="66"/>
      <c r="E60" s="68"/>
      <c r="F60" s="68"/>
      <c r="G60" s="512">
        <f t="shared" si="24"/>
        <v>0</v>
      </c>
      <c r="H60" s="451"/>
      <c r="I60" s="430"/>
      <c r="J60" s="431">
        <f t="shared" si="18"/>
        <v>12</v>
      </c>
      <c r="K60" s="842">
        <f t="shared" si="19"/>
        <v>1</v>
      </c>
      <c r="O60" s="63"/>
      <c r="P60" s="72">
        <f>P59/60</f>
        <v>139.19999999999999</v>
      </c>
      <c r="Q60" s="44">
        <f>Q59/24</f>
        <v>12.199999999999998</v>
      </c>
      <c r="R60" s="995">
        <f>Q60+S60</f>
        <v>17.999999999999996</v>
      </c>
      <c r="S60" s="11">
        <f>S59/24</f>
        <v>5.8</v>
      </c>
    </row>
    <row r="61" spans="1:20" x14ac:dyDescent="0.3">
      <c r="A61" s="1116">
        <v>46293</v>
      </c>
      <c r="B61" s="1117"/>
      <c r="C61" s="37" t="s">
        <v>13</v>
      </c>
      <c r="D61" s="66"/>
      <c r="E61" s="68"/>
      <c r="F61" s="68"/>
      <c r="G61" s="512">
        <f t="shared" si="24"/>
        <v>0</v>
      </c>
      <c r="H61" s="451"/>
      <c r="I61" s="430"/>
      <c r="J61" s="431">
        <f t="shared" si="18"/>
        <v>12</v>
      </c>
      <c r="K61" s="842">
        <f t="shared" si="19"/>
        <v>1</v>
      </c>
      <c r="M61" s="44">
        <f>Q60+S60</f>
        <v>17.999999999999996</v>
      </c>
      <c r="Q61" s="11"/>
    </row>
    <row r="62" spans="1:20" x14ac:dyDescent="0.3">
      <c r="A62" s="1116">
        <v>46293</v>
      </c>
      <c r="B62" s="1117"/>
      <c r="C62" s="37" t="s">
        <v>14</v>
      </c>
      <c r="D62" s="66"/>
      <c r="E62" s="68"/>
      <c r="F62" s="68"/>
      <c r="G62" s="512">
        <f t="shared" si="24"/>
        <v>0</v>
      </c>
      <c r="H62" s="451"/>
      <c r="I62" s="430"/>
      <c r="J62" s="431">
        <f t="shared" si="18"/>
        <v>12</v>
      </c>
      <c r="K62" s="842">
        <f t="shared" si="19"/>
        <v>1</v>
      </c>
      <c r="N62" s="11">
        <f>'Au Cal Leaching Tank'!O61/238</f>
        <v>10.024174633403362</v>
      </c>
      <c r="P62" s="11"/>
    </row>
    <row r="63" spans="1:20" x14ac:dyDescent="0.3">
      <c r="A63" s="1116">
        <v>46294</v>
      </c>
      <c r="B63" s="1117"/>
      <c r="C63" s="37" t="s">
        <v>13</v>
      </c>
      <c r="D63" s="66"/>
      <c r="E63" s="68"/>
      <c r="F63" s="68"/>
      <c r="G63" s="512">
        <f t="shared" si="24"/>
        <v>0</v>
      </c>
      <c r="H63" s="451"/>
      <c r="I63" s="430"/>
      <c r="J63" s="431">
        <f t="shared" si="18"/>
        <v>12</v>
      </c>
      <c r="K63" s="842">
        <f t="shared" si="19"/>
        <v>1</v>
      </c>
      <c r="N63" s="1">
        <f>N62*234</f>
        <v>2345.6568642163866</v>
      </c>
    </row>
    <row r="64" spans="1:20" x14ac:dyDescent="0.3">
      <c r="A64" s="1116">
        <v>46294</v>
      </c>
      <c r="B64" s="1117"/>
      <c r="C64" s="37" t="s">
        <v>14</v>
      </c>
      <c r="D64" s="66"/>
      <c r="E64" s="68"/>
      <c r="F64" s="68"/>
      <c r="G64" s="512">
        <f t="shared" si="24"/>
        <v>0</v>
      </c>
      <c r="H64" s="451"/>
      <c r="I64" s="430"/>
      <c r="J64" s="431">
        <f t="shared" si="18"/>
        <v>12</v>
      </c>
      <c r="K64" s="842">
        <f t="shared" si="19"/>
        <v>1</v>
      </c>
    </row>
    <row r="65" spans="1:17" x14ac:dyDescent="0.3">
      <c r="A65" s="1116">
        <v>46295</v>
      </c>
      <c r="B65" s="1117"/>
      <c r="C65" s="37" t="s">
        <v>13</v>
      </c>
      <c r="D65" s="66"/>
      <c r="E65" s="68"/>
      <c r="F65" s="68"/>
      <c r="G65" s="512">
        <f t="shared" si="24"/>
        <v>0</v>
      </c>
      <c r="H65" s="451"/>
      <c r="I65" s="430"/>
      <c r="J65" s="431">
        <f t="shared" si="18"/>
        <v>12</v>
      </c>
      <c r="K65" s="842">
        <f t="shared" si="19"/>
        <v>1</v>
      </c>
    </row>
    <row r="66" spans="1:17" x14ac:dyDescent="0.3">
      <c r="A66" s="1116">
        <v>46295</v>
      </c>
      <c r="B66" s="1117"/>
      <c r="C66" s="37" t="s">
        <v>14</v>
      </c>
      <c r="D66" s="66"/>
      <c r="E66" s="68"/>
      <c r="F66" s="68"/>
      <c r="G66" s="512">
        <f t="shared" si="24"/>
        <v>0</v>
      </c>
      <c r="H66" s="451"/>
      <c r="I66" s="430"/>
      <c r="J66" s="431">
        <f t="shared" si="18"/>
        <v>12</v>
      </c>
      <c r="K66" s="842">
        <f t="shared" si="19"/>
        <v>1</v>
      </c>
      <c r="Q66" s="2"/>
    </row>
    <row r="67" spans="1:17" x14ac:dyDescent="0.3">
      <c r="A67" s="1116">
        <v>46296</v>
      </c>
      <c r="B67" s="1117"/>
      <c r="C67" s="37" t="s">
        <v>13</v>
      </c>
      <c r="D67" s="66"/>
      <c r="E67" s="68"/>
      <c r="F67" s="68"/>
      <c r="G67" s="512">
        <f t="shared" si="24"/>
        <v>0</v>
      </c>
      <c r="H67" s="451"/>
      <c r="I67" s="430"/>
      <c r="J67" s="431">
        <f t="shared" si="18"/>
        <v>12</v>
      </c>
      <c r="K67" s="842">
        <f t="shared" si="19"/>
        <v>1</v>
      </c>
      <c r="M67" s="30"/>
    </row>
    <row r="68" spans="1:17" x14ac:dyDescent="0.3">
      <c r="A68" s="1116">
        <v>46296</v>
      </c>
      <c r="B68" s="1117"/>
      <c r="C68" s="37" t="s">
        <v>14</v>
      </c>
      <c r="D68" s="66"/>
      <c r="E68" s="68"/>
      <c r="F68" s="68"/>
      <c r="G68" s="512">
        <f t="shared" si="24"/>
        <v>0</v>
      </c>
      <c r="H68" s="451"/>
      <c r="I68" s="430"/>
      <c r="J68" s="431">
        <f t="shared" si="18"/>
        <v>12</v>
      </c>
      <c r="K68" s="842">
        <f t="shared" si="19"/>
        <v>1</v>
      </c>
    </row>
    <row r="69" spans="1:17" x14ac:dyDescent="0.3">
      <c r="A69" s="1116">
        <v>46297</v>
      </c>
      <c r="B69" s="1117"/>
      <c r="C69" s="37" t="s">
        <v>13</v>
      </c>
      <c r="D69" s="66"/>
      <c r="E69" s="68"/>
      <c r="F69" s="68"/>
      <c r="G69" s="512">
        <f t="shared" si="24"/>
        <v>0</v>
      </c>
      <c r="H69" s="451"/>
      <c r="I69" s="430"/>
      <c r="J69" s="431">
        <f t="shared" si="18"/>
        <v>12</v>
      </c>
      <c r="K69" s="842">
        <f t="shared" si="19"/>
        <v>1</v>
      </c>
    </row>
  </sheetData>
  <mergeCells count="93"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L13:L14"/>
    <mergeCell ref="L15:L16"/>
    <mergeCell ref="L17:L18"/>
    <mergeCell ref="L19:L20"/>
    <mergeCell ref="L21:L22"/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</mergeCells>
  <phoneticPr fontId="6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4" zoomScaleNormal="85" workbookViewId="0">
      <pane ySplit="4" topLeftCell="A5" activePane="bottomLeft" state="frozen"/>
      <selection pane="bottomLeft" activeCell="F15" sqref="F15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0" customWidth="1"/>
    <col min="7" max="7" width="8.77734375" style="445"/>
    <col min="8" max="8" width="20.5546875" style="13" customWidth="1"/>
    <col min="9" max="9" width="18.88671875" style="338" customWidth="1"/>
    <col min="10" max="10" width="18.88671875" style="445" customWidth="1"/>
    <col min="11" max="11" width="9.77734375" style="445" customWidth="1"/>
    <col min="12" max="12" width="20.88671875" style="445" bestFit="1" customWidth="1"/>
    <col min="13" max="13" width="27.88671875" style="338" customWidth="1"/>
    <col min="14" max="14" width="16.6640625" style="445" customWidth="1"/>
    <col min="15" max="15" width="8.77734375" style="338"/>
    <col min="16" max="16" width="18.88671875" style="445" bestFit="1" customWidth="1"/>
    <col min="17" max="17" width="18.88671875" style="338" customWidth="1"/>
    <col min="18" max="18" width="14.21875" style="445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600" customWidth="1"/>
    <col min="27" max="27" width="14.33203125" style="1" customWidth="1"/>
    <col min="28" max="28" width="21.88671875" style="96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4"/>
      <c r="E2" s="524"/>
      <c r="H2" s="1056" t="s">
        <v>33</v>
      </c>
      <c r="I2" s="1056"/>
      <c r="J2" s="1056"/>
      <c r="K2" s="1056"/>
      <c r="O2" s="338">
        <f>720+180</f>
        <v>900</v>
      </c>
    </row>
    <row r="3" spans="1:92" ht="15" thickBot="1" x14ac:dyDescent="0.35"/>
    <row r="4" spans="1:92" ht="29.4" thickBot="1" x14ac:dyDescent="0.35">
      <c r="A4" s="601" t="s">
        <v>551</v>
      </c>
      <c r="B4" s="1193" t="s">
        <v>1</v>
      </c>
      <c r="C4" s="1194"/>
      <c r="D4" s="835" t="s">
        <v>2</v>
      </c>
      <c r="E4" s="835" t="s">
        <v>177</v>
      </c>
      <c r="F4" s="836" t="s">
        <v>27</v>
      </c>
      <c r="G4" s="836" t="s">
        <v>34</v>
      </c>
      <c r="H4" s="837" t="s">
        <v>279</v>
      </c>
      <c r="I4" s="837" t="s">
        <v>445</v>
      </c>
      <c r="J4" s="837" t="s">
        <v>450</v>
      </c>
      <c r="K4" s="836" t="s">
        <v>35</v>
      </c>
      <c r="L4" s="837" t="s">
        <v>36</v>
      </c>
      <c r="M4" s="836" t="s">
        <v>444</v>
      </c>
      <c r="N4" s="836" t="s">
        <v>208</v>
      </c>
      <c r="O4" s="836" t="s">
        <v>37</v>
      </c>
      <c r="P4" s="836" t="s">
        <v>38</v>
      </c>
      <c r="Q4" s="836" t="s">
        <v>518</v>
      </c>
      <c r="R4" s="836" t="s">
        <v>128</v>
      </c>
      <c r="S4" s="836" t="s">
        <v>301</v>
      </c>
      <c r="T4" s="836" t="s">
        <v>154</v>
      </c>
      <c r="U4" s="836" t="s">
        <v>155</v>
      </c>
      <c r="V4" s="834" t="s">
        <v>156</v>
      </c>
      <c r="W4" s="836" t="s">
        <v>220</v>
      </c>
      <c r="X4" s="836" t="s">
        <v>221</v>
      </c>
      <c r="Y4" s="834" t="s">
        <v>222</v>
      </c>
      <c r="Z4" s="959" t="s">
        <v>590</v>
      </c>
      <c r="AB4" s="968" t="s">
        <v>519</v>
      </c>
      <c r="AC4" s="749" t="s">
        <v>587</v>
      </c>
    </row>
    <row r="5" spans="1:92" ht="30.6" customHeight="1" thickBot="1" x14ac:dyDescent="0.35">
      <c r="A5" s="1186">
        <v>1</v>
      </c>
      <c r="B5" s="1112">
        <v>46265</v>
      </c>
      <c r="C5" s="1112"/>
      <c r="D5" s="769" t="s">
        <v>447</v>
      </c>
      <c r="E5" s="769" t="s">
        <v>446</v>
      </c>
      <c r="F5" s="903" t="s">
        <v>13</v>
      </c>
      <c r="G5" s="843">
        <v>0.2271</v>
      </c>
      <c r="H5" s="569">
        <v>116.84</v>
      </c>
      <c r="I5" s="569">
        <f t="shared" ref="I5:I11" si="0">H5/((720-R5)/60)</f>
        <v>11.198722044728434</v>
      </c>
      <c r="J5" s="569">
        <f>H5</f>
        <v>116.84</v>
      </c>
      <c r="K5" s="916">
        <v>1.135</v>
      </c>
      <c r="L5" s="917">
        <v>0.68</v>
      </c>
      <c r="M5" s="569">
        <f>H5*K5*G5</f>
        <v>30.116503140000003</v>
      </c>
      <c r="N5" s="1184">
        <f>SUM(M5:M6)</f>
        <v>74.069659139999999</v>
      </c>
      <c r="O5" s="569">
        <f t="shared" ref="O5:O11" si="1">M5/((720-R5)/60)</f>
        <v>2.8865657961661344</v>
      </c>
      <c r="P5" s="1184">
        <f>'Milling Down Time Hours'!Q5</f>
        <v>22.433333333333334</v>
      </c>
      <c r="Q5" s="569">
        <f t="shared" ref="Q5:Q15" si="2">720-R5</f>
        <v>626</v>
      </c>
      <c r="R5" s="569">
        <f>'Milling Down Time Hours'!G5</f>
        <v>94</v>
      </c>
      <c r="S5" s="1173">
        <f>SUM(M5:M8)</f>
        <v>292.31360000000001</v>
      </c>
      <c r="T5" s="571">
        <f>AVERAGE('LT Ball Mill'!F4:F6)</f>
        <v>0.96699999999999997</v>
      </c>
      <c r="U5" s="571">
        <f>AVERAGE('LT Ball Mill'!G4:G6)</f>
        <v>0.41</v>
      </c>
      <c r="V5" s="571">
        <f>AVERAGE('LT Ball Mill'!H4:H6)</f>
        <v>6.1096666666666666</v>
      </c>
      <c r="W5" s="485">
        <f t="shared" ref="W5:W46" si="3">T5*M5</f>
        <v>29.122658536380001</v>
      </c>
      <c r="X5" s="569">
        <f t="shared" ref="X5:X46" si="4">M5*U5</f>
        <v>12.347766287400001</v>
      </c>
      <c r="Y5" s="569">
        <f t="shared" ref="Y5:Y46" si="5">M5*V5</f>
        <v>184.00179535102001</v>
      </c>
      <c r="Z5" s="903"/>
      <c r="AB5" s="969">
        <f t="shared" ref="AB5:AB40" si="6">W5*$AC$5</f>
        <v>72806646.340949997</v>
      </c>
      <c r="AC5" s="750">
        <v>2500000</v>
      </c>
      <c r="AE5" s="747"/>
      <c r="AG5" s="1154" t="s">
        <v>39</v>
      </c>
      <c r="AH5" s="1155"/>
      <c r="AI5" s="1155"/>
      <c r="AJ5" s="1156"/>
      <c r="AL5" s="737" t="s">
        <v>215</v>
      </c>
      <c r="AM5" s="738">
        <v>10.7</v>
      </c>
      <c r="AN5" s="739" t="s">
        <v>217</v>
      </c>
    </row>
    <row r="6" spans="1:92" ht="16.2" thickBot="1" x14ac:dyDescent="0.35">
      <c r="A6" s="1186"/>
      <c r="B6" s="1112"/>
      <c r="C6" s="1112"/>
      <c r="D6" s="769" t="s">
        <v>448</v>
      </c>
      <c r="E6" s="769" t="s">
        <v>446</v>
      </c>
      <c r="F6" s="903" t="s">
        <v>14</v>
      </c>
      <c r="G6" s="843">
        <v>0.36</v>
      </c>
      <c r="H6" s="785">
        <f>J6-H5</f>
        <v>98.859999999999985</v>
      </c>
      <c r="I6" s="569">
        <f t="shared" si="0"/>
        <v>8.2383333333333315</v>
      </c>
      <c r="J6" s="569">
        <v>215.7</v>
      </c>
      <c r="K6" s="916">
        <v>1.2350000000000001</v>
      </c>
      <c r="L6" s="917">
        <v>0.68</v>
      </c>
      <c r="M6" s="569">
        <f>H6*K6*G6</f>
        <v>43.953155999999993</v>
      </c>
      <c r="N6" s="1184"/>
      <c r="O6" s="569">
        <f t="shared" si="1"/>
        <v>3.6627629999999995</v>
      </c>
      <c r="P6" s="1184"/>
      <c r="Q6" s="569">
        <f t="shared" si="2"/>
        <v>720</v>
      </c>
      <c r="R6" s="569">
        <f>'Milling Down Time Hours'!G6</f>
        <v>0</v>
      </c>
      <c r="S6" s="1173"/>
      <c r="T6" s="571">
        <f>AVERAGE('LT Ball Mill'!F7:F9)</f>
        <v>0.60899999999999999</v>
      </c>
      <c r="U6" s="571">
        <f>AVERAGE('LT Ball Mill'!G7:G9)</f>
        <v>0.52833333333333343</v>
      </c>
      <c r="V6" s="571">
        <f>AVERAGE('LT Ball Mill'!H7:H9)</f>
        <v>7.623333333333334</v>
      </c>
      <c r="W6" s="485">
        <f t="shared" si="3"/>
        <v>26.767472003999995</v>
      </c>
      <c r="X6" s="569">
        <f t="shared" si="4"/>
        <v>23.22191742</v>
      </c>
      <c r="Y6" s="569">
        <f t="shared" si="5"/>
        <v>335.06955923999999</v>
      </c>
      <c r="Z6" s="903"/>
      <c r="AB6" s="970">
        <f t="shared" si="6"/>
        <v>66918680.00999999</v>
      </c>
      <c r="AD6" s="747"/>
      <c r="AE6" s="747"/>
      <c r="AG6" s="727"/>
      <c r="AH6" s="734" t="s">
        <v>40</v>
      </c>
      <c r="AI6" s="748">
        <v>1220</v>
      </c>
      <c r="AJ6" s="728" t="s">
        <v>41</v>
      </c>
      <c r="AK6" s="733"/>
      <c r="AL6" s="740" t="s">
        <v>216</v>
      </c>
      <c r="AM6" s="746">
        <v>10.8</v>
      </c>
      <c r="AN6" s="742" t="s">
        <v>217</v>
      </c>
    </row>
    <row r="7" spans="1:92" s="439" customFormat="1" ht="15.6" x14ac:dyDescent="0.3">
      <c r="A7" s="1186"/>
      <c r="B7" s="1112">
        <v>46266</v>
      </c>
      <c r="C7" s="1112"/>
      <c r="D7" s="769" t="s">
        <v>447</v>
      </c>
      <c r="E7" s="769" t="s">
        <v>446</v>
      </c>
      <c r="F7" s="903" t="s">
        <v>13</v>
      </c>
      <c r="G7" s="917">
        <v>0.38790000000000002</v>
      </c>
      <c r="H7" s="786">
        <f>J7-SUM(H5:H6)</f>
        <v>143.30000000000001</v>
      </c>
      <c r="I7" s="569">
        <f t="shared" si="0"/>
        <v>11.941666666666668</v>
      </c>
      <c r="J7" s="569">
        <v>359</v>
      </c>
      <c r="K7" s="595">
        <v>1.2549999999999999</v>
      </c>
      <c r="L7" s="917">
        <v>0.7</v>
      </c>
      <c r="M7" s="569">
        <f>(K7*J7*G7)-(SUM(M5:M6))</f>
        <v>100.69674635999999</v>
      </c>
      <c r="N7" s="1184">
        <f>SUM(M7:M8)</f>
        <v>218.24394086000001</v>
      </c>
      <c r="O7" s="569">
        <f t="shared" si="1"/>
        <v>8.3913955299999987</v>
      </c>
      <c r="P7" s="1184">
        <f>'Milling Down Time Hours'!Q6</f>
        <v>22.9</v>
      </c>
      <c r="Q7" s="569">
        <f t="shared" si="2"/>
        <v>720</v>
      </c>
      <c r="R7" s="569">
        <f>'Milling Down Time Hours'!G7</f>
        <v>0</v>
      </c>
      <c r="S7" s="1173"/>
      <c r="T7" s="571">
        <f>AVERAGE('LT Ball Mill'!F10:F12)</f>
        <v>0.64699999999999991</v>
      </c>
      <c r="U7" s="571">
        <f>AVERAGE('LT Ball Mill'!G10:G12)</f>
        <v>0.67433333333333334</v>
      </c>
      <c r="V7" s="571">
        <f>AVERAGE('LT Ball Mill'!H10:H12)</f>
        <v>7.5333333333333341</v>
      </c>
      <c r="W7" s="485">
        <f t="shared" si="3"/>
        <v>65.150794894919983</v>
      </c>
      <c r="X7" s="569">
        <f t="shared" si="4"/>
        <v>67.903172628759989</v>
      </c>
      <c r="Y7" s="569">
        <f t="shared" si="5"/>
        <v>758.58215591199996</v>
      </c>
      <c r="Z7" s="903"/>
      <c r="AA7" s="1"/>
      <c r="AB7" s="970">
        <f t="shared" si="6"/>
        <v>162876987.23729995</v>
      </c>
      <c r="AC7" s="1"/>
      <c r="AD7" s="1"/>
      <c r="AE7" s="1"/>
      <c r="AF7" s="1"/>
      <c r="AG7" s="727"/>
      <c r="AH7" s="31" t="s">
        <v>42</v>
      </c>
      <c r="AI7" s="735">
        <v>1000</v>
      </c>
      <c r="AJ7" s="728" t="s">
        <v>43</v>
      </c>
      <c r="AK7" s="1"/>
      <c r="AL7" s="740" t="s">
        <v>218</v>
      </c>
      <c r="AM7" s="741">
        <f>AM5*0.5</f>
        <v>5.35</v>
      </c>
      <c r="AN7" s="742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9" customFormat="1" ht="16.2" thickBot="1" x14ac:dyDescent="0.35">
      <c r="A8" s="1186"/>
      <c r="B8" s="1112"/>
      <c r="C8" s="1112"/>
      <c r="D8" s="770" t="s">
        <v>448</v>
      </c>
      <c r="E8" s="770" t="s">
        <v>449</v>
      </c>
      <c r="F8" s="903" t="s">
        <v>14</v>
      </c>
      <c r="G8" s="917">
        <v>0.41</v>
      </c>
      <c r="H8" s="569">
        <f>J8-SUM(H5:H7)</f>
        <v>198</v>
      </c>
      <c r="I8" s="569">
        <f t="shared" si="0"/>
        <v>18.165137614678898</v>
      </c>
      <c r="J8" s="569">
        <v>557</v>
      </c>
      <c r="K8" s="595">
        <v>1.28</v>
      </c>
      <c r="L8" s="917">
        <v>0.7</v>
      </c>
      <c r="M8" s="569">
        <f>(K8*J8*G8)-(SUM(M5:M7))</f>
        <v>117.54719450000002</v>
      </c>
      <c r="N8" s="1184"/>
      <c r="O8" s="569">
        <f t="shared" si="1"/>
        <v>10.78414628440367</v>
      </c>
      <c r="P8" s="1184"/>
      <c r="Q8" s="569">
        <f t="shared" si="2"/>
        <v>654</v>
      </c>
      <c r="R8" s="569">
        <f>'Milling Down Time Hours'!G8</f>
        <v>66</v>
      </c>
      <c r="S8" s="1173"/>
      <c r="T8" s="571">
        <f>AVERAGE('LT Ball Mill'!F13:F15)</f>
        <v>0.60899999999999999</v>
      </c>
      <c r="U8" s="571">
        <f>AVERAGE('LT Ball Mill'!G13:G15)</f>
        <v>0.52833333333333343</v>
      </c>
      <c r="V8" s="571">
        <f>AVERAGE('LT Ball Mill'!H13:H15)</f>
        <v>7.623333333333334</v>
      </c>
      <c r="W8" s="485">
        <f t="shared" si="3"/>
        <v>71.586241450500012</v>
      </c>
      <c r="X8" s="569">
        <f t="shared" si="4"/>
        <v>62.104101094166687</v>
      </c>
      <c r="Y8" s="569">
        <f t="shared" si="5"/>
        <v>896.10144607166683</v>
      </c>
      <c r="Z8" s="903"/>
      <c r="AA8" s="1"/>
      <c r="AB8" s="970">
        <f t="shared" si="6"/>
        <v>178965603.62625003</v>
      </c>
      <c r="AC8" s="1"/>
      <c r="AD8" s="1"/>
      <c r="AE8" s="1"/>
      <c r="AF8" s="1"/>
      <c r="AG8" s="727"/>
      <c r="AH8" s="31" t="s">
        <v>44</v>
      </c>
      <c r="AI8" s="729">
        <f>+AI6/AI7</f>
        <v>1.22</v>
      </c>
      <c r="AJ8" s="728" t="s">
        <v>45</v>
      </c>
      <c r="AK8" s="1"/>
      <c r="AL8" s="743" t="s">
        <v>219</v>
      </c>
      <c r="AM8" s="744">
        <f>3.14*AM7*AM7*AM6</f>
        <v>970.64621999999997</v>
      </c>
      <c r="AN8" s="745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89">
        <v>2</v>
      </c>
      <c r="B9" s="1114">
        <v>46267</v>
      </c>
      <c r="C9" s="1114"/>
      <c r="D9" s="771" t="s">
        <v>447</v>
      </c>
      <c r="E9" s="771" t="s">
        <v>452</v>
      </c>
      <c r="F9" s="811" t="s">
        <v>13</v>
      </c>
      <c r="G9" s="918">
        <v>0.39</v>
      </c>
      <c r="H9" s="633">
        <f>J9</f>
        <v>215</v>
      </c>
      <c r="I9" s="501">
        <f t="shared" si="0"/>
        <v>21.5</v>
      </c>
      <c r="J9" s="633">
        <v>215</v>
      </c>
      <c r="K9" s="633">
        <v>1.26</v>
      </c>
      <c r="L9" s="918">
        <v>0.72</v>
      </c>
      <c r="M9" s="501">
        <f>H9*K9*G9</f>
        <v>105.651</v>
      </c>
      <c r="N9" s="1191">
        <f>SUM(M9:M10)</f>
        <v>209.804</v>
      </c>
      <c r="O9" s="501">
        <f t="shared" si="1"/>
        <v>10.565099999999999</v>
      </c>
      <c r="P9" s="1191">
        <f>'Milling Down Time Hours'!Q7</f>
        <v>22</v>
      </c>
      <c r="Q9" s="501">
        <f t="shared" si="2"/>
        <v>600</v>
      </c>
      <c r="R9" s="569">
        <f>'Milling Down Time Hours'!G9</f>
        <v>120.00000000000001</v>
      </c>
      <c r="S9" s="1190">
        <f>SUM(M9:M11)</f>
        <v>300.14215000000002</v>
      </c>
      <c r="T9" s="599">
        <f>AVERAGE('LT Ball Mill'!F16:F18)</f>
        <v>0.7446666666666667</v>
      </c>
      <c r="U9" s="599">
        <f>AVERAGE('LT Ball Mill'!G16:G18)</f>
        <v>0.59</v>
      </c>
      <c r="V9" s="599">
        <f>AVERAGE('LT Ball Mill'!H16:H18)</f>
        <v>9.8400000000000016</v>
      </c>
      <c r="W9" s="488">
        <f t="shared" si="3"/>
        <v>78.674778000000003</v>
      </c>
      <c r="X9" s="501">
        <f t="shared" si="4"/>
        <v>62.334089999999996</v>
      </c>
      <c r="Y9" s="501">
        <f t="shared" si="5"/>
        <v>1039.6058400000002</v>
      </c>
      <c r="Z9" s="811"/>
      <c r="AB9" s="971">
        <f t="shared" si="6"/>
        <v>196686945</v>
      </c>
      <c r="AG9" s="751"/>
      <c r="AH9" s="752" t="s">
        <v>46</v>
      </c>
      <c r="AI9" s="753">
        <f>2.1</f>
        <v>2.1</v>
      </c>
      <c r="AJ9" s="754" t="s">
        <v>45</v>
      </c>
    </row>
    <row r="10" spans="1:92" ht="16.2" thickBot="1" x14ac:dyDescent="0.35">
      <c r="A10" s="1189"/>
      <c r="B10" s="1114"/>
      <c r="C10" s="1114"/>
      <c r="D10" s="771" t="s">
        <v>451</v>
      </c>
      <c r="E10" s="513"/>
      <c r="F10" s="811" t="s">
        <v>14</v>
      </c>
      <c r="G10" s="918">
        <v>0.4</v>
      </c>
      <c r="H10" s="633">
        <f>J10-H9</f>
        <v>198</v>
      </c>
      <c r="I10" s="501">
        <f t="shared" si="0"/>
        <v>16.5</v>
      </c>
      <c r="J10" s="633">
        <v>413</v>
      </c>
      <c r="K10" s="633">
        <v>1.27</v>
      </c>
      <c r="L10" s="918">
        <v>0.72</v>
      </c>
      <c r="M10" s="501">
        <f>K10*J10*G10-SUM(M9)</f>
        <v>104.15300000000001</v>
      </c>
      <c r="N10" s="1191"/>
      <c r="O10" s="501">
        <f t="shared" si="1"/>
        <v>8.6794166666666666</v>
      </c>
      <c r="P10" s="1191"/>
      <c r="Q10" s="501">
        <f t="shared" si="2"/>
        <v>720</v>
      </c>
      <c r="R10" s="569">
        <f>'Milling Down Time Hours'!G10</f>
        <v>0</v>
      </c>
      <c r="S10" s="1190"/>
      <c r="T10" s="599">
        <f>AVERAGE('LT Ball Mill'!F19:F21)</f>
        <v>0.64600000000000002</v>
      </c>
      <c r="U10" s="599">
        <f>AVERAGE('LT Ball Mill'!G19:G21)</f>
        <v>1.0666666666666667</v>
      </c>
      <c r="V10" s="599">
        <f>AVERAGE('LT Ball Mill'!H19:H21)</f>
        <v>9.2566666666666659</v>
      </c>
      <c r="W10" s="488">
        <f t="shared" si="3"/>
        <v>67.282838000000012</v>
      </c>
      <c r="X10" s="501">
        <f t="shared" si="4"/>
        <v>111.09653333333334</v>
      </c>
      <c r="Y10" s="501">
        <f t="shared" si="5"/>
        <v>964.10960333333333</v>
      </c>
      <c r="Z10" s="811"/>
      <c r="AB10" s="971">
        <f t="shared" si="6"/>
        <v>168207095.00000003</v>
      </c>
      <c r="AG10" s="751"/>
      <c r="AH10" s="752" t="s">
        <v>47</v>
      </c>
      <c r="AI10" s="753">
        <v>1</v>
      </c>
      <c r="AJ10" s="754" t="s">
        <v>45</v>
      </c>
    </row>
    <row r="11" spans="1:92" s="439" customFormat="1" ht="16.2" thickBot="1" x14ac:dyDescent="0.35">
      <c r="A11" s="1189"/>
      <c r="B11" s="1114">
        <v>46268</v>
      </c>
      <c r="C11" s="1114"/>
      <c r="D11" s="771" t="s">
        <v>447</v>
      </c>
      <c r="E11" s="772" t="s">
        <v>478</v>
      </c>
      <c r="F11" s="811" t="s">
        <v>13</v>
      </c>
      <c r="G11" s="918">
        <v>0.43</v>
      </c>
      <c r="H11" s="633">
        <f>J11-H10-H9</f>
        <v>126</v>
      </c>
      <c r="I11" s="501">
        <f t="shared" si="0"/>
        <v>10.5</v>
      </c>
      <c r="J11" s="633">
        <v>539</v>
      </c>
      <c r="K11" s="633">
        <v>1.2949999999999999</v>
      </c>
      <c r="L11" s="918">
        <v>0.71</v>
      </c>
      <c r="M11" s="501">
        <f>J11*K11*G11-SUM(M9:M10)</f>
        <v>90.338150000000013</v>
      </c>
      <c r="N11" s="1191">
        <f>SUM(M11:M12)</f>
        <v>90.338150000000013</v>
      </c>
      <c r="O11" s="501">
        <f t="shared" si="1"/>
        <v>7.5281791666666678</v>
      </c>
      <c r="P11" s="1191">
        <f>'Milling Down Time Hours'!Q8</f>
        <v>23</v>
      </c>
      <c r="Q11" s="501">
        <f t="shared" si="2"/>
        <v>720</v>
      </c>
      <c r="R11" s="569">
        <f>'Milling Down Time Hours'!G11</f>
        <v>0</v>
      </c>
      <c r="S11" s="1190"/>
      <c r="T11" s="599">
        <f>AVERAGE('LT Ball Mill'!F22:F24)</f>
        <v>0.66133333333333333</v>
      </c>
      <c r="U11" s="599">
        <f>AVERAGE('LT Ball Mill'!G22:G24)</f>
        <v>0.72333333333333327</v>
      </c>
      <c r="V11" s="599">
        <f>AVERAGE('LT Ball Mill'!H22:H24)</f>
        <v>8.0566666666666666</v>
      </c>
      <c r="W11" s="488">
        <f t="shared" si="3"/>
        <v>59.743629866666673</v>
      </c>
      <c r="X11" s="501">
        <f t="shared" si="4"/>
        <v>65.344595166666664</v>
      </c>
      <c r="Y11" s="501">
        <f t="shared" si="5"/>
        <v>727.82436183333346</v>
      </c>
      <c r="Z11" s="811"/>
      <c r="AA11" s="1"/>
      <c r="AB11" s="971">
        <f t="shared" si="6"/>
        <v>149359074.66666669</v>
      </c>
      <c r="AC11" s="1"/>
      <c r="AD11" s="1"/>
      <c r="AE11" s="1"/>
      <c r="AF11" s="1"/>
      <c r="AG11" s="727"/>
      <c r="AH11" s="734" t="s">
        <v>48</v>
      </c>
      <c r="AI11" s="736">
        <f>+(AI8-1)/(AI8-AI8/AI9)</f>
        <v>0.34426229508196715</v>
      </c>
      <c r="AJ11" s="728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9" customFormat="1" ht="16.2" thickBot="1" x14ac:dyDescent="0.35">
      <c r="A12" s="1189"/>
      <c r="B12" s="1125"/>
      <c r="C12" s="1125"/>
      <c r="D12" s="818" t="s">
        <v>451</v>
      </c>
      <c r="E12" s="819" t="s">
        <v>474</v>
      </c>
      <c r="F12" s="952" t="s">
        <v>14</v>
      </c>
      <c r="G12" s="933"/>
      <c r="H12" s="909"/>
      <c r="I12" s="570"/>
      <c r="J12" s="909"/>
      <c r="K12" s="909"/>
      <c r="L12" s="919"/>
      <c r="M12" s="570">
        <f t="shared" ref="M12:M75" si="7">H12*K12*G12</f>
        <v>0</v>
      </c>
      <c r="N12" s="1182"/>
      <c r="O12" s="570"/>
      <c r="P12" s="1182"/>
      <c r="Q12" s="570">
        <f t="shared" si="2"/>
        <v>660</v>
      </c>
      <c r="R12" s="499">
        <f>'Milling Down Time Hours'!G12</f>
        <v>60.000000000000007</v>
      </c>
      <c r="S12" s="1201"/>
      <c r="T12" s="820"/>
      <c r="U12" s="820"/>
      <c r="V12" s="820"/>
      <c r="W12" s="559">
        <f t="shared" si="3"/>
        <v>0</v>
      </c>
      <c r="X12" s="570">
        <f t="shared" si="4"/>
        <v>0</v>
      </c>
      <c r="Y12" s="570">
        <f t="shared" si="5"/>
        <v>0</v>
      </c>
      <c r="Z12" s="952"/>
      <c r="AA12" s="1"/>
      <c r="AB12" s="972">
        <f t="shared" si="6"/>
        <v>0</v>
      </c>
      <c r="AC12" s="1"/>
      <c r="AD12" s="1"/>
      <c r="AE12" s="1"/>
      <c r="AF12" s="1"/>
      <c r="AG12" s="751"/>
      <c r="AH12" s="752" t="s">
        <v>49</v>
      </c>
      <c r="AI12" s="755">
        <f>+AI11*AI6</f>
        <v>419.99999999999994</v>
      </c>
      <c r="AJ12" s="75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08"/>
      <c r="B13" s="1195">
        <v>46269</v>
      </c>
      <c r="C13" s="1127"/>
      <c r="D13" s="1197" t="s">
        <v>491</v>
      </c>
      <c r="E13" s="758"/>
      <c r="F13" s="953" t="s">
        <v>13</v>
      </c>
      <c r="G13" s="934"/>
      <c r="H13" s="910"/>
      <c r="I13" s="826"/>
      <c r="J13" s="910"/>
      <c r="K13" s="910"/>
      <c r="L13" s="910"/>
      <c r="M13" s="826">
        <f t="shared" si="7"/>
        <v>0</v>
      </c>
      <c r="N13" s="826"/>
      <c r="O13" s="910">
        <v>0</v>
      </c>
      <c r="P13" s="826">
        <f>'Milling Down Time Hours'!Q9</f>
        <v>0</v>
      </c>
      <c r="Q13" s="826"/>
      <c r="R13" s="1209">
        <f>'Milling Down Time Hours'!P9</f>
        <v>1440</v>
      </c>
      <c r="S13" s="838"/>
      <c r="T13" s="827"/>
      <c r="U13" s="827"/>
      <c r="V13" s="827"/>
      <c r="W13" s="828">
        <f t="shared" si="3"/>
        <v>0</v>
      </c>
      <c r="X13" s="826">
        <f t="shared" si="4"/>
        <v>0</v>
      </c>
      <c r="Y13" s="826">
        <f t="shared" si="5"/>
        <v>0</v>
      </c>
      <c r="Z13" s="960"/>
      <c r="AB13" s="972">
        <f t="shared" si="6"/>
        <v>0</v>
      </c>
      <c r="AG13" s="751"/>
      <c r="AH13" s="752" t="s">
        <v>50</v>
      </c>
      <c r="AI13" s="755">
        <f>(AI6-AI12)</f>
        <v>800</v>
      </c>
      <c r="AJ13" s="754" t="s">
        <v>41</v>
      </c>
      <c r="AK13" s="8"/>
    </row>
    <row r="14" spans="1:92" ht="16.2" thickBot="1" x14ac:dyDescent="0.35">
      <c r="A14" s="1208"/>
      <c r="B14" s="1196"/>
      <c r="C14" s="1133"/>
      <c r="D14" s="1198"/>
      <c r="E14" s="829"/>
      <c r="F14" s="954" t="s">
        <v>14</v>
      </c>
      <c r="G14" s="920"/>
      <c r="H14" s="911"/>
      <c r="I14" s="831"/>
      <c r="J14" s="911"/>
      <c r="K14" s="911"/>
      <c r="L14" s="920"/>
      <c r="M14" s="831">
        <f t="shared" si="7"/>
        <v>0</v>
      </c>
      <c r="N14" s="831"/>
      <c r="O14" s="831">
        <f>(N14/SUM(P5:P14))</f>
        <v>0</v>
      </c>
      <c r="P14" s="831">
        <v>0</v>
      </c>
      <c r="Q14" s="831">
        <v>0</v>
      </c>
      <c r="R14" s="1210"/>
      <c r="S14" s="830"/>
      <c r="T14" s="832"/>
      <c r="U14" s="832"/>
      <c r="V14" s="832"/>
      <c r="W14" s="833">
        <f t="shared" si="3"/>
        <v>0</v>
      </c>
      <c r="X14" s="831">
        <f t="shared" si="4"/>
        <v>0</v>
      </c>
      <c r="Y14" s="831">
        <f t="shared" si="5"/>
        <v>0</v>
      </c>
      <c r="Z14" s="961"/>
      <c r="AB14" s="972">
        <f t="shared" si="6"/>
        <v>0</v>
      </c>
      <c r="AG14" s="730"/>
      <c r="AH14" s="731"/>
      <c r="AI14" s="731"/>
      <c r="AJ14" s="732"/>
      <c r="AK14" s="8"/>
    </row>
    <row r="15" spans="1:92" x14ac:dyDescent="0.3">
      <c r="A15" s="773"/>
      <c r="B15" s="1185">
        <v>46270</v>
      </c>
      <c r="C15" s="1185"/>
      <c r="D15" s="821"/>
      <c r="E15" s="821" t="s">
        <v>492</v>
      </c>
      <c r="F15" s="950" t="s">
        <v>13</v>
      </c>
      <c r="G15" s="905"/>
      <c r="H15" s="905"/>
      <c r="I15" s="823"/>
      <c r="J15" s="905"/>
      <c r="K15" s="905"/>
      <c r="L15" s="921"/>
      <c r="M15" s="823">
        <f t="shared" si="7"/>
        <v>0</v>
      </c>
      <c r="N15" s="905"/>
      <c r="O15" s="905"/>
      <c r="P15" s="823">
        <v>0</v>
      </c>
      <c r="Q15" s="823">
        <f t="shared" si="2"/>
        <v>0</v>
      </c>
      <c r="R15" s="823">
        <f>'Milling Down Time Hours'!G15</f>
        <v>720</v>
      </c>
      <c r="S15" s="822"/>
      <c r="T15" s="824"/>
      <c r="U15" s="824"/>
      <c r="V15" s="824"/>
      <c r="W15" s="825">
        <f t="shared" si="3"/>
        <v>0</v>
      </c>
      <c r="X15" s="823">
        <f t="shared" si="4"/>
        <v>0</v>
      </c>
      <c r="Y15" s="823">
        <f t="shared" si="5"/>
        <v>0</v>
      </c>
      <c r="Z15" s="950"/>
      <c r="AB15" s="972">
        <f t="shared" si="6"/>
        <v>0</v>
      </c>
    </row>
    <row r="16" spans="1:92" x14ac:dyDescent="0.3">
      <c r="A16" s="1186">
        <v>3</v>
      </c>
      <c r="B16" s="1112">
        <v>46270</v>
      </c>
      <c r="C16" s="1112"/>
      <c r="D16" s="560" t="s">
        <v>448</v>
      </c>
      <c r="E16" s="586" t="s">
        <v>493</v>
      </c>
      <c r="F16" s="903" t="s">
        <v>14</v>
      </c>
      <c r="G16" s="917">
        <v>0.38</v>
      </c>
      <c r="H16" s="569">
        <f>J16-'Au Cal Leaching Tank'!$U$10</f>
        <v>62.150000000000006</v>
      </c>
      <c r="I16" s="569">
        <v>5.57</v>
      </c>
      <c r="J16" s="595">
        <v>170</v>
      </c>
      <c r="K16" s="595">
        <v>1.25</v>
      </c>
      <c r="L16" s="917"/>
      <c r="M16" s="569">
        <f>(J16*K16*G16)-'Au Cal Leaching Tank'!$V$10</f>
        <v>26.314330250000005</v>
      </c>
      <c r="N16" s="569">
        <f>SUM(M15:M16)</f>
        <v>26.314330250000005</v>
      </c>
      <c r="O16" s="569">
        <f t="shared" ref="O16:O23" si="8">M16/P16</f>
        <v>2.325272187039765</v>
      </c>
      <c r="P16" s="569">
        <f>Q16/60</f>
        <v>11.316666666666666</v>
      </c>
      <c r="Q16" s="569">
        <f>720-R16</f>
        <v>679</v>
      </c>
      <c r="R16" s="569">
        <v>41</v>
      </c>
      <c r="S16" s="1173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si="3"/>
        <v>28.603676981750006</v>
      </c>
      <c r="X16" s="569">
        <f t="shared" si="4"/>
        <v>20.349748726666668</v>
      </c>
      <c r="Y16" s="569">
        <f t="shared" si="5"/>
        <v>213.58464719583338</v>
      </c>
      <c r="Z16" s="903"/>
      <c r="AB16" s="970">
        <f t="shared" si="6"/>
        <v>71509192.454375014</v>
      </c>
    </row>
    <row r="17" spans="1:32" x14ac:dyDescent="0.3">
      <c r="A17" s="1186"/>
      <c r="B17" s="1112">
        <v>46271</v>
      </c>
      <c r="C17" s="1112"/>
      <c r="D17" s="615" t="s">
        <v>448</v>
      </c>
      <c r="E17" s="615" t="s">
        <v>513</v>
      </c>
      <c r="F17" s="903" t="s">
        <v>13</v>
      </c>
      <c r="G17" s="917">
        <v>0.47</v>
      </c>
      <c r="H17" s="569">
        <f>J17-SUM(H16)-'Au Cal Leaching Tank'!$U$10</f>
        <v>45</v>
      </c>
      <c r="I17" s="569">
        <f t="shared" ref="I17:I22" si="9">H17/((720-R17)/60)</f>
        <v>4.5762711864406773</v>
      </c>
      <c r="J17" s="595">
        <v>215</v>
      </c>
      <c r="K17" s="595">
        <v>1.33</v>
      </c>
      <c r="L17" s="917">
        <v>0.65</v>
      </c>
      <c r="M17" s="569">
        <f>J17*K17*G17-SUM(M16)-'Au Cal Leaching Tank'!$V$10</f>
        <v>53.646499999999968</v>
      </c>
      <c r="N17" s="1184">
        <f>SUM(M17:M18)</f>
        <v>173.32450000000003</v>
      </c>
      <c r="O17" s="569">
        <f t="shared" si="8"/>
        <v>5.4555762711864366</v>
      </c>
      <c r="P17" s="569">
        <f>(720-R17)/60</f>
        <v>9.8333333333333339</v>
      </c>
      <c r="Q17" s="569">
        <f t="shared" ref="Q17" si="10">720-R17</f>
        <v>590</v>
      </c>
      <c r="R17" s="569">
        <f>'Milling Down Time Hours'!P11</f>
        <v>130</v>
      </c>
      <c r="S17" s="1186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485">
        <f t="shared" si="3"/>
        <v>48.407025166666635</v>
      </c>
      <c r="X17" s="569">
        <f t="shared" si="4"/>
        <v>30.578504999999979</v>
      </c>
      <c r="Y17" s="569">
        <f t="shared" si="5"/>
        <v>517.86754666666639</v>
      </c>
      <c r="Z17" s="903"/>
      <c r="AB17" s="970">
        <f t="shared" si="6"/>
        <v>121017562.91666658</v>
      </c>
      <c r="AE17" s="44"/>
      <c r="AF17" s="8"/>
    </row>
    <row r="18" spans="1:32" x14ac:dyDescent="0.3">
      <c r="A18" s="1186"/>
      <c r="B18" s="1112"/>
      <c r="C18" s="1112"/>
      <c r="D18" s="615" t="s">
        <v>447</v>
      </c>
      <c r="E18" s="616"/>
      <c r="F18" s="903" t="s">
        <v>14</v>
      </c>
      <c r="G18" s="843">
        <v>0.45</v>
      </c>
      <c r="H18" s="569">
        <f>J18-SUM(H16:H17)-'Au Cal Leaching Tank'!$U$10</f>
        <v>216.00000000000003</v>
      </c>
      <c r="I18" s="569">
        <f t="shared" si="9"/>
        <v>18.000000000000004</v>
      </c>
      <c r="J18" s="595">
        <v>431</v>
      </c>
      <c r="K18" s="595">
        <v>1.31</v>
      </c>
      <c r="L18" s="917">
        <v>0.65</v>
      </c>
      <c r="M18" s="569">
        <f>J18*K18*G18-SUM(M16:M17)-'Au Cal Leaching Tank'!$V$10</f>
        <v>119.67800000000005</v>
      </c>
      <c r="N18" s="1184"/>
      <c r="O18" s="569">
        <f t="shared" si="8"/>
        <v>9.9731666666666712</v>
      </c>
      <c r="P18" s="569">
        <f>(720-R18)/60</f>
        <v>12</v>
      </c>
      <c r="Q18" s="569">
        <f>720-R18</f>
        <v>720</v>
      </c>
      <c r="R18" s="569">
        <v>0</v>
      </c>
      <c r="S18" s="1186"/>
      <c r="T18" s="571">
        <f>AVERAGE('LT Ball Mill'!F31:F33)</f>
        <v>0.81433333333333335</v>
      </c>
      <c r="U18" s="571">
        <f>AVERAGE('LT Ball Mill'!G31:G33)</f>
        <v>0.6333333333333333</v>
      </c>
      <c r="V18" s="571">
        <f>AVERAGE('LT Ball Mill'!H31:H33)</f>
        <v>9.4366666666666674</v>
      </c>
      <c r="W18" s="485">
        <f t="shared" si="3"/>
        <v>97.457784666666711</v>
      </c>
      <c r="X18" s="569">
        <f t="shared" si="4"/>
        <v>75.796066666666704</v>
      </c>
      <c r="Y18" s="569">
        <f t="shared" si="5"/>
        <v>1129.361393333334</v>
      </c>
      <c r="Z18" s="903"/>
      <c r="AB18" s="970">
        <f t="shared" si="6"/>
        <v>243644461.66666678</v>
      </c>
      <c r="AC18" s="119"/>
    </row>
    <row r="19" spans="1:32" x14ac:dyDescent="0.3">
      <c r="A19" s="1186"/>
      <c r="B19" s="1112">
        <v>46272</v>
      </c>
      <c r="C19" s="1112"/>
      <c r="D19" s="615" t="s">
        <v>170</v>
      </c>
      <c r="E19" s="774" t="s">
        <v>525</v>
      </c>
      <c r="F19" s="903" t="s">
        <v>13</v>
      </c>
      <c r="G19" s="917">
        <v>0.45</v>
      </c>
      <c r="H19" s="569">
        <f>J19-SUM(H16:H18)-'Au Cal Leaching Tank'!$U$10</f>
        <v>215.99999999999997</v>
      </c>
      <c r="I19" s="569">
        <f t="shared" si="9"/>
        <v>19.31445603576751</v>
      </c>
      <c r="J19" s="595">
        <v>647</v>
      </c>
      <c r="K19" s="595">
        <v>1.31</v>
      </c>
      <c r="L19" s="917">
        <v>0.73</v>
      </c>
      <c r="M19" s="569">
        <f>J19*K19*G19-SUM(M16:M18)-'Au Cal Leaching Tank'!$V$10</f>
        <v>127.33200000000005</v>
      </c>
      <c r="N19" s="1187">
        <f>SUM(M19:M20)</f>
        <v>185.59190000000007</v>
      </c>
      <c r="O19" s="569">
        <f t="shared" si="8"/>
        <v>8.9775793184488872</v>
      </c>
      <c r="P19" s="569">
        <f>(900-R19)/60</f>
        <v>14.183333333333334</v>
      </c>
      <c r="Q19" s="569">
        <f>900-R19</f>
        <v>851</v>
      </c>
      <c r="R19" s="569">
        <f>'Milling Down Time Hours'!G19+30</f>
        <v>49</v>
      </c>
      <c r="S19" s="1186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5">
        <f t="shared" si="3"/>
        <v>116.12678400000003</v>
      </c>
      <c r="X19" s="569">
        <f t="shared" si="4"/>
        <v>121.38984000000004</v>
      </c>
      <c r="Y19" s="569">
        <f t="shared" si="5"/>
        <v>1196.4963600000005</v>
      </c>
      <c r="Z19" s="903"/>
      <c r="AB19" s="970">
        <f t="shared" si="6"/>
        <v>290316960.00000006</v>
      </c>
    </row>
    <row r="20" spans="1:32" x14ac:dyDescent="0.3">
      <c r="A20" s="1189">
        <v>4</v>
      </c>
      <c r="B20" s="1114">
        <v>46272</v>
      </c>
      <c r="C20" s="1114"/>
      <c r="D20" s="564" t="s">
        <v>516</v>
      </c>
      <c r="E20" s="639" t="s">
        <v>556</v>
      </c>
      <c r="F20" s="811" t="s">
        <v>14</v>
      </c>
      <c r="G20" s="918">
        <v>0.41</v>
      </c>
      <c r="H20" s="501">
        <f>J20-'Au Cal Leaching Tank'!$U$11</f>
        <v>107.15</v>
      </c>
      <c r="I20" s="501">
        <f>H20/((720-R20)/60)</f>
        <v>9.5103550295857993</v>
      </c>
      <c r="J20" s="633">
        <v>215</v>
      </c>
      <c r="K20" s="633">
        <v>1.28</v>
      </c>
      <c r="L20" s="918">
        <v>0.73</v>
      </c>
      <c r="M20" s="501">
        <f>J20*K20*G20-'Au Cal Leaching Tank'!$V$11</f>
        <v>58.259900000000002</v>
      </c>
      <c r="N20" s="1188"/>
      <c r="O20" s="501">
        <f t="shared" si="8"/>
        <v>6.2870395683453237</v>
      </c>
      <c r="P20" s="501">
        <f>(600-R20)/60</f>
        <v>9.2666666666666675</v>
      </c>
      <c r="Q20" s="501">
        <f>600-R20</f>
        <v>556</v>
      </c>
      <c r="R20" s="501">
        <f>'Milling Down Time Hours'!G20-30</f>
        <v>44</v>
      </c>
      <c r="S20" s="1190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3"/>
        <v>30.897166966666674</v>
      </c>
      <c r="X20" s="501">
        <f t="shared" si="4"/>
        <v>62.338093000000008</v>
      </c>
      <c r="Y20" s="501">
        <f t="shared" si="5"/>
        <v>520.0667073333334</v>
      </c>
      <c r="Z20" s="811"/>
      <c r="AB20" s="971">
        <f t="shared" si="6"/>
        <v>77242917.416666687</v>
      </c>
    </row>
    <row r="21" spans="1:32" x14ac:dyDescent="0.3">
      <c r="A21" s="1189"/>
      <c r="B21" s="1114">
        <v>46273</v>
      </c>
      <c r="C21" s="1114"/>
      <c r="D21" s="565" t="s">
        <v>170</v>
      </c>
      <c r="E21" s="565" t="s">
        <v>526</v>
      </c>
      <c r="F21" s="811" t="s">
        <v>13</v>
      </c>
      <c r="G21" s="918">
        <v>0.42</v>
      </c>
      <c r="H21" s="501">
        <f>J21-'Au Cal Leaching Tank'!$U$11-SUM(H20)</f>
        <v>188.99999999999997</v>
      </c>
      <c r="I21" s="501">
        <f t="shared" si="9"/>
        <v>18.290322580645157</v>
      </c>
      <c r="J21" s="633">
        <v>404</v>
      </c>
      <c r="K21" s="633">
        <v>1.29</v>
      </c>
      <c r="L21" s="918">
        <v>0.75</v>
      </c>
      <c r="M21" s="501">
        <f>J21*K21*G21-'Au Cal Leaching Tank'!$V$11-SUM(M20)</f>
        <v>106.05519999999997</v>
      </c>
      <c r="N21" s="1191">
        <f>SUM(M21:M22)</f>
        <v>193.82679999999999</v>
      </c>
      <c r="O21" s="501">
        <f t="shared" si="8"/>
        <v>10.2634064516129</v>
      </c>
      <c r="P21" s="501">
        <f>(720-R21)/60</f>
        <v>10.333333333333334</v>
      </c>
      <c r="Q21" s="501">
        <f>720-R21</f>
        <v>620</v>
      </c>
      <c r="R21" s="501">
        <f>'Milling Down Time Hours'!G21</f>
        <v>100</v>
      </c>
      <c r="S21" s="1190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3"/>
        <v>68.582362666666654</v>
      </c>
      <c r="X21" s="501">
        <f t="shared" si="4"/>
        <v>102.16650933333329</v>
      </c>
      <c r="Y21" s="501">
        <f t="shared" si="5"/>
        <v>965.45583733333308</v>
      </c>
      <c r="Z21" s="811"/>
      <c r="AB21" s="971">
        <f t="shared" si="6"/>
        <v>171455906.66666663</v>
      </c>
    </row>
    <row r="22" spans="1:32" x14ac:dyDescent="0.3">
      <c r="A22" s="1189"/>
      <c r="B22" s="1114"/>
      <c r="C22" s="1114"/>
      <c r="D22" s="775" t="s">
        <v>530</v>
      </c>
      <c r="E22" s="776" t="s">
        <v>536</v>
      </c>
      <c r="F22" s="811" t="s">
        <v>14</v>
      </c>
      <c r="G22" s="918">
        <v>0.42</v>
      </c>
      <c r="H22" s="501">
        <f>J22-'Au Cal Leaching Tank'!$U$11-SUM(H20:H21)</f>
        <v>162</v>
      </c>
      <c r="I22" s="501">
        <f t="shared" si="9"/>
        <v>17.142857142857146</v>
      </c>
      <c r="J22" s="633">
        <v>566</v>
      </c>
      <c r="K22" s="633">
        <v>1.29</v>
      </c>
      <c r="L22" s="918">
        <v>0.75</v>
      </c>
      <c r="M22" s="501">
        <f>J22*K22*G22-'Au Cal Leaching Tank'!$V$11-SUM(M20:M21)</f>
        <v>87.771600000000035</v>
      </c>
      <c r="N22" s="1192"/>
      <c r="O22" s="501">
        <f t="shared" si="8"/>
        <v>9.2880000000000038</v>
      </c>
      <c r="P22" s="501">
        <f>(720-R22)/60</f>
        <v>9.4499999999999993</v>
      </c>
      <c r="Q22" s="501">
        <f>720-R22</f>
        <v>567</v>
      </c>
      <c r="R22" s="501">
        <f>'Milling Down Time Hours'!G22</f>
        <v>153</v>
      </c>
      <c r="S22" s="1190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3"/>
        <v>55.734966000000014</v>
      </c>
      <c r="X22" s="501">
        <f t="shared" si="4"/>
        <v>90.697320000000047</v>
      </c>
      <c r="Y22" s="501">
        <f t="shared" si="5"/>
        <v>685.49619600000028</v>
      </c>
      <c r="Z22" s="811"/>
      <c r="AB22" s="971">
        <f t="shared" si="6"/>
        <v>139337415.00000003</v>
      </c>
    </row>
    <row r="23" spans="1:32" ht="28.8" x14ac:dyDescent="0.3">
      <c r="A23" s="1189"/>
      <c r="B23" s="1114">
        <v>46274</v>
      </c>
      <c r="C23" s="1114"/>
      <c r="D23" s="776" t="s">
        <v>170</v>
      </c>
      <c r="E23" s="777" t="s">
        <v>528</v>
      </c>
      <c r="F23" s="811" t="s">
        <v>13</v>
      </c>
      <c r="G23" s="918">
        <v>0.44</v>
      </c>
      <c r="H23" s="501">
        <f>J23-'Au Cal Leaching Tank'!$U$11-SUM(H20:H22)</f>
        <v>81</v>
      </c>
      <c r="I23" s="501">
        <f>H23/((720-R23)/60)</f>
        <v>27</v>
      </c>
      <c r="J23" s="633">
        <v>647</v>
      </c>
      <c r="K23" s="633">
        <v>1.3049999999999999</v>
      </c>
      <c r="L23" s="918">
        <v>0.75</v>
      </c>
      <c r="M23" s="501">
        <f>J23*K23*G23-'Au Cal Leaching Tank'!$V$11-SUM(M20:M22)</f>
        <v>64.848599999999976</v>
      </c>
      <c r="N23" s="501">
        <f>SUM(M23:M24)</f>
        <v>64.848599999999976</v>
      </c>
      <c r="O23" s="501">
        <f t="shared" si="8"/>
        <v>21.616199999999992</v>
      </c>
      <c r="P23" s="501">
        <f>(720-R23)/60</f>
        <v>3</v>
      </c>
      <c r="Q23" s="501">
        <f>720-R23</f>
        <v>180</v>
      </c>
      <c r="R23" s="501">
        <f>'Milling Down Time Hours'!G23</f>
        <v>540</v>
      </c>
      <c r="S23" s="1190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3"/>
        <v>38.41198739999998</v>
      </c>
      <c r="X23" s="501">
        <f t="shared" si="4"/>
        <v>43.232399999999984</v>
      </c>
      <c r="Y23" s="501">
        <f t="shared" si="5"/>
        <v>469.50386399999979</v>
      </c>
      <c r="Z23" s="811"/>
      <c r="AB23" s="971">
        <f t="shared" si="6"/>
        <v>96029968.499999955</v>
      </c>
    </row>
    <row r="24" spans="1:32" x14ac:dyDescent="0.3">
      <c r="A24" s="773"/>
      <c r="B24" s="1117">
        <v>46274</v>
      </c>
      <c r="C24" s="1117"/>
      <c r="D24" s="778" t="s">
        <v>530</v>
      </c>
      <c r="E24" s="779" t="s">
        <v>555</v>
      </c>
      <c r="F24" s="773" t="s">
        <v>14</v>
      </c>
      <c r="G24" s="922"/>
      <c r="H24" s="237"/>
      <c r="I24" s="156"/>
      <c r="J24" s="237"/>
      <c r="K24" s="237"/>
      <c r="L24" s="922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9"/>
      <c r="T24" s="460"/>
      <c r="U24" s="460"/>
      <c r="V24" s="460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3"/>
      <c r="AB24" s="972">
        <f t="shared" si="6"/>
        <v>0</v>
      </c>
    </row>
    <row r="25" spans="1:32" x14ac:dyDescent="0.3">
      <c r="A25" s="1186">
        <v>5</v>
      </c>
      <c r="B25" s="1112">
        <v>46275</v>
      </c>
      <c r="C25" s="1112"/>
      <c r="D25" s="591" t="s">
        <v>170</v>
      </c>
      <c r="E25" s="592" t="s">
        <v>529</v>
      </c>
      <c r="F25" s="903" t="s">
        <v>13</v>
      </c>
      <c r="G25" s="917">
        <v>0.44</v>
      </c>
      <c r="H25" s="569">
        <f>J25-'Au Cal Leaching Tank'!$U$14</f>
        <v>215.15</v>
      </c>
      <c r="I25" s="569">
        <f t="shared" ref="I25:I29" si="11">H25/((720-R25)/60)</f>
        <v>20.361198738170348</v>
      </c>
      <c r="J25" s="595">
        <v>323</v>
      </c>
      <c r="K25" s="595">
        <v>1.3</v>
      </c>
      <c r="L25" s="917">
        <v>0.75</v>
      </c>
      <c r="M25" s="569">
        <f>J25*K25*G25-'Au Cal Leaching Tank'!$V$12</f>
        <v>123.06580000000004</v>
      </c>
      <c r="N25" s="1184">
        <f>SUM(M25:M26)</f>
        <v>262.08779999999996</v>
      </c>
      <c r="O25" s="569">
        <f t="shared" ref="O25:O26" si="12">M25/P25</f>
        <v>11.646605678233442</v>
      </c>
      <c r="P25" s="569">
        <f t="shared" ref="P25:P26" si="13">(720-R25)/60</f>
        <v>10.566666666666666</v>
      </c>
      <c r="Q25" s="569">
        <f t="shared" ref="Q25:Q26" si="14">720-R25</f>
        <v>634</v>
      </c>
      <c r="R25" s="569">
        <f>'Milling Down Time Hours'!G25</f>
        <v>86</v>
      </c>
      <c r="S25" s="1173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3"/>
        <v>89.838034000000022</v>
      </c>
      <c r="X25" s="569">
        <f t="shared" si="4"/>
        <v>77.531454000000025</v>
      </c>
      <c r="Y25" s="569">
        <f t="shared" si="5"/>
        <v>1054.6739060000004</v>
      </c>
      <c r="Z25" s="903"/>
      <c r="AB25" s="970">
        <f t="shared" si="6"/>
        <v>224595085.00000006</v>
      </c>
    </row>
    <row r="26" spans="1:32" x14ac:dyDescent="0.3">
      <c r="A26" s="1186"/>
      <c r="B26" s="1112"/>
      <c r="C26" s="1112"/>
      <c r="D26" s="593" t="s">
        <v>548</v>
      </c>
      <c r="E26" s="594"/>
      <c r="F26" s="903" t="s">
        <v>14</v>
      </c>
      <c r="G26" s="917">
        <v>0.42</v>
      </c>
      <c r="H26" s="569">
        <f>J26-'Au Cal Leaching Tank'!$U$14-SUM(H25)</f>
        <v>270</v>
      </c>
      <c r="I26" s="569">
        <f t="shared" si="11"/>
        <v>25.796178343949045</v>
      </c>
      <c r="J26" s="595">
        <v>593</v>
      </c>
      <c r="K26" s="595">
        <v>1.3</v>
      </c>
      <c r="L26" s="917">
        <v>0.75</v>
      </c>
      <c r="M26" s="569">
        <f>(J26*K26*G26-'Au Cal Leaching Tank'!$V$12)-M25</f>
        <v>139.02199999999993</v>
      </c>
      <c r="N26" s="1188"/>
      <c r="O26" s="569">
        <f t="shared" si="12"/>
        <v>13.282356687898083</v>
      </c>
      <c r="P26" s="569">
        <f t="shared" si="13"/>
        <v>10.466666666666667</v>
      </c>
      <c r="Q26" s="569">
        <f t="shared" si="14"/>
        <v>628</v>
      </c>
      <c r="R26" s="569">
        <f>'Milling Down Time Hours'!G26</f>
        <v>92.000000000000014</v>
      </c>
      <c r="S26" s="1173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3"/>
        <v>71.735351999999963</v>
      </c>
      <c r="X26" s="569">
        <f t="shared" si="4"/>
        <v>59.779459999999972</v>
      </c>
      <c r="Y26" s="569">
        <f t="shared" si="5"/>
        <v>1289.6607533333327</v>
      </c>
      <c r="Z26" s="903"/>
      <c r="AB26" s="970">
        <f t="shared" si="6"/>
        <v>179338379.99999991</v>
      </c>
    </row>
    <row r="27" spans="1:32" ht="28.8" x14ac:dyDescent="0.3">
      <c r="A27" s="1186"/>
      <c r="B27" s="1112">
        <v>46276</v>
      </c>
      <c r="C27" s="1112"/>
      <c r="D27" s="593" t="s">
        <v>547</v>
      </c>
      <c r="E27" s="876" t="s">
        <v>561</v>
      </c>
      <c r="F27" s="903" t="s">
        <v>13</v>
      </c>
      <c r="G27" s="917">
        <v>0.4</v>
      </c>
      <c r="H27" s="569">
        <f>J27-'Au Cal Leaching Tank'!$U$14-SUM(H25:H26)</f>
        <v>54</v>
      </c>
      <c r="I27" s="569">
        <f t="shared" si="11"/>
        <v>4.9165402124430964</v>
      </c>
      <c r="J27" s="569">
        <v>647</v>
      </c>
      <c r="K27" s="595">
        <v>1.27</v>
      </c>
      <c r="L27" s="917">
        <v>0.75</v>
      </c>
      <c r="M27" s="569">
        <f>(J27*K27*G27-'Au Cal Leaching Tank'!$V$12)-SUM(M25:M26)</f>
        <v>4.8980000000000814</v>
      </c>
      <c r="N27" s="1184">
        <f>SUM(M27:M28)</f>
        <v>65.006412500000096</v>
      </c>
      <c r="O27" s="499">
        <f>M27/P27</f>
        <v>0.9828762541806183</v>
      </c>
      <c r="P27" s="569">
        <f>(360-R27)/60</f>
        <v>4.9833333333333334</v>
      </c>
      <c r="Q27" s="569">
        <f>360-R27</f>
        <v>299</v>
      </c>
      <c r="R27" s="569">
        <f>'Milling Down Time Hours'!G27</f>
        <v>61</v>
      </c>
      <c r="S27" s="1173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Z27" s="903"/>
      <c r="AB27" s="970">
        <f t="shared" si="6"/>
        <v>6318420.0000001052</v>
      </c>
      <c r="AD27" s="459"/>
    </row>
    <row r="28" spans="1:32" x14ac:dyDescent="0.3">
      <c r="A28" s="811"/>
      <c r="B28" s="1114">
        <v>46276</v>
      </c>
      <c r="C28" s="1114"/>
      <c r="D28" s="816" t="s">
        <v>547</v>
      </c>
      <c r="E28" s="817" t="s">
        <v>589</v>
      </c>
      <c r="F28" s="811" t="s">
        <v>13</v>
      </c>
      <c r="G28" s="918">
        <v>0.42</v>
      </c>
      <c r="H28" s="501">
        <f>J28-'Au Cal Leaching Tank'!$U$15</f>
        <v>107.15</v>
      </c>
      <c r="I28" s="501">
        <f>H28/((360-R28)/60)</f>
        <v>17.858333333333334</v>
      </c>
      <c r="J28" s="501">
        <v>215</v>
      </c>
      <c r="K28" s="633">
        <v>1.29</v>
      </c>
      <c r="L28" s="918">
        <v>0.75</v>
      </c>
      <c r="M28" s="501">
        <f>(J28*K28*G28)-'Au Cal Leaching Tank'!$V$13</f>
        <v>60.108412500000014</v>
      </c>
      <c r="N28" s="1184"/>
      <c r="O28" s="928">
        <f>M28/P28</f>
        <v>10.018068750000003</v>
      </c>
      <c r="P28" s="501">
        <f>(360-R28)/60</f>
        <v>6</v>
      </c>
      <c r="Q28" s="501">
        <v>360</v>
      </c>
      <c r="R28" s="501">
        <v>0</v>
      </c>
      <c r="S28" s="1190">
        <f>SUM(M28:M31)</f>
        <v>277.03691250000003</v>
      </c>
      <c r="T28" s="599">
        <f>AVERAGE('LT Ball Mill'!F58:F60)</f>
        <v>1.4286666666666665</v>
      </c>
      <c r="U28" s="599">
        <f>AVERAGE('LT Ball Mill'!G58:G60)</f>
        <v>0.99333333333333329</v>
      </c>
      <c r="V28" s="599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Z28" s="811"/>
      <c r="AB28" s="971">
        <f t="shared" si="6"/>
        <v>214687213.31250003</v>
      </c>
      <c r="AD28" s="459"/>
    </row>
    <row r="29" spans="1:32" ht="43.2" x14ac:dyDescent="0.3">
      <c r="A29" s="1189">
        <v>6</v>
      </c>
      <c r="B29" s="1114">
        <v>46276</v>
      </c>
      <c r="C29" s="1114"/>
      <c r="D29" s="503" t="s">
        <v>557</v>
      </c>
      <c r="E29" s="875" t="s">
        <v>554</v>
      </c>
      <c r="F29" s="811" t="s">
        <v>14</v>
      </c>
      <c r="G29" s="918">
        <v>0.45</v>
      </c>
      <c r="H29" s="501">
        <f>J29-'Au Cal Leaching Tank'!$U$15-SUM(H28)</f>
        <v>72</v>
      </c>
      <c r="I29" s="501">
        <f t="shared" si="11"/>
        <v>36</v>
      </c>
      <c r="J29" s="633">
        <v>287</v>
      </c>
      <c r="K29" s="633">
        <v>1.29</v>
      </c>
      <c r="L29" s="918">
        <v>0.75</v>
      </c>
      <c r="M29" s="501">
        <f>(J29*K29*G29)-'Au Cal Leaching Tank'!$V$13-SUM(M28)</f>
        <v>50.116500000000016</v>
      </c>
      <c r="N29" s="501">
        <f>M29</f>
        <v>50.116500000000016</v>
      </c>
      <c r="O29" s="501">
        <f>M29/P29</f>
        <v>25.058250000000008</v>
      </c>
      <c r="P29" s="501">
        <f>(720-R29)/60</f>
        <v>2</v>
      </c>
      <c r="Q29" s="501">
        <f>720-R29</f>
        <v>120</v>
      </c>
      <c r="R29" s="501">
        <f>'Milling Down Time Hours'!G28</f>
        <v>600</v>
      </c>
      <c r="S29" s="1190"/>
      <c r="T29" s="599">
        <f>AVERAGE('LT Ball Mill'!F61:F63)</f>
        <v>0.26499999999999996</v>
      </c>
      <c r="U29" s="599">
        <f>AVERAGE('LT Ball Mill'!G61:G63)</f>
        <v>0.57333333333333336</v>
      </c>
      <c r="V29" s="599">
        <f>AVERAGE('LT Ball Mill'!H61:H63)</f>
        <v>7.5933333333333337</v>
      </c>
      <c r="W29" s="488">
        <f>T29*M29</f>
        <v>13.280872500000003</v>
      </c>
      <c r="X29" s="501">
        <f>M29*U29</f>
        <v>28.733460000000012</v>
      </c>
      <c r="Y29" s="501">
        <f>M29*V29</f>
        <v>380.55129000000017</v>
      </c>
      <c r="Z29" s="811"/>
      <c r="AB29" s="971">
        <f t="shared" si="6"/>
        <v>33202181.250000007</v>
      </c>
    </row>
    <row r="30" spans="1:32" ht="28.8" x14ac:dyDescent="0.3">
      <c r="A30" s="1189"/>
      <c r="B30" s="1114">
        <v>46277</v>
      </c>
      <c r="C30" s="1114"/>
      <c r="D30" s="639" t="s">
        <v>558</v>
      </c>
      <c r="E30" s="780" t="s">
        <v>559</v>
      </c>
      <c r="F30" s="811" t="s">
        <v>13</v>
      </c>
      <c r="G30" s="918">
        <v>0.33</v>
      </c>
      <c r="H30" s="501">
        <f>J30-'Au Cal Leaching Tank'!$U$15-SUM(H28:H29)</f>
        <v>432</v>
      </c>
      <c r="I30" s="501"/>
      <c r="J30" s="633">
        <v>719</v>
      </c>
      <c r="K30" s="633">
        <v>1.21</v>
      </c>
      <c r="L30" s="918">
        <v>0.75</v>
      </c>
      <c r="M30" s="501">
        <f>(J30*K30*G30)-'Au Cal Leaching Tank'!$V$13-SUM(M28:M29)</f>
        <v>120.49319999999999</v>
      </c>
      <c r="N30" s="1191">
        <f>SUM(M30:M31)</f>
        <v>166.81200000000001</v>
      </c>
      <c r="O30" s="501" t="str">
        <f>IFERROR(M30/P30,"")</f>
        <v/>
      </c>
      <c r="P30" s="501">
        <f>(720-R30)/60</f>
        <v>0</v>
      </c>
      <c r="Q30" s="501">
        <f>720-R30</f>
        <v>0</v>
      </c>
      <c r="R30" s="501">
        <f>'Milling Down Time Hours'!G29</f>
        <v>720</v>
      </c>
      <c r="S30" s="1190"/>
      <c r="T30" s="599">
        <f>AVERAGE('LT Ball Mill'!F64:F66)</f>
        <v>0.30533333333333329</v>
      </c>
      <c r="U30" s="599">
        <f>AVERAGE('LT Ball Mill'!G64:G66)</f>
        <v>0.55333333333333334</v>
      </c>
      <c r="V30" s="599">
        <f>AVERAGE('LT Ball Mill'!H64:H66)</f>
        <v>6.7966666666666669</v>
      </c>
      <c r="W30" s="488">
        <f t="shared" si="3"/>
        <v>36.790590399999992</v>
      </c>
      <c r="X30" s="501">
        <f t="shared" si="4"/>
        <v>66.672903999999988</v>
      </c>
      <c r="Y30" s="501">
        <f t="shared" si="5"/>
        <v>818.95211599999993</v>
      </c>
      <c r="Z30" s="811"/>
      <c r="AB30" s="971">
        <f t="shared" si="6"/>
        <v>91976475.999999985</v>
      </c>
    </row>
    <row r="31" spans="1:32" x14ac:dyDescent="0.3">
      <c r="A31" s="1189"/>
      <c r="B31" s="1114"/>
      <c r="C31" s="1114"/>
      <c r="D31" s="781" t="s">
        <v>577</v>
      </c>
      <c r="E31" s="781" t="s">
        <v>578</v>
      </c>
      <c r="F31" s="811" t="s">
        <v>14</v>
      </c>
      <c r="G31" s="918">
        <v>0.33</v>
      </c>
      <c r="H31" s="501">
        <f>J31-'Au Cal Leaching Tank'!$U$15-SUM(H28:H30)</f>
        <v>116</v>
      </c>
      <c r="I31" s="501"/>
      <c r="J31" s="633">
        <v>835</v>
      </c>
      <c r="K31" s="633">
        <v>1.21</v>
      </c>
      <c r="L31" s="918">
        <v>0.75</v>
      </c>
      <c r="M31" s="501">
        <f>(J31*K31*G31)-'Au Cal Leaching Tank'!$V$13-SUM(M28:M30)</f>
        <v>46.31880000000001</v>
      </c>
      <c r="N31" s="1191"/>
      <c r="O31" s="501" t="str">
        <f t="shared" ref="O31:O43" si="15">IFERROR(M31/P31,"")</f>
        <v/>
      </c>
      <c r="P31" s="501">
        <f t="shared" ref="P31:P32" si="16">(720-R31)/60</f>
        <v>0</v>
      </c>
      <c r="Q31" s="501">
        <f>720-R31</f>
        <v>0</v>
      </c>
      <c r="R31" s="501">
        <f>'Milling Down Time Hours'!G30</f>
        <v>720</v>
      </c>
      <c r="S31" s="1190"/>
      <c r="T31" s="599">
        <f>AVERAGE('LT Ball Mill'!F64:F66)</f>
        <v>0.30533333333333329</v>
      </c>
      <c r="U31" s="599">
        <f>AVERAGE('LT Ball Mill'!G64:G66)</f>
        <v>0.55333333333333334</v>
      </c>
      <c r="V31" s="599">
        <f>AVERAGE('LT Ball Mill'!H64:H66)</f>
        <v>6.7966666666666669</v>
      </c>
      <c r="W31" s="488">
        <f t="shared" si="3"/>
        <v>14.142673600000002</v>
      </c>
      <c r="X31" s="501">
        <f t="shared" si="4"/>
        <v>25.629736000000005</v>
      </c>
      <c r="Y31" s="501">
        <f t="shared" si="5"/>
        <v>314.81344400000006</v>
      </c>
      <c r="Z31" s="811"/>
      <c r="AB31" s="971">
        <f t="shared" si="6"/>
        <v>35356684.000000007</v>
      </c>
      <c r="AC31" s="138"/>
    </row>
    <row r="32" spans="1:32" x14ac:dyDescent="0.3">
      <c r="A32" s="1152"/>
      <c r="B32" s="1117">
        <v>46278</v>
      </c>
      <c r="C32" s="1117"/>
      <c r="D32" s="782" t="s">
        <v>579</v>
      </c>
      <c r="E32" s="782" t="s">
        <v>578</v>
      </c>
      <c r="F32" s="773" t="s">
        <v>13</v>
      </c>
      <c r="G32" s="935"/>
      <c r="H32" s="237"/>
      <c r="I32" s="156"/>
      <c r="J32" s="237"/>
      <c r="K32" s="237"/>
      <c r="L32" s="922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0"/>
      <c r="U32" s="460"/>
      <c r="V32" s="460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3"/>
      <c r="AB32" s="972">
        <f t="shared" si="6"/>
        <v>0</v>
      </c>
    </row>
    <row r="33" spans="1:32" x14ac:dyDescent="0.3">
      <c r="A33" s="1153"/>
      <c r="B33" s="1117">
        <v>46278</v>
      </c>
      <c r="C33" s="1117"/>
      <c r="D33" s="782" t="s">
        <v>579</v>
      </c>
      <c r="E33" s="782" t="s">
        <v>578</v>
      </c>
      <c r="F33" s="773" t="s">
        <v>14</v>
      </c>
      <c r="G33" s="237"/>
      <c r="H33" s="237"/>
      <c r="I33" s="912"/>
      <c r="J33" s="237"/>
      <c r="K33" s="237"/>
      <c r="L33" s="237"/>
      <c r="M33" s="912"/>
      <c r="N33" s="237"/>
      <c r="O33" s="912"/>
      <c r="P33" s="237"/>
      <c r="Q33" s="912"/>
      <c r="R33" s="237"/>
      <c r="S33" s="14"/>
      <c r="T33" s="6"/>
      <c r="U33" s="6"/>
      <c r="V33" s="6"/>
      <c r="W33" s="6"/>
      <c r="X33" s="14"/>
      <c r="Y33" s="14"/>
      <c r="Z33" s="773"/>
      <c r="AB33" s="972">
        <f t="shared" si="6"/>
        <v>0</v>
      </c>
    </row>
    <row r="34" spans="1:32" x14ac:dyDescent="0.3">
      <c r="B34" s="1178">
        <v>46279</v>
      </c>
      <c r="C34" s="1179"/>
      <c r="D34" s="782" t="s">
        <v>579</v>
      </c>
      <c r="E34" s="782" t="s">
        <v>578</v>
      </c>
      <c r="F34" s="773" t="s">
        <v>13</v>
      </c>
      <c r="G34" s="935"/>
      <c r="H34" s="237"/>
      <c r="I34" s="237"/>
      <c r="J34" s="237"/>
      <c r="K34" s="237"/>
      <c r="L34" s="922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0"/>
      <c r="U34" s="460"/>
      <c r="V34" s="460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3"/>
      <c r="AB34" s="972">
        <f t="shared" si="6"/>
        <v>0</v>
      </c>
    </row>
    <row r="35" spans="1:32" ht="15" thickBot="1" x14ac:dyDescent="0.35">
      <c r="A35" s="1200">
        <v>7</v>
      </c>
      <c r="B35" s="1180">
        <v>46279</v>
      </c>
      <c r="C35" s="1181"/>
      <c r="D35" s="783" t="s">
        <v>170</v>
      </c>
      <c r="E35" s="784" t="s">
        <v>588</v>
      </c>
      <c r="F35" s="903" t="s">
        <v>14</v>
      </c>
      <c r="G35" s="917">
        <v>0.38</v>
      </c>
      <c r="H35" s="569">
        <f>J35-'Au Cal Leaching Tank'!$U$14</f>
        <v>179.74888000000001</v>
      </c>
      <c r="I35" s="569">
        <f t="shared" ref="I35:I40" si="17">H35/((720-R35)/60)</f>
        <v>17.974888</v>
      </c>
      <c r="J35" s="569">
        <f t="shared" ref="J35:J41" si="18">3.14*Z35*((10.7/2)^2)</f>
        <v>287.59888000000001</v>
      </c>
      <c r="K35" s="595">
        <v>1.25</v>
      </c>
      <c r="L35" s="917">
        <v>0.75</v>
      </c>
      <c r="M35" s="569">
        <f>(J35*K35*G35)-'Au Cal Leaching Tank'!$V$14</f>
        <v>80.009787999999986</v>
      </c>
      <c r="N35" s="569">
        <f>SUM(M33:M35)</f>
        <v>80.009787999999986</v>
      </c>
      <c r="O35" s="569">
        <f>IFERROR(M35/P35,"")</f>
        <v>8.0009787999999986</v>
      </c>
      <c r="P35" s="569">
        <f t="shared" ref="P35:P42" si="19">(720-R35)/60</f>
        <v>10</v>
      </c>
      <c r="Q35" s="569">
        <f t="shared" ref="Q35:Q41" si="20">720-R35</f>
        <v>600</v>
      </c>
      <c r="R35" s="569">
        <f>'Milling Down Time Hours'!G34</f>
        <v>120.00000000000001</v>
      </c>
      <c r="S35" s="1203">
        <f>SUM(M35:M37)</f>
        <v>246.09634370699999</v>
      </c>
      <c r="T35" s="571">
        <f>AVERAGE('LT Ball Mill'!F67:F69)</f>
        <v>0.63200000000000001</v>
      </c>
      <c r="U35" s="571">
        <f>AVERAGE('LT Ball Mill'!G67:G69)</f>
        <v>0.58666666666666678</v>
      </c>
      <c r="V35" s="571">
        <f>AVERAGE('LT Ball Mill'!H67:H69)</f>
        <v>8.5966666666666658</v>
      </c>
      <c r="W35" s="485">
        <f>T35*M35</f>
        <v>50.566186015999989</v>
      </c>
      <c r="X35" s="569">
        <f>M35*U35</f>
        <v>46.939075626666664</v>
      </c>
      <c r="Y35" s="569">
        <f>M35*V35</f>
        <v>687.81747750666648</v>
      </c>
      <c r="Z35" s="903">
        <v>3.2</v>
      </c>
      <c r="AB35" s="971">
        <f t="shared" si="6"/>
        <v>126415465.03999998</v>
      </c>
      <c r="AC35" s="11"/>
    </row>
    <row r="36" spans="1:32" x14ac:dyDescent="0.3">
      <c r="A36" s="1200"/>
      <c r="B36" s="1174">
        <v>46280</v>
      </c>
      <c r="C36" s="1175"/>
      <c r="D36" s="847" t="s">
        <v>530</v>
      </c>
      <c r="E36" s="847" t="s">
        <v>597</v>
      </c>
      <c r="F36" s="955" t="s">
        <v>13</v>
      </c>
      <c r="G36" s="917">
        <v>0.37</v>
      </c>
      <c r="H36" s="569">
        <f>J36-'Au Cal Leaching Tank'!$U$14-H35</f>
        <v>188.73676499999985</v>
      </c>
      <c r="I36" s="569">
        <f t="shared" si="17"/>
        <v>15.728063749999988</v>
      </c>
      <c r="J36" s="569">
        <f t="shared" si="18"/>
        <v>476.33564499999989</v>
      </c>
      <c r="K36" s="595">
        <v>1.24</v>
      </c>
      <c r="L36" s="917">
        <v>0.75</v>
      </c>
      <c r="M36" s="569">
        <f>(J36*K36*G36)-'Au Cal Leaching Tank'!$V$14-SUM(M35)</f>
        <v>81.933325925999952</v>
      </c>
      <c r="N36" s="1184">
        <f>SUM(M36:M37)</f>
        <v>166.086555707</v>
      </c>
      <c r="O36" s="540">
        <f t="shared" si="15"/>
        <v>6.8277771604999957</v>
      </c>
      <c r="P36" s="569">
        <f t="shared" si="19"/>
        <v>12</v>
      </c>
      <c r="Q36" s="569">
        <f t="shared" si="20"/>
        <v>720</v>
      </c>
      <c r="R36" s="569">
        <f>'Milling Down Time Hours'!G35</f>
        <v>0</v>
      </c>
      <c r="S36" s="1204"/>
      <c r="T36" s="571">
        <f>AVERAGE('LT Ball Mill'!F70:F72)</f>
        <v>0.36466666666666664</v>
      </c>
      <c r="U36" s="571">
        <f>AVERAGE('LT Ball Mill'!G70:G72)</f>
        <v>0.46666666666666662</v>
      </c>
      <c r="V36" s="571">
        <f>AVERAGE('LT Ball Mill'!H70:H72)</f>
        <v>9.57</v>
      </c>
      <c r="W36" s="485">
        <f t="shared" si="3"/>
        <v>29.87835285434798</v>
      </c>
      <c r="X36" s="569">
        <f t="shared" si="4"/>
        <v>38.235552098799971</v>
      </c>
      <c r="Y36" s="569">
        <f t="shared" si="5"/>
        <v>784.10192911181957</v>
      </c>
      <c r="Z36" s="903">
        <v>5.3</v>
      </c>
      <c r="AB36" s="971">
        <f t="shared" si="6"/>
        <v>74695882.13586995</v>
      </c>
      <c r="AC36" s="11"/>
    </row>
    <row r="37" spans="1:32" ht="42" customHeight="1" thickBot="1" x14ac:dyDescent="0.35">
      <c r="A37" s="1200"/>
      <c r="B37" s="1176"/>
      <c r="C37" s="1177"/>
      <c r="D37" s="799" t="s">
        <v>523</v>
      </c>
      <c r="E37" s="874" t="s">
        <v>638</v>
      </c>
      <c r="F37" s="956" t="s">
        <v>14</v>
      </c>
      <c r="G37" s="936">
        <v>0.33</v>
      </c>
      <c r="H37" s="569">
        <f>J37-'Au Cal Leaching Tank'!$U$14-SUM(H35:H36)</f>
        <v>278.61141499999997</v>
      </c>
      <c r="I37" s="569">
        <f t="shared" si="17"/>
        <v>23.217617916666665</v>
      </c>
      <c r="J37" s="569">
        <f t="shared" si="18"/>
        <v>754.94705999999985</v>
      </c>
      <c r="K37" s="903">
        <v>1.2150000000000001</v>
      </c>
      <c r="L37" s="917">
        <v>0.75</v>
      </c>
      <c r="M37" s="569">
        <f>(J37*K37*G37)-'Au Cal Leaching Tank'!$V$14-SUM(M35:M36)</f>
        <v>84.15322978100005</v>
      </c>
      <c r="N37" s="1184"/>
      <c r="O37" s="540">
        <f t="shared" si="15"/>
        <v>7.0127691484166705</v>
      </c>
      <c r="P37" s="569">
        <f t="shared" si="19"/>
        <v>12</v>
      </c>
      <c r="Q37" s="569">
        <f t="shared" si="20"/>
        <v>720</v>
      </c>
      <c r="R37" s="569">
        <f>'Milling Down Time Hours'!G36</f>
        <v>0</v>
      </c>
      <c r="S37" s="1205"/>
      <c r="T37" s="571">
        <f>AVERAGE('LT Ball Mill'!F73:F75)</f>
        <v>0.61</v>
      </c>
      <c r="U37" s="571">
        <f>AVERAGE('LT Ball Mill'!G73:G75)</f>
        <v>0.55333333333333334</v>
      </c>
      <c r="V37" s="571">
        <f>AVERAGE('LT Ball Mill'!H73:H75)</f>
        <v>11.276666666666666</v>
      </c>
      <c r="W37" s="485">
        <f t="shared" si="3"/>
        <v>51.333470166410031</v>
      </c>
      <c r="X37" s="569">
        <f t="shared" si="4"/>
        <v>46.564787145486697</v>
      </c>
      <c r="Y37" s="569">
        <f t="shared" si="5"/>
        <v>948.96792116374377</v>
      </c>
      <c r="Z37" s="903">
        <v>8.4</v>
      </c>
      <c r="AB37" s="971">
        <f t="shared" si="6"/>
        <v>128333675.41602507</v>
      </c>
    </row>
    <row r="38" spans="1:32" ht="15" thickBot="1" x14ac:dyDescent="0.35">
      <c r="A38" s="1199">
        <v>8</v>
      </c>
      <c r="B38" s="1169">
        <v>46281</v>
      </c>
      <c r="C38" s="1170"/>
      <c r="D38" s="503" t="s">
        <v>634</v>
      </c>
      <c r="E38" s="864" t="s">
        <v>599</v>
      </c>
      <c r="F38" s="957" t="s">
        <v>13</v>
      </c>
      <c r="G38" s="937">
        <v>0.3</v>
      </c>
      <c r="H38" s="501">
        <f>J38-'Au Cal Leaching Tank'!$U$15</f>
        <v>323.54831999999988</v>
      </c>
      <c r="I38" s="501">
        <f t="shared" si="17"/>
        <v>26.96235999999999</v>
      </c>
      <c r="J38" s="501">
        <f t="shared" si="18"/>
        <v>431.3983199999999</v>
      </c>
      <c r="K38" s="811">
        <v>1.19</v>
      </c>
      <c r="L38" s="918">
        <v>0.75</v>
      </c>
      <c r="M38" s="924">
        <f>(J38*K38*G38)-'Au Cal Leaching Tank'!$V$15</f>
        <v>117.10293023999996</v>
      </c>
      <c r="N38" s="1201">
        <f>SUM(M38:M39)</f>
        <v>171.64785532499997</v>
      </c>
      <c r="O38" s="548">
        <f t="shared" si="15"/>
        <v>9.7585775199999976</v>
      </c>
      <c r="P38" s="977">
        <f t="shared" si="19"/>
        <v>12</v>
      </c>
      <c r="Q38" s="501">
        <f t="shared" si="20"/>
        <v>720</v>
      </c>
      <c r="R38" s="501">
        <f>'Milling Down Time Hours'!G37</f>
        <v>0</v>
      </c>
      <c r="S38" s="1201">
        <f>SUM(M38:M40)</f>
        <v>286.77728197499994</v>
      </c>
      <c r="T38" s="865">
        <f>AVERAGE('LT Ball Mill'!F76:F78)</f>
        <v>0.45166666666666666</v>
      </c>
      <c r="U38" s="865">
        <f>AVERAGE('LT Ball Mill'!G76:G78)</f>
        <v>0.6333333333333333</v>
      </c>
      <c r="V38" s="865">
        <f>AVERAGE('LT Ball Mill'!H76:H78)</f>
        <v>11.63</v>
      </c>
      <c r="W38" s="488">
        <f t="shared" si="3"/>
        <v>52.891490158399982</v>
      </c>
      <c r="X38" s="501">
        <f t="shared" si="4"/>
        <v>74.165189151999968</v>
      </c>
      <c r="Y38" s="501">
        <f t="shared" si="5"/>
        <v>1361.9070786911996</v>
      </c>
      <c r="Z38" s="811">
        <f>1.2*4</f>
        <v>4.8</v>
      </c>
      <c r="AB38" s="971">
        <f t="shared" si="6"/>
        <v>132228725.39599995</v>
      </c>
    </row>
    <row r="39" spans="1:32" ht="15" thickBot="1" x14ac:dyDescent="0.35">
      <c r="A39" s="1199"/>
      <c r="B39" s="1171"/>
      <c r="C39" s="1172"/>
      <c r="D39" s="864" t="s">
        <v>605</v>
      </c>
      <c r="E39" s="864" t="s">
        <v>606</v>
      </c>
      <c r="F39" s="952" t="s">
        <v>14</v>
      </c>
      <c r="G39" s="937">
        <v>0.3</v>
      </c>
      <c r="H39" s="501">
        <f>J39-'Au Cal Leaching Tank'!$U$15-H38</f>
        <v>152.78690500000005</v>
      </c>
      <c r="I39" s="501">
        <f t="shared" si="17"/>
        <v>13.97441204268293</v>
      </c>
      <c r="J39" s="501">
        <f t="shared" si="18"/>
        <v>584.18522499999995</v>
      </c>
      <c r="K39" s="633">
        <v>1.19</v>
      </c>
      <c r="L39" s="918">
        <v>0.75</v>
      </c>
      <c r="M39" s="924">
        <f>(J39*K39*G39)-'Au Cal Leaching Tank'!$V$15-SUM(M38)</f>
        <v>54.544925085000003</v>
      </c>
      <c r="N39" s="1202"/>
      <c r="O39" s="548">
        <f>IFERROR(M39/P39,"")</f>
        <v>4.9888650992378052</v>
      </c>
      <c r="P39" s="977">
        <f t="shared" si="19"/>
        <v>10.933333333333334</v>
      </c>
      <c r="Q39" s="501">
        <f t="shared" si="20"/>
        <v>656</v>
      </c>
      <c r="R39" s="501">
        <f>'Milling Down Time Hours'!G38</f>
        <v>64</v>
      </c>
      <c r="S39" s="1206"/>
      <c r="T39" s="879"/>
      <c r="U39" s="879"/>
      <c r="V39" s="880"/>
      <c r="W39" s="488">
        <f t="shared" si="3"/>
        <v>0</v>
      </c>
      <c r="X39" s="501">
        <f t="shared" si="4"/>
        <v>0</v>
      </c>
      <c r="Y39" s="501">
        <f t="shared" si="5"/>
        <v>0</v>
      </c>
      <c r="Z39" s="811">
        <f>6.5</f>
        <v>6.5</v>
      </c>
      <c r="AB39" s="971">
        <f t="shared" si="6"/>
        <v>0</v>
      </c>
    </row>
    <row r="40" spans="1:32" ht="37.200000000000003" customHeight="1" thickBot="1" x14ac:dyDescent="0.35">
      <c r="A40" s="1199"/>
      <c r="B40" s="1169">
        <v>46282</v>
      </c>
      <c r="C40" s="1170"/>
      <c r="D40" s="503" t="s">
        <v>634</v>
      </c>
      <c r="E40" s="964" t="s">
        <v>635</v>
      </c>
      <c r="F40" s="957" t="s">
        <v>13</v>
      </c>
      <c r="G40" s="918">
        <v>0.35</v>
      </c>
      <c r="H40" s="501">
        <f>J40-'Au Cal Leaching Tank'!$U$15-SUM(H38:H39)</f>
        <v>170.76183499999991</v>
      </c>
      <c r="I40" s="501">
        <f t="shared" si="17"/>
        <v>14.230152916666659</v>
      </c>
      <c r="J40" s="501">
        <f t="shared" si="18"/>
        <v>754.94705999999985</v>
      </c>
      <c r="K40" s="633">
        <v>1.2250000000000001</v>
      </c>
      <c r="L40" s="918">
        <v>0.75</v>
      </c>
      <c r="M40" s="924">
        <f>(J40*K40*G40)-'Au Cal Leaching Tank'!$V$15-SUM(M38:M39)</f>
        <v>115.12942664999997</v>
      </c>
      <c r="N40" s="1182">
        <f>SUM(M40:M41)</f>
        <v>194.06992673100001</v>
      </c>
      <c r="O40" s="548">
        <f>IFERROR(M40/P40,"")</f>
        <v>9.594118887499997</v>
      </c>
      <c r="P40" s="977">
        <f t="shared" si="19"/>
        <v>12</v>
      </c>
      <c r="Q40" s="570">
        <f t="shared" si="20"/>
        <v>720</v>
      </c>
      <c r="R40" s="570">
        <f>'Milling Down Time Hours'!G39</f>
        <v>0</v>
      </c>
      <c r="S40" s="1207"/>
      <c r="T40" s="962"/>
      <c r="U40" s="962"/>
      <c r="V40" s="963"/>
      <c r="W40" s="488">
        <f t="shared" si="3"/>
        <v>0</v>
      </c>
      <c r="X40" s="501">
        <f t="shared" si="4"/>
        <v>0</v>
      </c>
      <c r="Y40" s="501">
        <f t="shared" si="5"/>
        <v>0</v>
      </c>
      <c r="Z40" s="811">
        <f>1.2*7</f>
        <v>8.4</v>
      </c>
      <c r="AB40" s="971">
        <f t="shared" si="6"/>
        <v>0</v>
      </c>
      <c r="AC40" s="138" t="s">
        <v>514</v>
      </c>
      <c r="AF40" s="1">
        <f>53-6-17</f>
        <v>30</v>
      </c>
    </row>
    <row r="41" spans="1:32" ht="29.4" thickBot="1" x14ac:dyDescent="0.35">
      <c r="A41" s="1199"/>
      <c r="B41" s="1171"/>
      <c r="C41" s="1172"/>
      <c r="D41" s="990" t="s">
        <v>605</v>
      </c>
      <c r="E41" s="992" t="s">
        <v>651</v>
      </c>
      <c r="F41" s="991" t="s">
        <v>14</v>
      </c>
      <c r="G41" s="980">
        <v>0.34</v>
      </c>
      <c r="H41" s="977">
        <f>J41-'Au Cal Leaching Tank'!$U$15-SUM(H38:H40)</f>
        <v>215.69916000000012</v>
      </c>
      <c r="I41" s="977">
        <f t="shared" ref="I41" si="21">H41/((720-R41)/60)</f>
        <v>17.974930000000011</v>
      </c>
      <c r="J41" s="977">
        <f t="shared" si="18"/>
        <v>970.64621999999997</v>
      </c>
      <c r="K41" s="465">
        <v>1.22</v>
      </c>
      <c r="L41" s="980">
        <v>0.75</v>
      </c>
      <c r="M41" s="924">
        <f>(J41*K41*G41)-'Au Cal Leaching Tank'!$V$15-SUM(M38:M40)</f>
        <v>78.940500081000039</v>
      </c>
      <c r="N41" s="1183"/>
      <c r="O41" s="548">
        <f>IFERROR(M41/P41,"")</f>
        <v>6.5783750067500035</v>
      </c>
      <c r="P41" s="977">
        <f t="shared" si="19"/>
        <v>12</v>
      </c>
      <c r="Q41" s="570">
        <f t="shared" si="20"/>
        <v>720</v>
      </c>
      <c r="R41" s="570">
        <f>'Milling Down Time Hours'!G40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773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B42" s="1157">
        <v>46283</v>
      </c>
      <c r="C42" s="1158"/>
      <c r="D42" s="14"/>
      <c r="E42" s="14"/>
      <c r="F42" s="958" t="s">
        <v>13</v>
      </c>
      <c r="G42" s="922"/>
      <c r="H42" s="237"/>
      <c r="I42" s="237"/>
      <c r="J42" s="237"/>
      <c r="K42" s="237"/>
      <c r="L42" s="980">
        <v>0.75</v>
      </c>
      <c r="M42" s="925">
        <f t="shared" si="7"/>
        <v>0</v>
      </c>
      <c r="N42" s="156"/>
      <c r="O42" s="823">
        <f t="shared" si="15"/>
        <v>0</v>
      </c>
      <c r="P42" s="156">
        <f t="shared" si="19"/>
        <v>12</v>
      </c>
      <c r="Q42" s="156"/>
      <c r="R42" s="117"/>
      <c r="S42" s="14"/>
      <c r="T42" s="177"/>
      <c r="U42" s="177"/>
      <c r="V42" s="240"/>
      <c r="W42" s="161">
        <f t="shared" si="3"/>
        <v>0</v>
      </c>
      <c r="X42" s="156">
        <f t="shared" si="4"/>
        <v>0</v>
      </c>
      <c r="Y42" s="156">
        <f t="shared" si="5"/>
        <v>0</v>
      </c>
      <c r="Z42" s="773"/>
    </row>
    <row r="43" spans="1:32" ht="15" thickBot="1" x14ac:dyDescent="0.35">
      <c r="B43" s="1159"/>
      <c r="C43" s="1160"/>
      <c r="D43" s="37"/>
      <c r="E43" s="37"/>
      <c r="F43" s="949" t="s">
        <v>14</v>
      </c>
      <c r="G43" s="922"/>
      <c r="H43" s="237"/>
      <c r="I43" s="237"/>
      <c r="J43" s="237"/>
      <c r="K43" s="237"/>
      <c r="L43" s="980">
        <v>0.75</v>
      </c>
      <c r="M43" s="925">
        <f t="shared" si="7"/>
        <v>0</v>
      </c>
      <c r="N43" s="156"/>
      <c r="O43" s="823" t="str">
        <f t="shared" si="15"/>
        <v/>
      </c>
      <c r="P43" s="906"/>
      <c r="Q43" s="473"/>
      <c r="R43" s="473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773"/>
    </row>
    <row r="44" spans="1:32" ht="15" thickBot="1" x14ac:dyDescent="0.35">
      <c r="B44" s="1157">
        <v>46284</v>
      </c>
      <c r="C44" s="1158"/>
      <c r="D44" s="14"/>
      <c r="E44" s="14"/>
      <c r="F44" s="958" t="s">
        <v>13</v>
      </c>
      <c r="G44" s="922"/>
      <c r="H44" s="237"/>
      <c r="I44" s="237"/>
      <c r="J44" s="237"/>
      <c r="K44" s="237"/>
      <c r="L44" s="980">
        <v>0.75</v>
      </c>
      <c r="M44" s="925">
        <f t="shared" si="7"/>
        <v>0</v>
      </c>
      <c r="N44" s="156"/>
      <c r="O44" s="237"/>
      <c r="P44" s="907"/>
      <c r="Q44" s="929"/>
      <c r="R44" s="907"/>
      <c r="S44" s="14"/>
      <c r="T44" s="241"/>
      <c r="U44" s="177"/>
      <c r="V44" s="240"/>
      <c r="W44" s="161">
        <f t="shared" si="3"/>
        <v>0</v>
      </c>
      <c r="X44" s="156">
        <f t="shared" si="4"/>
        <v>0</v>
      </c>
      <c r="Y44" s="156">
        <f t="shared" si="5"/>
        <v>0</v>
      </c>
      <c r="Z44" s="773"/>
    </row>
    <row r="45" spans="1:32" ht="15" thickBot="1" x14ac:dyDescent="0.35">
      <c r="B45" s="1159"/>
      <c r="C45" s="1160"/>
      <c r="D45" s="37"/>
      <c r="E45" s="37"/>
      <c r="F45" s="949" t="s">
        <v>14</v>
      </c>
      <c r="G45" s="922"/>
      <c r="H45" s="237"/>
      <c r="I45" s="237"/>
      <c r="J45" s="237"/>
      <c r="K45" s="237"/>
      <c r="L45" s="980">
        <v>0.75</v>
      </c>
      <c r="M45" s="925">
        <f t="shared" si="7"/>
        <v>0</v>
      </c>
      <c r="N45" s="156"/>
      <c r="O45" s="445"/>
      <c r="P45" s="973"/>
      <c r="Q45" s="906"/>
      <c r="R45" s="1142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773"/>
    </row>
    <row r="46" spans="1:32" ht="15" thickBot="1" x14ac:dyDescent="0.35">
      <c r="B46" s="1157">
        <v>46285</v>
      </c>
      <c r="C46" s="1158"/>
      <c r="D46" s="14"/>
      <c r="E46" s="14"/>
      <c r="F46" s="958" t="s">
        <v>13</v>
      </c>
      <c r="G46" s="237"/>
      <c r="H46" s="237"/>
      <c r="I46" s="912"/>
      <c r="J46" s="237"/>
      <c r="K46" s="237"/>
      <c r="L46" s="980">
        <v>0.75</v>
      </c>
      <c r="M46" s="925">
        <f t="shared" si="7"/>
        <v>0</v>
      </c>
      <c r="N46" s="156"/>
      <c r="O46" s="237"/>
      <c r="P46" s="929"/>
      <c r="Q46" s="907"/>
      <c r="R46" s="1143"/>
      <c r="S46" s="14"/>
      <c r="T46" s="241"/>
      <c r="U46" s="241"/>
      <c r="V46" s="242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3"/>
    </row>
    <row r="47" spans="1:32" ht="15" thickBot="1" x14ac:dyDescent="0.35">
      <c r="B47" s="1159"/>
      <c r="C47" s="1160"/>
      <c r="D47" s="37"/>
      <c r="E47" s="37"/>
      <c r="F47" s="949" t="s">
        <v>14</v>
      </c>
      <c r="G47" s="922"/>
      <c r="H47" s="237"/>
      <c r="I47" s="237"/>
      <c r="J47" s="237"/>
      <c r="K47" s="237"/>
      <c r="L47" s="922"/>
      <c r="M47" s="925">
        <f t="shared" si="7"/>
        <v>0</v>
      </c>
      <c r="N47" s="156"/>
      <c r="O47" s="912"/>
      <c r="P47" s="973"/>
      <c r="Q47" s="906"/>
      <c r="R47" s="1142">
        <f>'Milling Down Time Hours'!P27</f>
        <v>0</v>
      </c>
      <c r="S47" s="14"/>
      <c r="T47" s="1144"/>
      <c r="U47" s="1144"/>
      <c r="V47" s="1146"/>
      <c r="W47" s="161"/>
      <c r="X47" s="156"/>
      <c r="Y47" s="156"/>
      <c r="Z47" s="773"/>
    </row>
    <row r="48" spans="1:32" ht="15" thickBot="1" x14ac:dyDescent="0.35">
      <c r="B48" s="1157">
        <v>46286</v>
      </c>
      <c r="C48" s="1158"/>
      <c r="D48" s="14"/>
      <c r="E48" s="14"/>
      <c r="F48" s="958" t="s">
        <v>13</v>
      </c>
      <c r="G48" s="237"/>
      <c r="H48" s="237"/>
      <c r="I48" s="912"/>
      <c r="J48" s="237"/>
      <c r="K48" s="237"/>
      <c r="L48" s="237"/>
      <c r="M48" s="925">
        <f t="shared" si="7"/>
        <v>0</v>
      </c>
      <c r="N48" s="237"/>
      <c r="O48" s="912"/>
      <c r="P48" s="929"/>
      <c r="Q48" s="907"/>
      <c r="R48" s="1143"/>
      <c r="S48" s="14"/>
      <c r="T48" s="1145"/>
      <c r="U48" s="1145"/>
      <c r="V48" s="1147"/>
      <c r="W48" s="161"/>
      <c r="X48" s="156"/>
      <c r="Y48" s="156"/>
      <c r="Z48" s="773"/>
    </row>
    <row r="49" spans="2:26" ht="15" thickBot="1" x14ac:dyDescent="0.35">
      <c r="B49" s="1159"/>
      <c r="C49" s="1160"/>
      <c r="D49" s="37"/>
      <c r="E49" s="250"/>
      <c r="F49" s="949" t="s">
        <v>14</v>
      </c>
      <c r="G49" s="237"/>
      <c r="H49" s="237"/>
      <c r="I49" s="912"/>
      <c r="J49" s="237"/>
      <c r="K49" s="237"/>
      <c r="L49" s="237"/>
      <c r="M49" s="925">
        <f t="shared" si="7"/>
        <v>0</v>
      </c>
      <c r="N49" s="237"/>
      <c r="O49" s="912"/>
      <c r="P49" s="973"/>
      <c r="Q49" s="906"/>
      <c r="R49" s="1142">
        <f>'Milling Down Time Hours'!P55</f>
        <v>0</v>
      </c>
      <c r="S49" s="14"/>
      <c r="T49" s="1144"/>
      <c r="U49" s="1144"/>
      <c r="V49" s="1146"/>
      <c r="W49" s="161"/>
      <c r="X49" s="156"/>
      <c r="Y49" s="156"/>
      <c r="Z49" s="773"/>
    </row>
    <row r="50" spans="2:26" ht="15" thickBot="1" x14ac:dyDescent="0.35">
      <c r="B50" s="1157">
        <v>46287</v>
      </c>
      <c r="C50" s="1158"/>
      <c r="D50" s="14"/>
      <c r="E50" s="14"/>
      <c r="F50" s="958" t="s">
        <v>13</v>
      </c>
      <c r="G50" s="237"/>
      <c r="H50" s="237"/>
      <c r="I50" s="912"/>
      <c r="J50" s="237"/>
      <c r="K50" s="237"/>
      <c r="L50" s="237"/>
      <c r="M50" s="925">
        <f t="shared" si="7"/>
        <v>0</v>
      </c>
      <c r="N50" s="237"/>
      <c r="O50" s="912"/>
      <c r="P50" s="929"/>
      <c r="Q50" s="907"/>
      <c r="R50" s="1143"/>
      <c r="S50" s="14"/>
      <c r="T50" s="1145"/>
      <c r="U50" s="1145"/>
      <c r="V50" s="1147"/>
      <c r="W50" s="161"/>
      <c r="X50" s="156"/>
      <c r="Y50" s="156"/>
      <c r="Z50" s="773"/>
    </row>
    <row r="51" spans="2:26" ht="15" thickBot="1" x14ac:dyDescent="0.35">
      <c r="B51" s="1159"/>
      <c r="C51" s="1160"/>
      <c r="D51" s="37"/>
      <c r="E51" s="250"/>
      <c r="F51" s="949" t="s">
        <v>14</v>
      </c>
      <c r="G51" s="237"/>
      <c r="H51" s="237"/>
      <c r="I51" s="912"/>
      <c r="J51" s="237"/>
      <c r="K51" s="237"/>
      <c r="L51" s="237"/>
      <c r="M51" s="925">
        <f t="shared" si="7"/>
        <v>0</v>
      </c>
      <c r="N51" s="237"/>
      <c r="O51" s="912"/>
      <c r="P51" s="973">
        <f>'Milling Down Time Hours'!Q57</f>
        <v>0</v>
      </c>
      <c r="Q51" s="906"/>
      <c r="R51" s="1142">
        <f>'Milling Down Time Hours'!P57</f>
        <v>0</v>
      </c>
      <c r="S51" s="14"/>
      <c r="T51" s="1144"/>
      <c r="U51" s="1144"/>
      <c r="V51" s="1146"/>
      <c r="W51" s="161"/>
      <c r="X51" s="156"/>
      <c r="Y51" s="156"/>
      <c r="Z51" s="773"/>
    </row>
    <row r="52" spans="2:26" ht="15" thickBot="1" x14ac:dyDescent="0.35">
      <c r="B52" s="1157">
        <v>46288</v>
      </c>
      <c r="C52" s="1158"/>
      <c r="D52" s="14"/>
      <c r="E52" s="14"/>
      <c r="F52" s="958" t="s">
        <v>13</v>
      </c>
      <c r="G52" s="237"/>
      <c r="H52" s="237"/>
      <c r="I52" s="912"/>
      <c r="J52" s="237"/>
      <c r="K52" s="237"/>
      <c r="L52" s="237"/>
      <c r="M52" s="925">
        <f t="shared" si="7"/>
        <v>0</v>
      </c>
      <c r="N52" s="237"/>
      <c r="O52" s="912"/>
      <c r="P52" s="929"/>
      <c r="Q52" s="907"/>
      <c r="R52" s="1143"/>
      <c r="S52" s="14"/>
      <c r="T52" s="1145"/>
      <c r="U52" s="1145"/>
      <c r="V52" s="1147"/>
      <c r="W52" s="161"/>
      <c r="X52" s="156"/>
      <c r="Y52" s="156"/>
      <c r="Z52" s="773"/>
    </row>
    <row r="53" spans="2:26" ht="15" thickBot="1" x14ac:dyDescent="0.35">
      <c r="B53" s="1159"/>
      <c r="C53" s="1160"/>
      <c r="D53" s="37"/>
      <c r="E53" s="37"/>
      <c r="F53" s="949" t="s">
        <v>14</v>
      </c>
      <c r="G53" s="237"/>
      <c r="H53" s="237"/>
      <c r="I53" s="912"/>
      <c r="J53" s="237"/>
      <c r="K53" s="237"/>
      <c r="L53" s="237"/>
      <c r="M53" s="925">
        <f t="shared" si="7"/>
        <v>0</v>
      </c>
      <c r="N53" s="237"/>
      <c r="O53" s="912"/>
      <c r="P53" s="973"/>
      <c r="Q53" s="906"/>
      <c r="R53" s="1142"/>
      <c r="S53" s="14"/>
      <c r="T53" s="1144"/>
      <c r="U53" s="1144"/>
      <c r="V53" s="1146"/>
      <c r="W53" s="161"/>
      <c r="X53" s="156"/>
      <c r="Y53" s="156"/>
      <c r="Z53" s="773"/>
    </row>
    <row r="54" spans="2:26" ht="15" thickBot="1" x14ac:dyDescent="0.35">
      <c r="B54" s="1157">
        <v>46289</v>
      </c>
      <c r="C54" s="1158"/>
      <c r="D54" s="14"/>
      <c r="E54" s="14"/>
      <c r="F54" s="958" t="s">
        <v>13</v>
      </c>
      <c r="G54" s="237"/>
      <c r="H54" s="237"/>
      <c r="I54" s="912"/>
      <c r="J54" s="237"/>
      <c r="K54" s="237"/>
      <c r="L54" s="237"/>
      <c r="M54" s="925">
        <f t="shared" si="7"/>
        <v>0</v>
      </c>
      <c r="N54" s="237"/>
      <c r="O54" s="912"/>
      <c r="P54" s="929"/>
      <c r="Q54" s="907"/>
      <c r="R54" s="1143"/>
      <c r="S54" s="14"/>
      <c r="T54" s="1145"/>
      <c r="U54" s="1145"/>
      <c r="V54" s="1147"/>
      <c r="W54" s="161"/>
      <c r="X54" s="156"/>
      <c r="Y54" s="156"/>
      <c r="Z54" s="773"/>
    </row>
    <row r="55" spans="2:26" ht="15" thickBot="1" x14ac:dyDescent="0.35">
      <c r="B55" s="1159"/>
      <c r="C55" s="1160"/>
      <c r="D55" s="37"/>
      <c r="E55" s="37"/>
      <c r="F55" s="949" t="s">
        <v>14</v>
      </c>
      <c r="G55" s="922"/>
      <c r="H55" s="237"/>
      <c r="I55" s="912"/>
      <c r="J55" s="237"/>
      <c r="K55" s="237"/>
      <c r="L55" s="922"/>
      <c r="M55" s="925">
        <f t="shared" si="7"/>
        <v>0</v>
      </c>
      <c r="N55" s="922"/>
      <c r="O55" s="912"/>
      <c r="P55" s="973"/>
      <c r="Q55" s="906"/>
      <c r="R55" s="1142">
        <f>'Milling Down Time Hours'!L61</f>
        <v>0</v>
      </c>
      <c r="S55" s="14"/>
      <c r="T55" s="1144"/>
      <c r="U55" s="1144"/>
      <c r="V55" s="1146"/>
      <c r="W55" s="161"/>
      <c r="X55" s="156"/>
      <c r="Y55" s="156"/>
      <c r="Z55" s="773"/>
    </row>
    <row r="56" spans="2:26" ht="15" thickBot="1" x14ac:dyDescent="0.35">
      <c r="B56" s="1157">
        <v>46290</v>
      </c>
      <c r="C56" s="1158"/>
      <c r="D56" s="14"/>
      <c r="E56" s="14"/>
      <c r="F56" s="958" t="s">
        <v>13</v>
      </c>
      <c r="G56" s="922"/>
      <c r="H56" s="237"/>
      <c r="I56" s="912"/>
      <c r="J56" s="237"/>
      <c r="K56" s="237"/>
      <c r="L56" s="922"/>
      <c r="M56" s="925">
        <f t="shared" si="7"/>
        <v>0</v>
      </c>
      <c r="N56" s="922"/>
      <c r="O56" s="912"/>
      <c r="P56" s="929"/>
      <c r="Q56" s="907"/>
      <c r="R56" s="1143"/>
      <c r="S56" s="14"/>
      <c r="T56" s="1145"/>
      <c r="U56" s="1145"/>
      <c r="V56" s="1147"/>
      <c r="W56" s="161"/>
      <c r="X56" s="156"/>
      <c r="Y56" s="156"/>
      <c r="Z56" s="773"/>
    </row>
    <row r="57" spans="2:26" ht="15" thickBot="1" x14ac:dyDescent="0.35">
      <c r="B57" s="1159"/>
      <c r="C57" s="1160"/>
      <c r="D57" s="37"/>
      <c r="E57" s="37"/>
      <c r="F57" s="949" t="s">
        <v>14</v>
      </c>
      <c r="G57" s="922"/>
      <c r="H57" s="237"/>
      <c r="I57" s="912"/>
      <c r="J57" s="237"/>
      <c r="K57" s="237"/>
      <c r="L57" s="922"/>
      <c r="M57" s="925">
        <f t="shared" si="7"/>
        <v>0</v>
      </c>
      <c r="N57" s="922"/>
      <c r="O57" s="912"/>
      <c r="P57" s="973">
        <f>'Milling Down Time Hours'!M63</f>
        <v>0</v>
      </c>
      <c r="Q57" s="906"/>
      <c r="R57" s="1142">
        <f>'Milling Down Time Hours'!L63</f>
        <v>0</v>
      </c>
      <c r="S57" s="14"/>
      <c r="T57" s="1144"/>
      <c r="U57" s="1144"/>
      <c r="V57" s="1146"/>
      <c r="W57" s="161"/>
      <c r="X57" s="156"/>
      <c r="Y57" s="156"/>
      <c r="Z57" s="773"/>
    </row>
    <row r="58" spans="2:26" ht="15" thickBot="1" x14ac:dyDescent="0.35">
      <c r="B58" s="1157">
        <v>46291</v>
      </c>
      <c r="C58" s="1158"/>
      <c r="D58" s="14"/>
      <c r="E58" s="14"/>
      <c r="F58" s="958" t="s">
        <v>13</v>
      </c>
      <c r="G58" s="237"/>
      <c r="H58" s="237"/>
      <c r="I58" s="912"/>
      <c r="J58" s="237"/>
      <c r="K58" s="237"/>
      <c r="L58" s="237"/>
      <c r="M58" s="925">
        <f t="shared" si="7"/>
        <v>0</v>
      </c>
      <c r="N58" s="237"/>
      <c r="O58" s="912"/>
      <c r="P58" s="929"/>
      <c r="Q58" s="907"/>
      <c r="R58" s="1143"/>
      <c r="S58" s="14"/>
      <c r="T58" s="1145"/>
      <c r="U58" s="1145"/>
      <c r="V58" s="1147"/>
      <c r="W58" s="161"/>
      <c r="X58" s="156"/>
      <c r="Y58" s="156"/>
      <c r="Z58" s="773"/>
    </row>
    <row r="59" spans="2:26" ht="15" thickBot="1" x14ac:dyDescent="0.35">
      <c r="B59" s="1159"/>
      <c r="C59" s="1160"/>
      <c r="D59" s="37"/>
      <c r="E59" s="37"/>
      <c r="F59" s="949" t="s">
        <v>14</v>
      </c>
      <c r="G59" s="237"/>
      <c r="H59" s="237"/>
      <c r="I59" s="912"/>
      <c r="J59" s="237"/>
      <c r="K59" s="237"/>
      <c r="L59" s="237"/>
      <c r="M59" s="925">
        <f t="shared" si="7"/>
        <v>0</v>
      </c>
      <c r="N59" s="237"/>
      <c r="O59" s="912"/>
      <c r="P59" s="973">
        <f>'Milling Down Time Hours'!M65</f>
        <v>0</v>
      </c>
      <c r="Q59" s="906"/>
      <c r="R59" s="1142">
        <f>'Milling Down Time Hours'!L65</f>
        <v>0</v>
      </c>
      <c r="S59" s="14"/>
      <c r="T59" s="1144"/>
      <c r="U59" s="1144"/>
      <c r="V59" s="1146"/>
      <c r="W59" s="161"/>
      <c r="X59" s="156"/>
      <c r="Y59" s="156"/>
      <c r="Z59" s="773"/>
    </row>
    <row r="60" spans="2:26" ht="15" thickBot="1" x14ac:dyDescent="0.35">
      <c r="B60" s="1157">
        <v>46292</v>
      </c>
      <c r="C60" s="1158"/>
      <c r="D60" s="14"/>
      <c r="E60" s="14"/>
      <c r="F60" s="958" t="s">
        <v>13</v>
      </c>
      <c r="G60" s="237"/>
      <c r="H60" s="237"/>
      <c r="I60" s="912"/>
      <c r="J60" s="237"/>
      <c r="K60" s="237"/>
      <c r="L60" s="237"/>
      <c r="M60" s="925">
        <f t="shared" si="7"/>
        <v>0</v>
      </c>
      <c r="N60" s="237"/>
      <c r="O60" s="912"/>
      <c r="P60" s="929"/>
      <c r="Q60" s="907"/>
      <c r="R60" s="1143"/>
      <c r="S60" s="14"/>
      <c r="T60" s="1145"/>
      <c r="U60" s="1145"/>
      <c r="V60" s="1147"/>
      <c r="W60" s="161"/>
      <c r="X60" s="156"/>
      <c r="Y60" s="156"/>
      <c r="Z60" s="773"/>
    </row>
    <row r="61" spans="2:26" ht="15" thickBot="1" x14ac:dyDescent="0.35">
      <c r="B61" s="1159"/>
      <c r="C61" s="1160"/>
      <c r="D61" s="37"/>
      <c r="E61" s="37"/>
      <c r="F61" s="949" t="s">
        <v>14</v>
      </c>
      <c r="G61" s="237"/>
      <c r="H61" s="237"/>
      <c r="I61" s="912"/>
      <c r="J61" s="237"/>
      <c r="K61" s="237"/>
      <c r="L61" s="237"/>
      <c r="M61" s="925">
        <f t="shared" si="7"/>
        <v>0</v>
      </c>
      <c r="N61" s="237"/>
      <c r="O61" s="912"/>
      <c r="P61" s="973">
        <f>'Milling Down Time Hours'!M67</f>
        <v>0</v>
      </c>
      <c r="Q61" s="906"/>
      <c r="R61" s="1142">
        <f>'Milling Down Time Hours'!L67</f>
        <v>0</v>
      </c>
      <c r="S61" s="14"/>
      <c r="T61" s="1144"/>
      <c r="U61" s="1144"/>
      <c r="V61" s="1146"/>
      <c r="W61" s="161"/>
      <c r="X61" s="156"/>
      <c r="Y61" s="156"/>
      <c r="Z61" s="773"/>
    </row>
    <row r="62" spans="2:26" ht="15" thickBot="1" x14ac:dyDescent="0.35">
      <c r="B62" s="1157">
        <v>46293</v>
      </c>
      <c r="C62" s="1158"/>
      <c r="D62" s="14"/>
      <c r="E62" s="14"/>
      <c r="F62" s="958" t="s">
        <v>13</v>
      </c>
      <c r="G62" s="237"/>
      <c r="H62" s="237"/>
      <c r="I62" s="912"/>
      <c r="J62" s="237"/>
      <c r="K62" s="237"/>
      <c r="L62" s="237"/>
      <c r="M62" s="925">
        <f t="shared" si="7"/>
        <v>0</v>
      </c>
      <c r="N62" s="237"/>
      <c r="O62" s="912"/>
      <c r="P62" s="929"/>
      <c r="Q62" s="907"/>
      <c r="R62" s="1143"/>
      <c r="S62" s="14"/>
      <c r="T62" s="1145"/>
      <c r="U62" s="1145"/>
      <c r="V62" s="1147"/>
      <c r="W62" s="161"/>
      <c r="X62" s="156"/>
      <c r="Y62" s="156"/>
      <c r="Z62" s="773"/>
    </row>
    <row r="63" spans="2:26" ht="15" thickBot="1" x14ac:dyDescent="0.35">
      <c r="B63" s="1159"/>
      <c r="C63" s="1160"/>
      <c r="D63" s="37"/>
      <c r="E63" s="37"/>
      <c r="F63" s="949" t="s">
        <v>14</v>
      </c>
      <c r="G63" s="237"/>
      <c r="H63" s="237"/>
      <c r="I63" s="912"/>
      <c r="J63" s="237"/>
      <c r="K63" s="237"/>
      <c r="L63" s="922"/>
      <c r="M63" s="925">
        <f t="shared" si="7"/>
        <v>0</v>
      </c>
      <c r="N63" s="922"/>
      <c r="O63" s="912"/>
      <c r="P63" s="973"/>
      <c r="Q63" s="906"/>
      <c r="R63" s="1142">
        <f>'Milling Down Time Hours'!L69</f>
        <v>0</v>
      </c>
      <c r="S63" s="14"/>
      <c r="T63" s="1161"/>
      <c r="U63" s="1161"/>
      <c r="V63" s="1163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  <c r="Z63" s="773"/>
    </row>
    <row r="64" spans="2:26" ht="15" thickBot="1" x14ac:dyDescent="0.35">
      <c r="B64" s="1157">
        <v>46294</v>
      </c>
      <c r="C64" s="1158"/>
      <c r="D64" s="14"/>
      <c r="E64" s="14"/>
      <c r="F64" s="958" t="s">
        <v>13</v>
      </c>
      <c r="G64" s="237"/>
      <c r="H64" s="237"/>
      <c r="I64" s="912"/>
      <c r="J64" s="237"/>
      <c r="K64" s="237"/>
      <c r="L64" s="237"/>
      <c r="M64" s="925">
        <f t="shared" si="7"/>
        <v>0</v>
      </c>
      <c r="N64" s="237"/>
      <c r="O64" s="912"/>
      <c r="P64" s="929"/>
      <c r="Q64" s="907"/>
      <c r="R64" s="1143"/>
      <c r="S64" s="14"/>
      <c r="T64" s="1162"/>
      <c r="U64" s="1162"/>
      <c r="V64" s="1164"/>
      <c r="W64" s="161">
        <f t="shared" si="22"/>
        <v>0</v>
      </c>
      <c r="X64" s="156">
        <f t="shared" si="23"/>
        <v>0</v>
      </c>
      <c r="Y64" s="156">
        <f t="shared" si="24"/>
        <v>0</v>
      </c>
      <c r="Z64" s="773"/>
    </row>
    <row r="65" spans="2:30" ht="15" thickBot="1" x14ac:dyDescent="0.35">
      <c r="B65" s="1159"/>
      <c r="C65" s="1160"/>
      <c r="D65" s="37"/>
      <c r="E65" s="37"/>
      <c r="F65" s="949" t="s">
        <v>14</v>
      </c>
      <c r="G65" s="237"/>
      <c r="H65" s="237"/>
      <c r="I65" s="912"/>
      <c r="J65" s="237"/>
      <c r="K65" s="237"/>
      <c r="L65" s="237"/>
      <c r="M65" s="925">
        <f t="shared" si="7"/>
        <v>0</v>
      </c>
      <c r="N65" s="237"/>
      <c r="O65" s="912"/>
      <c r="P65" s="973"/>
      <c r="Q65" s="906"/>
      <c r="R65" s="1142">
        <f>'Milling Down Time Hours'!L71</f>
        <v>0</v>
      </c>
      <c r="S65" s="14"/>
      <c r="T65" s="1161"/>
      <c r="U65" s="1161"/>
      <c r="V65" s="1167"/>
      <c r="W65" s="161">
        <f t="shared" si="22"/>
        <v>0</v>
      </c>
      <c r="X65" s="156">
        <f t="shared" si="23"/>
        <v>0</v>
      </c>
      <c r="Y65" s="156">
        <f t="shared" si="24"/>
        <v>0</v>
      </c>
      <c r="Z65" s="773"/>
    </row>
    <row r="66" spans="2:30" ht="15" thickBot="1" x14ac:dyDescent="0.35">
      <c r="B66" s="1157">
        <v>46295</v>
      </c>
      <c r="C66" s="1158"/>
      <c r="D66" s="14"/>
      <c r="E66" s="14"/>
      <c r="F66" s="958" t="s">
        <v>13</v>
      </c>
      <c r="G66" s="237"/>
      <c r="H66" s="237"/>
      <c r="I66" s="912"/>
      <c r="J66" s="237"/>
      <c r="K66" s="237"/>
      <c r="L66" s="237"/>
      <c r="M66" s="925">
        <f t="shared" si="7"/>
        <v>0</v>
      </c>
      <c r="N66" s="237"/>
      <c r="O66" s="912"/>
      <c r="P66" s="929"/>
      <c r="Q66" s="907"/>
      <c r="R66" s="1143"/>
      <c r="S66" s="14"/>
      <c r="T66" s="1162"/>
      <c r="U66" s="1162"/>
      <c r="V66" s="1168"/>
      <c r="W66" s="161">
        <f t="shared" si="22"/>
        <v>0</v>
      </c>
      <c r="X66" s="156">
        <f t="shared" si="23"/>
        <v>0</v>
      </c>
      <c r="Y66" s="156">
        <f t="shared" si="24"/>
        <v>0</v>
      </c>
      <c r="Z66" s="773"/>
    </row>
    <row r="67" spans="2:30" ht="15" thickBot="1" x14ac:dyDescent="0.35">
      <c r="B67" s="1159"/>
      <c r="C67" s="1160"/>
      <c r="D67" s="37"/>
      <c r="E67" s="37"/>
      <c r="F67" s="949" t="s">
        <v>14</v>
      </c>
      <c r="G67" s="237"/>
      <c r="H67" s="237"/>
      <c r="I67" s="912"/>
      <c r="J67" s="237"/>
      <c r="K67" s="237"/>
      <c r="L67" s="237"/>
      <c r="M67" s="925">
        <f t="shared" si="7"/>
        <v>0</v>
      </c>
      <c r="N67" s="237"/>
      <c r="O67" s="912"/>
      <c r="P67" s="974"/>
      <c r="Q67" s="930"/>
      <c r="R67" s="1142">
        <f>'Milling Down Time Hours'!L73</f>
        <v>0</v>
      </c>
      <c r="S67" s="14"/>
      <c r="T67" s="1161"/>
      <c r="U67" s="1161"/>
      <c r="V67" s="1167"/>
      <c r="W67" s="161">
        <f t="shared" si="22"/>
        <v>0</v>
      </c>
      <c r="X67" s="156">
        <f t="shared" si="23"/>
        <v>0</v>
      </c>
      <c r="Y67" s="156">
        <f t="shared" si="24"/>
        <v>0</v>
      </c>
      <c r="Z67" s="773"/>
    </row>
    <row r="68" spans="2:30" ht="15" thickBot="1" x14ac:dyDescent="0.35">
      <c r="B68" s="1157">
        <v>46296</v>
      </c>
      <c r="C68" s="1158"/>
      <c r="D68" s="14"/>
      <c r="E68" s="14"/>
      <c r="F68" s="958" t="s">
        <v>13</v>
      </c>
      <c r="G68" s="237"/>
      <c r="H68" s="237"/>
      <c r="I68" s="912"/>
      <c r="J68" s="237"/>
      <c r="K68" s="237"/>
      <c r="L68" s="237"/>
      <c r="M68" s="925">
        <f t="shared" si="7"/>
        <v>0</v>
      </c>
      <c r="N68" s="237"/>
      <c r="O68" s="912"/>
      <c r="P68" s="975"/>
      <c r="Q68" s="931"/>
      <c r="R68" s="1143"/>
      <c r="S68" s="14"/>
      <c r="T68" s="1162"/>
      <c r="U68" s="1162"/>
      <c r="V68" s="1168"/>
      <c r="W68" s="161">
        <f t="shared" si="22"/>
        <v>0</v>
      </c>
      <c r="X68" s="156">
        <f t="shared" si="23"/>
        <v>0</v>
      </c>
      <c r="Y68" s="156">
        <f t="shared" si="24"/>
        <v>0</v>
      </c>
      <c r="Z68" s="773"/>
    </row>
    <row r="69" spans="2:30" ht="15" thickBot="1" x14ac:dyDescent="0.35">
      <c r="B69" s="1159"/>
      <c r="C69" s="1160"/>
      <c r="D69" s="37"/>
      <c r="E69" s="37"/>
      <c r="F69" s="949" t="s">
        <v>14</v>
      </c>
      <c r="G69" s="237"/>
      <c r="H69" s="237"/>
      <c r="I69" s="912"/>
      <c r="J69" s="237"/>
      <c r="K69" s="237"/>
      <c r="L69" s="237"/>
      <c r="M69" s="925">
        <f t="shared" si="7"/>
        <v>0</v>
      </c>
      <c r="N69" s="237"/>
      <c r="O69" s="912"/>
      <c r="P69" s="973"/>
      <c r="Q69" s="906"/>
      <c r="R69" s="1142">
        <f>'Milling Down Time Hours'!L75</f>
        <v>0</v>
      </c>
      <c r="S69" s="14"/>
      <c r="T69" s="1161"/>
      <c r="U69" s="1161"/>
      <c r="V69" s="1163"/>
      <c r="W69" s="161">
        <f t="shared" si="22"/>
        <v>0</v>
      </c>
      <c r="X69" s="156">
        <f t="shared" si="23"/>
        <v>0</v>
      </c>
      <c r="Y69" s="156">
        <f t="shared" si="24"/>
        <v>0</v>
      </c>
      <c r="Z69" s="773"/>
    </row>
    <row r="70" spans="2:30" ht="15" thickBot="1" x14ac:dyDescent="0.35">
      <c r="B70" s="1157">
        <v>46297</v>
      </c>
      <c r="C70" s="1158"/>
      <c r="D70" s="14"/>
      <c r="E70" s="14"/>
      <c r="F70" s="958" t="s">
        <v>13</v>
      </c>
      <c r="G70" s="237"/>
      <c r="H70" s="14"/>
      <c r="I70" s="912"/>
      <c r="J70" s="237"/>
      <c r="K70" s="237"/>
      <c r="L70" s="237"/>
      <c r="M70" s="925">
        <f t="shared" si="7"/>
        <v>0</v>
      </c>
      <c r="N70" s="237"/>
      <c r="O70" s="912"/>
      <c r="P70" s="929"/>
      <c r="Q70" s="907"/>
      <c r="R70" s="1143"/>
      <c r="S70" s="14"/>
      <c r="T70" s="1162"/>
      <c r="U70" s="1162"/>
      <c r="V70" s="1164"/>
      <c r="W70" s="161">
        <f t="shared" si="22"/>
        <v>0</v>
      </c>
      <c r="X70" s="156">
        <f t="shared" si="23"/>
        <v>0</v>
      </c>
      <c r="Y70" s="156">
        <f t="shared" si="24"/>
        <v>0</v>
      </c>
      <c r="Z70" s="773"/>
    </row>
    <row r="71" spans="2:30" ht="15" thickBot="1" x14ac:dyDescent="0.35">
      <c r="B71" s="1159"/>
      <c r="C71" s="1160"/>
      <c r="D71" s="37"/>
      <c r="E71" s="37"/>
      <c r="F71" s="949" t="s">
        <v>14</v>
      </c>
      <c r="G71" s="922"/>
      <c r="H71" s="14"/>
      <c r="I71" s="912"/>
      <c r="J71" s="237"/>
      <c r="K71" s="237"/>
      <c r="L71" s="922"/>
      <c r="M71" s="925">
        <f t="shared" si="7"/>
        <v>0</v>
      </c>
      <c r="N71" s="922"/>
      <c r="O71" s="912"/>
      <c r="P71" s="973"/>
      <c r="Q71" s="906"/>
      <c r="R71" s="1142">
        <f>'Milling Down Time Hours'!L77</f>
        <v>0</v>
      </c>
      <c r="S71" s="14"/>
      <c r="T71" s="1161"/>
      <c r="U71" s="1161"/>
      <c r="V71" s="1163"/>
      <c r="W71" s="161">
        <f t="shared" si="22"/>
        <v>0</v>
      </c>
      <c r="X71" s="156">
        <f t="shared" si="23"/>
        <v>0</v>
      </c>
      <c r="Y71" s="156">
        <f t="shared" si="24"/>
        <v>0</v>
      </c>
      <c r="Z71" s="773"/>
    </row>
    <row r="72" spans="2:30" ht="15" thickBot="1" x14ac:dyDescent="0.35">
      <c r="B72" s="1157">
        <v>46298</v>
      </c>
      <c r="C72" s="1158"/>
      <c r="D72" s="14"/>
      <c r="E72" s="14"/>
      <c r="F72" s="958" t="s">
        <v>13</v>
      </c>
      <c r="G72" s="237"/>
      <c r="H72" s="14"/>
      <c r="I72" s="912"/>
      <c r="J72" s="237"/>
      <c r="K72" s="237"/>
      <c r="L72" s="237"/>
      <c r="M72" s="925">
        <f t="shared" si="7"/>
        <v>0</v>
      </c>
      <c r="N72" s="237"/>
      <c r="O72" s="912"/>
      <c r="P72" s="929"/>
      <c r="Q72" s="907"/>
      <c r="R72" s="1143"/>
      <c r="S72" s="14"/>
      <c r="T72" s="1162"/>
      <c r="U72" s="1162"/>
      <c r="V72" s="1164"/>
      <c r="W72" s="161">
        <f t="shared" si="22"/>
        <v>0</v>
      </c>
      <c r="X72" s="156">
        <f t="shared" si="23"/>
        <v>0</v>
      </c>
      <c r="Y72" s="156">
        <f t="shared" si="24"/>
        <v>0</v>
      </c>
      <c r="Z72" s="773"/>
    </row>
    <row r="73" spans="2:30" ht="15" thickBot="1" x14ac:dyDescent="0.35">
      <c r="B73" s="1159"/>
      <c r="C73" s="1160"/>
      <c r="D73" s="37"/>
      <c r="E73" s="37"/>
      <c r="F73" s="949" t="s">
        <v>14</v>
      </c>
      <c r="G73" s="922"/>
      <c r="H73" s="14"/>
      <c r="I73" s="912"/>
      <c r="J73" s="237"/>
      <c r="K73" s="237"/>
      <c r="L73" s="922"/>
      <c r="M73" s="925">
        <f t="shared" si="7"/>
        <v>0</v>
      </c>
      <c r="N73" s="922"/>
      <c r="O73" s="912"/>
      <c r="P73" s="973"/>
      <c r="Q73" s="906"/>
      <c r="R73" s="1142">
        <f>'Milling Down Time Hours'!L79</f>
        <v>0</v>
      </c>
      <c r="S73" s="14"/>
      <c r="T73" s="1161"/>
      <c r="U73" s="1161"/>
      <c r="V73" s="1163"/>
      <c r="W73" s="161">
        <f t="shared" si="22"/>
        <v>0</v>
      </c>
      <c r="X73" s="156">
        <f t="shared" si="23"/>
        <v>0</v>
      </c>
      <c r="Y73" s="156">
        <f t="shared" si="24"/>
        <v>0</v>
      </c>
      <c r="Z73" s="773"/>
    </row>
    <row r="74" spans="2:30" ht="15" thickBot="1" x14ac:dyDescent="0.35">
      <c r="B74" s="1157">
        <v>46299</v>
      </c>
      <c r="C74" s="1158"/>
      <c r="D74" s="14"/>
      <c r="E74" s="14"/>
      <c r="F74" s="958" t="s">
        <v>13</v>
      </c>
      <c r="G74" s="237"/>
      <c r="H74" s="14"/>
      <c r="I74" s="912"/>
      <c r="J74" s="237"/>
      <c r="K74" s="237"/>
      <c r="L74" s="237"/>
      <c r="M74" s="925">
        <f t="shared" si="7"/>
        <v>0</v>
      </c>
      <c r="N74" s="237"/>
      <c r="O74" s="912"/>
      <c r="P74" s="929"/>
      <c r="Q74" s="907"/>
      <c r="R74" s="1143"/>
      <c r="S74" s="14"/>
      <c r="T74" s="1162"/>
      <c r="U74" s="1162"/>
      <c r="V74" s="1164"/>
      <c r="W74" s="161">
        <f t="shared" si="22"/>
        <v>0</v>
      </c>
      <c r="X74" s="156">
        <f t="shared" si="23"/>
        <v>0</v>
      </c>
      <c r="Y74" s="156">
        <f t="shared" si="24"/>
        <v>0</v>
      </c>
      <c r="Z74" s="773"/>
      <c r="AD74" s="1">
        <v>0.41899999999999998</v>
      </c>
    </row>
    <row r="75" spans="2:30" ht="15" thickBot="1" x14ac:dyDescent="0.35">
      <c r="B75" s="1159"/>
      <c r="C75" s="1160"/>
      <c r="D75" s="37"/>
      <c r="E75" s="37"/>
      <c r="F75" s="949" t="s">
        <v>14</v>
      </c>
      <c r="G75" s="237"/>
      <c r="H75" s="14"/>
      <c r="I75" s="912"/>
      <c r="J75" s="237"/>
      <c r="K75" s="237"/>
      <c r="L75" s="237"/>
      <c r="M75" s="925">
        <f t="shared" si="7"/>
        <v>0</v>
      </c>
      <c r="N75" s="237"/>
      <c r="O75" s="912"/>
      <c r="P75" s="973"/>
      <c r="Q75" s="906"/>
      <c r="R75" s="1142">
        <f>'Milling Down Time Hours'!L81</f>
        <v>0</v>
      </c>
      <c r="S75" s="14"/>
      <c r="T75" s="1144"/>
      <c r="U75" s="1144"/>
      <c r="V75" s="1146"/>
      <c r="W75" s="161">
        <f t="shared" si="22"/>
        <v>0</v>
      </c>
      <c r="X75" s="156">
        <f t="shared" si="23"/>
        <v>0</v>
      </c>
      <c r="Y75" s="156">
        <f t="shared" si="24"/>
        <v>0</v>
      </c>
      <c r="Z75" s="773"/>
      <c r="AD75" s="1">
        <v>0.41299999999999998</v>
      </c>
    </row>
    <row r="76" spans="2:30" ht="15" thickBot="1" x14ac:dyDescent="0.35">
      <c r="B76" s="1157">
        <v>46300</v>
      </c>
      <c r="C76" s="1158"/>
      <c r="D76" s="14"/>
      <c r="E76" s="14"/>
      <c r="F76" s="958" t="s">
        <v>13</v>
      </c>
      <c r="G76" s="237"/>
      <c r="H76" s="14"/>
      <c r="I76" s="912"/>
      <c r="J76" s="237"/>
      <c r="K76" s="237"/>
      <c r="L76" s="237"/>
      <c r="M76" s="925">
        <f t="shared" ref="M76:M98" si="25">H76*K76*G76</f>
        <v>0</v>
      </c>
      <c r="N76" s="237"/>
      <c r="O76" s="912"/>
      <c r="P76" s="929"/>
      <c r="Q76" s="907"/>
      <c r="R76" s="1143"/>
      <c r="S76" s="14"/>
      <c r="T76" s="1145"/>
      <c r="U76" s="1145"/>
      <c r="V76" s="1147"/>
      <c r="W76" s="161">
        <f t="shared" si="22"/>
        <v>0</v>
      </c>
      <c r="X76" s="156">
        <f t="shared" si="23"/>
        <v>0</v>
      </c>
      <c r="Y76" s="156">
        <f t="shared" si="24"/>
        <v>0</v>
      </c>
      <c r="Z76" s="773"/>
      <c r="AD76" s="1">
        <v>0.40400000000000003</v>
      </c>
    </row>
    <row r="77" spans="2:30" ht="15" thickBot="1" x14ac:dyDescent="0.35">
      <c r="B77" s="1159"/>
      <c r="C77" s="1160"/>
      <c r="D77" s="37"/>
      <c r="E77" s="37"/>
      <c r="F77" s="949" t="s">
        <v>14</v>
      </c>
      <c r="G77" s="922"/>
      <c r="H77" s="14"/>
      <c r="I77" s="912"/>
      <c r="J77" s="237"/>
      <c r="K77" s="237"/>
      <c r="L77" s="922"/>
      <c r="M77" s="925">
        <f t="shared" si="25"/>
        <v>0</v>
      </c>
      <c r="N77" s="922"/>
      <c r="O77" s="912"/>
      <c r="P77" s="973"/>
      <c r="Q77" s="906"/>
      <c r="R77" s="1142">
        <f>'Milling Down Time Hours'!L83</f>
        <v>0</v>
      </c>
      <c r="S77" s="14"/>
      <c r="T77" s="1161"/>
      <c r="U77" s="1161"/>
      <c r="V77" s="1163"/>
      <c r="W77" s="161">
        <f t="shared" si="22"/>
        <v>0</v>
      </c>
      <c r="X77" s="156">
        <f t="shared" si="23"/>
        <v>0</v>
      </c>
      <c r="Y77" s="156">
        <f t="shared" si="24"/>
        <v>0</v>
      </c>
      <c r="Z77" s="773"/>
      <c r="AD77" s="1">
        <v>0.47</v>
      </c>
    </row>
    <row r="78" spans="2:30" ht="15" thickBot="1" x14ac:dyDescent="0.35">
      <c r="B78" s="1157">
        <v>46301</v>
      </c>
      <c r="C78" s="1158"/>
      <c r="D78" s="14"/>
      <c r="E78" s="14"/>
      <c r="F78" s="958" t="s">
        <v>13</v>
      </c>
      <c r="G78" s="237"/>
      <c r="H78" s="14"/>
      <c r="I78" s="912"/>
      <c r="J78" s="237"/>
      <c r="K78" s="237"/>
      <c r="L78" s="237"/>
      <c r="M78" s="925">
        <f t="shared" si="25"/>
        <v>0</v>
      </c>
      <c r="N78" s="237"/>
      <c r="O78" s="912"/>
      <c r="P78" s="929"/>
      <c r="Q78" s="907"/>
      <c r="R78" s="1143"/>
      <c r="S78" s="14"/>
      <c r="T78" s="1162"/>
      <c r="U78" s="1162"/>
      <c r="V78" s="1164"/>
      <c r="W78" s="161">
        <f t="shared" si="22"/>
        <v>0</v>
      </c>
      <c r="X78" s="156">
        <f t="shared" si="23"/>
        <v>0</v>
      </c>
      <c r="Y78" s="156">
        <f t="shared" si="24"/>
        <v>0</v>
      </c>
      <c r="Z78" s="773"/>
      <c r="AD78" s="1">
        <v>0.46500000000000002</v>
      </c>
    </row>
    <row r="79" spans="2:30" ht="14.55" hidden="1" customHeight="1" thickBot="1" x14ac:dyDescent="0.35">
      <c r="B79" s="1165"/>
      <c r="C79" s="1166"/>
      <c r="D79" s="37"/>
      <c r="E79" s="37"/>
      <c r="F79" s="949" t="s">
        <v>14</v>
      </c>
      <c r="G79" s="922"/>
      <c r="H79" s="14"/>
      <c r="I79" s="912"/>
      <c r="J79" s="237"/>
      <c r="K79" s="237"/>
      <c r="L79" s="237"/>
      <c r="M79" s="925">
        <f t="shared" si="25"/>
        <v>0</v>
      </c>
      <c r="N79" s="237"/>
      <c r="O79" s="912"/>
      <c r="P79" s="1142">
        <f>'Milling Down Time Hours'!Q43</f>
        <v>0</v>
      </c>
      <c r="Q79" s="906"/>
      <c r="R79" s="1142">
        <f>'Milling Down Time Hours'!L85</f>
        <v>0</v>
      </c>
      <c r="S79" s="14"/>
      <c r="T79" s="1161">
        <v>0.35699999999999998</v>
      </c>
      <c r="U79" s="1161">
        <v>1.056</v>
      </c>
      <c r="V79" s="1163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Z79" s="773"/>
      <c r="AD79" s="1">
        <v>0.51600000000000001</v>
      </c>
    </row>
    <row r="80" spans="2:30" ht="15" hidden="1" customHeight="1" thickBot="1" x14ac:dyDescent="0.35">
      <c r="B80" s="1165"/>
      <c r="C80" s="1166"/>
      <c r="D80" s="14"/>
      <c r="E80" s="14"/>
      <c r="F80" s="958" t="s">
        <v>13</v>
      </c>
      <c r="G80" s="237"/>
      <c r="H80" s="14"/>
      <c r="I80" s="912"/>
      <c r="J80" s="237"/>
      <c r="K80" s="237"/>
      <c r="L80" s="237"/>
      <c r="M80" s="925">
        <f t="shared" si="25"/>
        <v>0</v>
      </c>
      <c r="N80" s="237"/>
      <c r="O80" s="912"/>
      <c r="P80" s="1143"/>
      <c r="Q80" s="907"/>
      <c r="R80" s="1143"/>
      <c r="S80" s="14"/>
      <c r="T80" s="1162"/>
      <c r="U80" s="1162"/>
      <c r="V80" s="1164"/>
      <c r="W80" s="161">
        <f t="shared" si="22"/>
        <v>0</v>
      </c>
      <c r="X80" s="156">
        <f t="shared" si="23"/>
        <v>0</v>
      </c>
      <c r="Y80" s="156">
        <f t="shared" si="24"/>
        <v>0</v>
      </c>
      <c r="Z80" s="773"/>
      <c r="AD80" s="119">
        <f>AVERAGE(AD74:AD79)</f>
        <v>0.44783333333333331</v>
      </c>
    </row>
    <row r="81" spans="2:26" ht="14.55" hidden="1" customHeight="1" thickBot="1" x14ac:dyDescent="0.35">
      <c r="B81" s="1165"/>
      <c r="C81" s="1166"/>
      <c r="D81" s="37"/>
      <c r="E81" s="37"/>
      <c r="F81" s="949" t="s">
        <v>14</v>
      </c>
      <c r="G81" s="237"/>
      <c r="H81" s="14"/>
      <c r="I81" s="912"/>
      <c r="J81" s="237"/>
      <c r="K81" s="237"/>
      <c r="L81" s="237"/>
      <c r="M81" s="925">
        <f t="shared" si="25"/>
        <v>0</v>
      </c>
      <c r="N81" s="237"/>
      <c r="O81" s="912"/>
      <c r="P81" s="1142">
        <f>'Milling Down Time Hours'!M87</f>
        <v>0</v>
      </c>
      <c r="Q81" s="906"/>
      <c r="R81" s="1142">
        <f>'Milling Down Time Hours'!L87</f>
        <v>0</v>
      </c>
      <c r="S81" s="14"/>
      <c r="T81" s="1144" t="e">
        <f>SUM(#REF!)</f>
        <v>#REF!</v>
      </c>
      <c r="U81" s="1144" t="e">
        <f t="shared" ref="U81:V81" si="26">SUM(T81:T83)</f>
        <v>#REF!</v>
      </c>
      <c r="V81" s="1146" t="e">
        <f t="shared" si="26"/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  <c r="Z81" s="773"/>
    </row>
    <row r="82" spans="2:26" ht="15" hidden="1" customHeight="1" thickBot="1" x14ac:dyDescent="0.35">
      <c r="B82" s="1165"/>
      <c r="C82" s="1166"/>
      <c r="D82" s="14"/>
      <c r="E82" s="14"/>
      <c r="F82" s="958" t="s">
        <v>13</v>
      </c>
      <c r="G82" s="237"/>
      <c r="H82" s="14"/>
      <c r="I82" s="912"/>
      <c r="J82" s="237"/>
      <c r="K82" s="237"/>
      <c r="L82" s="237"/>
      <c r="M82" s="925">
        <f t="shared" si="25"/>
        <v>0</v>
      </c>
      <c r="N82" s="237"/>
      <c r="O82" s="912"/>
      <c r="P82" s="1143"/>
      <c r="Q82" s="907"/>
      <c r="R82" s="1143"/>
      <c r="S82" s="14"/>
      <c r="T82" s="1145"/>
      <c r="U82" s="1145"/>
      <c r="V82" s="1147"/>
      <c r="W82" s="161">
        <f t="shared" si="22"/>
        <v>0</v>
      </c>
      <c r="X82" s="156">
        <f t="shared" si="23"/>
        <v>0</v>
      </c>
      <c r="Y82" s="156">
        <f t="shared" si="24"/>
        <v>0</v>
      </c>
      <c r="Z82" s="773"/>
    </row>
    <row r="83" spans="2:26" ht="14.55" hidden="1" customHeight="1" thickBot="1" x14ac:dyDescent="0.35">
      <c r="B83" s="1165"/>
      <c r="C83" s="1166"/>
      <c r="D83" s="37"/>
      <c r="E83" s="37"/>
      <c r="F83" s="949" t="s">
        <v>14</v>
      </c>
      <c r="G83" s="237"/>
      <c r="H83" s="14"/>
      <c r="I83" s="912"/>
      <c r="J83" s="237"/>
      <c r="K83" s="237"/>
      <c r="L83" s="237"/>
      <c r="M83" s="925">
        <f t="shared" si="25"/>
        <v>0</v>
      </c>
      <c r="N83" s="237"/>
      <c r="O83" s="912"/>
      <c r="P83" s="1142">
        <f>'Milling Down Time Hours'!M89</f>
        <v>0</v>
      </c>
      <c r="Q83" s="906"/>
      <c r="R83" s="1142">
        <f>'Milling Down Time Hours'!L89</f>
        <v>0</v>
      </c>
      <c r="S83" s="14"/>
      <c r="T83" s="1144" t="e">
        <f>SUM(#REF!)</f>
        <v>#REF!</v>
      </c>
      <c r="U83" s="1144" t="e">
        <f t="shared" ref="U83:V83" si="27">SUM(T83:T85)</f>
        <v>#REF!</v>
      </c>
      <c r="V83" s="1146" t="e">
        <f t="shared" si="27"/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  <c r="Z83" s="773"/>
    </row>
    <row r="84" spans="2:26" ht="15" hidden="1" customHeight="1" thickBot="1" x14ac:dyDescent="0.35">
      <c r="B84" s="1165"/>
      <c r="C84" s="1166"/>
      <c r="D84" s="14"/>
      <c r="E84" s="14"/>
      <c r="F84" s="958" t="s">
        <v>13</v>
      </c>
      <c r="G84" s="237"/>
      <c r="H84" s="14"/>
      <c r="I84" s="912"/>
      <c r="J84" s="237"/>
      <c r="K84" s="237"/>
      <c r="L84" s="237"/>
      <c r="M84" s="925">
        <f t="shared" si="25"/>
        <v>0</v>
      </c>
      <c r="N84" s="237"/>
      <c r="O84" s="912"/>
      <c r="P84" s="1143"/>
      <c r="Q84" s="907"/>
      <c r="R84" s="1143"/>
      <c r="S84" s="14"/>
      <c r="T84" s="1145"/>
      <c r="U84" s="1145"/>
      <c r="V84" s="1147"/>
      <c r="W84" s="161">
        <f t="shared" si="22"/>
        <v>0</v>
      </c>
      <c r="X84" s="156">
        <f t="shared" si="23"/>
        <v>0</v>
      </c>
      <c r="Y84" s="156">
        <f t="shared" si="24"/>
        <v>0</v>
      </c>
      <c r="Z84" s="773"/>
    </row>
    <row r="85" spans="2:26" ht="14.55" hidden="1" customHeight="1" thickBot="1" x14ac:dyDescent="0.35">
      <c r="B85" s="1165"/>
      <c r="C85" s="1166"/>
      <c r="D85" s="37"/>
      <c r="E85" s="37"/>
      <c r="F85" s="949" t="s">
        <v>14</v>
      </c>
      <c r="G85" s="237"/>
      <c r="H85" s="14"/>
      <c r="I85" s="912"/>
      <c r="J85" s="237"/>
      <c r="K85" s="237"/>
      <c r="L85" s="237"/>
      <c r="M85" s="925">
        <f t="shared" si="25"/>
        <v>0</v>
      </c>
      <c r="N85" s="237"/>
      <c r="O85" s="912"/>
      <c r="P85" s="1142">
        <f>'Milling Down Time Hours'!M91</f>
        <v>0</v>
      </c>
      <c r="Q85" s="906"/>
      <c r="R85" s="1142">
        <f>'Milling Down Time Hours'!L91</f>
        <v>0</v>
      </c>
      <c r="S85" s="14"/>
      <c r="T85" s="1144" t="e">
        <f>SUM(#REF!)</f>
        <v>#REF!</v>
      </c>
      <c r="U85" s="1144" t="e">
        <f t="shared" ref="U85:V85" si="28">SUM(T85:T87)</f>
        <v>#REF!</v>
      </c>
      <c r="V85" s="1146" t="e">
        <f t="shared" si="28"/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  <c r="Z85" s="773"/>
    </row>
    <row r="86" spans="2:26" ht="15" hidden="1" customHeight="1" thickBot="1" x14ac:dyDescent="0.35">
      <c r="B86" s="1165"/>
      <c r="C86" s="1166"/>
      <c r="D86" s="14"/>
      <c r="E86" s="14"/>
      <c r="F86" s="958" t="s">
        <v>13</v>
      </c>
      <c r="G86" s="237"/>
      <c r="H86" s="14"/>
      <c r="I86" s="912"/>
      <c r="J86" s="237"/>
      <c r="K86" s="237"/>
      <c r="L86" s="237"/>
      <c r="M86" s="925">
        <f t="shared" si="25"/>
        <v>0</v>
      </c>
      <c r="N86" s="237"/>
      <c r="O86" s="912"/>
      <c r="P86" s="1143"/>
      <c r="Q86" s="907"/>
      <c r="R86" s="1143"/>
      <c r="S86" s="14"/>
      <c r="T86" s="1145"/>
      <c r="U86" s="1145"/>
      <c r="V86" s="1147"/>
      <c r="W86" s="161">
        <f t="shared" si="22"/>
        <v>0</v>
      </c>
      <c r="X86" s="156">
        <f t="shared" si="23"/>
        <v>0</v>
      </c>
      <c r="Y86" s="156">
        <f t="shared" si="24"/>
        <v>0</v>
      </c>
      <c r="Z86" s="773"/>
    </row>
    <row r="87" spans="2:26" ht="14.55" hidden="1" customHeight="1" thickBot="1" x14ac:dyDescent="0.35">
      <c r="B87" s="1165"/>
      <c r="C87" s="1166"/>
      <c r="D87" s="37"/>
      <c r="E87" s="37"/>
      <c r="F87" s="949" t="s">
        <v>14</v>
      </c>
      <c r="G87" s="237"/>
      <c r="H87" s="14"/>
      <c r="I87" s="912"/>
      <c r="J87" s="237"/>
      <c r="K87" s="237"/>
      <c r="L87" s="237"/>
      <c r="M87" s="925">
        <f t="shared" si="25"/>
        <v>0</v>
      </c>
      <c r="N87" s="237"/>
      <c r="O87" s="912"/>
      <c r="P87" s="1142">
        <f>'Milling Down Time Hours'!M93</f>
        <v>0</v>
      </c>
      <c r="Q87" s="906"/>
      <c r="R87" s="1142">
        <f>'Milling Down Time Hours'!L93</f>
        <v>0</v>
      </c>
      <c r="S87" s="14"/>
      <c r="T87" s="1144" t="e">
        <f>SUM(#REF!)</f>
        <v>#REF!</v>
      </c>
      <c r="U87" s="1144" t="e">
        <f t="shared" ref="U87:V87" si="29">SUM(T87:T89)</f>
        <v>#REF!</v>
      </c>
      <c r="V87" s="1146" t="e">
        <f t="shared" si="29"/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  <c r="Z87" s="773"/>
    </row>
    <row r="88" spans="2:26" ht="15" hidden="1" customHeight="1" thickBot="1" x14ac:dyDescent="0.35">
      <c r="B88" s="1165"/>
      <c r="C88" s="1166"/>
      <c r="D88" s="14"/>
      <c r="E88" s="14"/>
      <c r="F88" s="958" t="s">
        <v>13</v>
      </c>
      <c r="G88" s="237"/>
      <c r="H88" s="14"/>
      <c r="I88" s="912"/>
      <c r="J88" s="237"/>
      <c r="K88" s="237"/>
      <c r="L88" s="237"/>
      <c r="M88" s="925">
        <f t="shared" si="25"/>
        <v>0</v>
      </c>
      <c r="N88" s="237"/>
      <c r="O88" s="912"/>
      <c r="P88" s="1143"/>
      <c r="Q88" s="907"/>
      <c r="R88" s="1143"/>
      <c r="S88" s="14"/>
      <c r="T88" s="1145"/>
      <c r="U88" s="1145"/>
      <c r="V88" s="1147"/>
      <c r="W88" s="161">
        <f t="shared" si="22"/>
        <v>0</v>
      </c>
      <c r="X88" s="156">
        <f t="shared" si="23"/>
        <v>0</v>
      </c>
      <c r="Y88" s="156">
        <f t="shared" si="24"/>
        <v>0</v>
      </c>
      <c r="Z88" s="773"/>
    </row>
    <row r="89" spans="2:26" ht="14.55" hidden="1" customHeight="1" thickBot="1" x14ac:dyDescent="0.35">
      <c r="B89" s="1165"/>
      <c r="C89" s="1166"/>
      <c r="D89" s="37"/>
      <c r="E89" s="37"/>
      <c r="F89" s="949" t="s">
        <v>14</v>
      </c>
      <c r="G89" s="237"/>
      <c r="H89" s="14"/>
      <c r="I89" s="912"/>
      <c r="J89" s="237"/>
      <c r="K89" s="237"/>
      <c r="L89" s="237"/>
      <c r="M89" s="925">
        <f t="shared" si="25"/>
        <v>0</v>
      </c>
      <c r="N89" s="237"/>
      <c r="O89" s="912"/>
      <c r="P89" s="1142">
        <f>'Milling Down Time Hours'!M95</f>
        <v>0</v>
      </c>
      <c r="Q89" s="906"/>
      <c r="R89" s="1142">
        <f>'Milling Down Time Hours'!L95</f>
        <v>0</v>
      </c>
      <c r="S89" s="14"/>
      <c r="T89" s="1144" t="e">
        <f>SUM(#REF!)</f>
        <v>#REF!</v>
      </c>
      <c r="U89" s="1144" t="e">
        <f t="shared" ref="U89:V89" si="30">SUM(T89:T91)</f>
        <v>#REF!</v>
      </c>
      <c r="V89" s="1146" t="e">
        <f t="shared" si="30"/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  <c r="Z89" s="773"/>
    </row>
    <row r="90" spans="2:26" ht="15" hidden="1" customHeight="1" thickBot="1" x14ac:dyDescent="0.35">
      <c r="B90" s="1165"/>
      <c r="C90" s="1166"/>
      <c r="D90" s="14"/>
      <c r="E90" s="14"/>
      <c r="F90" s="958" t="s">
        <v>13</v>
      </c>
      <c r="G90" s="237"/>
      <c r="H90" s="14"/>
      <c r="I90" s="912"/>
      <c r="J90" s="237"/>
      <c r="K90" s="237"/>
      <c r="L90" s="237"/>
      <c r="M90" s="925">
        <f t="shared" si="25"/>
        <v>0</v>
      </c>
      <c r="N90" s="237"/>
      <c r="O90" s="912"/>
      <c r="P90" s="1143"/>
      <c r="Q90" s="907"/>
      <c r="R90" s="1143"/>
      <c r="S90" s="14"/>
      <c r="T90" s="1145"/>
      <c r="U90" s="1145"/>
      <c r="V90" s="1147"/>
      <c r="W90" s="161">
        <f t="shared" si="22"/>
        <v>0</v>
      </c>
      <c r="X90" s="156">
        <f t="shared" si="23"/>
        <v>0</v>
      </c>
      <c r="Y90" s="156">
        <f t="shared" si="24"/>
        <v>0</v>
      </c>
      <c r="Z90" s="773"/>
    </row>
    <row r="91" spans="2:26" ht="14.55" hidden="1" customHeight="1" thickBot="1" x14ac:dyDescent="0.35">
      <c r="B91" s="1165"/>
      <c r="C91" s="1166"/>
      <c r="D91" s="37"/>
      <c r="E91" s="37"/>
      <c r="F91" s="949" t="s">
        <v>14</v>
      </c>
      <c r="G91" s="237"/>
      <c r="H91" s="14"/>
      <c r="I91" s="912"/>
      <c r="J91" s="237"/>
      <c r="K91" s="237"/>
      <c r="L91" s="237"/>
      <c r="M91" s="925">
        <f t="shared" si="25"/>
        <v>0</v>
      </c>
      <c r="N91" s="237"/>
      <c r="O91" s="912"/>
      <c r="P91" s="1142">
        <f>'Milling Down Time Hours'!M97</f>
        <v>0</v>
      </c>
      <c r="Q91" s="906"/>
      <c r="R91" s="1142">
        <f>'Milling Down Time Hours'!L97</f>
        <v>0</v>
      </c>
      <c r="S91" s="14"/>
      <c r="T91" s="1144" t="e">
        <f>SUM(#REF!)</f>
        <v>#REF!</v>
      </c>
      <c r="U91" s="1144" t="e">
        <f t="shared" ref="U91:V91" si="31">SUM(T91:T93)</f>
        <v>#REF!</v>
      </c>
      <c r="V91" s="1146" t="e">
        <f t="shared" si="31"/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  <c r="Z91" s="773"/>
    </row>
    <row r="92" spans="2:26" ht="15" hidden="1" customHeight="1" thickBot="1" x14ac:dyDescent="0.35">
      <c r="B92" s="1165"/>
      <c r="C92" s="1166"/>
      <c r="D92" s="14"/>
      <c r="E92" s="14"/>
      <c r="F92" s="958" t="s">
        <v>13</v>
      </c>
      <c r="G92" s="237"/>
      <c r="H92" s="14"/>
      <c r="I92" s="912"/>
      <c r="J92" s="237"/>
      <c r="K92" s="237"/>
      <c r="L92" s="237"/>
      <c r="M92" s="925">
        <f t="shared" si="25"/>
        <v>0</v>
      </c>
      <c r="N92" s="237"/>
      <c r="O92" s="912"/>
      <c r="P92" s="1143"/>
      <c r="Q92" s="907"/>
      <c r="R92" s="1143"/>
      <c r="S92" s="14"/>
      <c r="T92" s="1145"/>
      <c r="U92" s="1145"/>
      <c r="V92" s="1147"/>
      <c r="W92" s="161">
        <f t="shared" si="22"/>
        <v>0</v>
      </c>
      <c r="X92" s="156">
        <f t="shared" si="23"/>
        <v>0</v>
      </c>
      <c r="Y92" s="156">
        <f t="shared" si="24"/>
        <v>0</v>
      </c>
      <c r="Z92" s="773"/>
    </row>
    <row r="93" spans="2:26" ht="14.55" hidden="1" customHeight="1" thickBot="1" x14ac:dyDescent="0.35">
      <c r="B93" s="1165"/>
      <c r="C93" s="1166"/>
      <c r="D93" s="37"/>
      <c r="E93" s="37"/>
      <c r="F93" s="949" t="s">
        <v>14</v>
      </c>
      <c r="G93" s="237"/>
      <c r="H93" s="14"/>
      <c r="I93" s="912"/>
      <c r="J93" s="237"/>
      <c r="K93" s="237"/>
      <c r="L93" s="237"/>
      <c r="M93" s="925">
        <f t="shared" si="25"/>
        <v>0</v>
      </c>
      <c r="N93" s="237"/>
      <c r="O93" s="912"/>
      <c r="P93" s="1142">
        <f>'Milling Down Time Hours'!M99</f>
        <v>0</v>
      </c>
      <c r="Q93" s="906"/>
      <c r="R93" s="1142">
        <f>'Milling Down Time Hours'!L99</f>
        <v>0</v>
      </c>
      <c r="S93" s="14"/>
      <c r="T93" s="1144" t="e">
        <f>SUM(#REF!)</f>
        <v>#REF!</v>
      </c>
      <c r="U93" s="1144" t="e">
        <f t="shared" ref="U93:V93" si="32">SUM(T93:T95)</f>
        <v>#REF!</v>
      </c>
      <c r="V93" s="1146" t="e">
        <f t="shared" si="32"/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  <c r="Z93" s="773"/>
    </row>
    <row r="94" spans="2:26" ht="15" hidden="1" customHeight="1" thickBot="1" x14ac:dyDescent="0.35">
      <c r="B94" s="1165"/>
      <c r="C94" s="1166"/>
      <c r="D94" s="14"/>
      <c r="E94" s="14"/>
      <c r="F94" s="958" t="s">
        <v>13</v>
      </c>
      <c r="G94" s="237"/>
      <c r="H94" s="14"/>
      <c r="I94" s="912"/>
      <c r="J94" s="237"/>
      <c r="K94" s="237"/>
      <c r="L94" s="237"/>
      <c r="M94" s="925">
        <f t="shared" si="25"/>
        <v>0</v>
      </c>
      <c r="N94" s="237"/>
      <c r="O94" s="912"/>
      <c r="P94" s="1143"/>
      <c r="Q94" s="907"/>
      <c r="R94" s="1143"/>
      <c r="S94" s="14"/>
      <c r="T94" s="1145"/>
      <c r="U94" s="1145"/>
      <c r="V94" s="1147"/>
      <c r="W94" s="161">
        <f t="shared" si="22"/>
        <v>0</v>
      </c>
      <c r="X94" s="156">
        <f t="shared" si="23"/>
        <v>0</v>
      </c>
      <c r="Y94" s="156">
        <f t="shared" si="24"/>
        <v>0</v>
      </c>
      <c r="Z94" s="773"/>
    </row>
    <row r="95" spans="2:26" ht="14.55" hidden="1" customHeight="1" thickBot="1" x14ac:dyDescent="0.35">
      <c r="B95" s="1165"/>
      <c r="C95" s="1166"/>
      <c r="D95" s="37"/>
      <c r="E95" s="37"/>
      <c r="F95" s="949" t="s">
        <v>14</v>
      </c>
      <c r="G95" s="237"/>
      <c r="H95" s="14"/>
      <c r="I95" s="912"/>
      <c r="J95" s="237"/>
      <c r="K95" s="237"/>
      <c r="L95" s="237"/>
      <c r="M95" s="925">
        <f t="shared" si="25"/>
        <v>0</v>
      </c>
      <c r="N95" s="237"/>
      <c r="O95" s="912"/>
      <c r="P95" s="1142">
        <f>'Milling Down Time Hours'!M101</f>
        <v>0</v>
      </c>
      <c r="Q95" s="906"/>
      <c r="R95" s="1142">
        <f>'Milling Down Time Hours'!L101</f>
        <v>0</v>
      </c>
      <c r="S95" s="14"/>
      <c r="T95" s="1144" t="e">
        <f>SUM(#REF!)</f>
        <v>#REF!</v>
      </c>
      <c r="U95" s="1144" t="e">
        <f>SUM(T95:T99)</f>
        <v>#REF!</v>
      </c>
      <c r="V95" s="1146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  <c r="Z95" s="773"/>
    </row>
    <row r="96" spans="2:26" ht="14.55" hidden="1" customHeight="1" thickBot="1" x14ac:dyDescent="0.35">
      <c r="B96" s="1165"/>
      <c r="C96" s="1166"/>
      <c r="D96" s="97"/>
      <c r="E96" s="97"/>
      <c r="F96" s="958" t="s">
        <v>13</v>
      </c>
      <c r="G96" s="904"/>
      <c r="H96" s="97"/>
      <c r="I96" s="913"/>
      <c r="J96" s="904"/>
      <c r="K96" s="904"/>
      <c r="L96" s="904"/>
      <c r="M96" s="925">
        <f t="shared" si="25"/>
        <v>0</v>
      </c>
      <c r="N96" s="904"/>
      <c r="O96" s="913"/>
      <c r="P96" s="1148"/>
      <c r="Q96" s="473"/>
      <c r="R96" s="1149"/>
      <c r="S96" s="97"/>
      <c r="T96" s="1150"/>
      <c r="U96" s="1150"/>
      <c r="V96" s="1151"/>
      <c r="W96" s="161">
        <f t="shared" si="22"/>
        <v>0</v>
      </c>
      <c r="X96" s="156">
        <f t="shared" si="23"/>
        <v>0</v>
      </c>
      <c r="Y96" s="156">
        <f t="shared" si="24"/>
        <v>0</v>
      </c>
      <c r="Z96" s="773"/>
    </row>
    <row r="97" spans="2:27" ht="15" thickBot="1" x14ac:dyDescent="0.35">
      <c r="B97" s="1159"/>
      <c r="C97" s="1160"/>
      <c r="D97" s="528"/>
      <c r="E97" s="528"/>
      <c r="F97" s="949" t="s">
        <v>14</v>
      </c>
      <c r="G97" s="922"/>
      <c r="H97" s="14"/>
      <c r="I97" s="912"/>
      <c r="J97" s="237"/>
      <c r="K97" s="237"/>
      <c r="L97" s="922"/>
      <c r="M97" s="925">
        <f t="shared" si="25"/>
        <v>0</v>
      </c>
      <c r="N97" s="922"/>
      <c r="O97" s="912"/>
      <c r="P97" s="156"/>
      <c r="Q97" s="156"/>
      <c r="R97" s="156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  <c r="Z97" s="773"/>
    </row>
    <row r="98" spans="2:27" ht="15" thickBot="1" x14ac:dyDescent="0.35">
      <c r="B98" s="462"/>
      <c r="C98" s="463"/>
      <c r="D98" s="528"/>
      <c r="E98" s="528"/>
      <c r="F98" s="958" t="s">
        <v>13</v>
      </c>
      <c r="G98" s="237"/>
      <c r="H98" s="14"/>
      <c r="I98" s="912"/>
      <c r="J98" s="237"/>
      <c r="K98" s="237"/>
      <c r="L98" s="237"/>
      <c r="M98" s="925">
        <f t="shared" si="25"/>
        <v>0</v>
      </c>
      <c r="N98" s="237"/>
      <c r="O98" s="912"/>
      <c r="P98" s="156"/>
      <c r="Q98" s="156"/>
      <c r="R98" s="156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Z98" s="773"/>
      <c r="AA98" s="461">
        <f>SUM(AB5:AB17)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915"/>
      <c r="G99" s="915"/>
      <c r="H99" s="481"/>
      <c r="I99" s="914"/>
      <c r="J99" s="915"/>
      <c r="K99" s="915"/>
      <c r="L99" s="923">
        <f>AVERAGE(L5:L98)</f>
        <v>0.73242424242424242</v>
      </c>
      <c r="M99" s="926">
        <f>SUM(M5:M98)</f>
        <v>2392.1987185130006</v>
      </c>
      <c r="N99" s="923"/>
      <c r="O99" s="914"/>
      <c r="P99" s="932">
        <f>SUM(P5:P98)</f>
        <v>296.66666666666663</v>
      </c>
      <c r="Q99" s="932">
        <f>SUM(Q5:Q98)/60</f>
        <v>284.66666666666669</v>
      </c>
      <c r="R99" s="976">
        <f>SUM(Q5:Q98)/60</f>
        <v>284.66666666666669</v>
      </c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3"/>
    </row>
    <row r="101" spans="2:27" x14ac:dyDescent="0.3">
      <c r="Z101" s="600" t="s">
        <v>204</v>
      </c>
      <c r="AA101" s="1">
        <f>MIN(Z5:Z98)</f>
        <v>3.2</v>
      </c>
    </row>
    <row r="102" spans="2:27" x14ac:dyDescent="0.3">
      <c r="N102" s="927">
        <f>MAX(N5:N30)</f>
        <v>262.08779999999996</v>
      </c>
      <c r="Z102" s="600" t="s">
        <v>203</v>
      </c>
      <c r="AA102" s="138">
        <f>MAX(Z5:Z98)</f>
        <v>10.8</v>
      </c>
    </row>
    <row r="103" spans="2:27" x14ac:dyDescent="0.3">
      <c r="W103" s="138"/>
    </row>
  </sheetData>
  <mergeCells count="193">
    <mergeCell ref="A38:A41"/>
    <mergeCell ref="A35:A37"/>
    <mergeCell ref="N36:N37"/>
    <mergeCell ref="N38:N39"/>
    <mergeCell ref="S35:S37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V55:V56"/>
    <mergeCell ref="B56:C57"/>
    <mergeCell ref="B44:C45"/>
    <mergeCell ref="R45:R46"/>
    <mergeCell ref="B46:C47"/>
    <mergeCell ref="R47:R48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U65:U66"/>
    <mergeCell ref="V65:V66"/>
    <mergeCell ref="T47:T48"/>
    <mergeCell ref="U47:U48"/>
    <mergeCell ref="V47:V48"/>
    <mergeCell ref="B48:C49"/>
    <mergeCell ref="R49:R50"/>
    <mergeCell ref="T49:T50"/>
    <mergeCell ref="U49:U50"/>
    <mergeCell ref="V49:V50"/>
    <mergeCell ref="B50:C51"/>
    <mergeCell ref="R51:R52"/>
    <mergeCell ref="T51:T52"/>
    <mergeCell ref="U51:U52"/>
    <mergeCell ref="V51:V52"/>
    <mergeCell ref="B52:C53"/>
    <mergeCell ref="R53:R54"/>
    <mergeCell ref="T53:T54"/>
    <mergeCell ref="U53:U54"/>
    <mergeCell ref="V53:V54"/>
    <mergeCell ref="B54:C55"/>
    <mergeCell ref="R55:R56"/>
    <mergeCell ref="T55:T56"/>
    <mergeCell ref="U55:U56"/>
    <mergeCell ref="T75:T76"/>
    <mergeCell ref="U75:U76"/>
    <mergeCell ref="R57:R58"/>
    <mergeCell ref="T57:T58"/>
    <mergeCell ref="U57:U58"/>
    <mergeCell ref="V57:V58"/>
    <mergeCell ref="B58:C59"/>
    <mergeCell ref="R59:R60"/>
    <mergeCell ref="T59:T60"/>
    <mergeCell ref="U59:U60"/>
    <mergeCell ref="V59:V60"/>
    <mergeCell ref="B60:C61"/>
    <mergeCell ref="R61:R62"/>
    <mergeCell ref="T61:T62"/>
    <mergeCell ref="U61:U62"/>
    <mergeCell ref="V61:V62"/>
    <mergeCell ref="B62:C63"/>
    <mergeCell ref="R63:R64"/>
    <mergeCell ref="T63:T64"/>
    <mergeCell ref="U63:U64"/>
    <mergeCell ref="V63:V64"/>
    <mergeCell ref="B64:C65"/>
    <mergeCell ref="R65:R66"/>
    <mergeCell ref="T65:T66"/>
    <mergeCell ref="R81:R82"/>
    <mergeCell ref="T81:T82"/>
    <mergeCell ref="B66:C67"/>
    <mergeCell ref="R67:R68"/>
    <mergeCell ref="T67:T68"/>
    <mergeCell ref="U67:U68"/>
    <mergeCell ref="V67:V68"/>
    <mergeCell ref="B68:C69"/>
    <mergeCell ref="R69:R70"/>
    <mergeCell ref="T69:T70"/>
    <mergeCell ref="U69:U70"/>
    <mergeCell ref="V69:V70"/>
    <mergeCell ref="B70:C71"/>
    <mergeCell ref="R71:R72"/>
    <mergeCell ref="T71:T72"/>
    <mergeCell ref="U71:U72"/>
    <mergeCell ref="V71:V72"/>
    <mergeCell ref="B72:C73"/>
    <mergeCell ref="R73:R74"/>
    <mergeCell ref="T73:T74"/>
    <mergeCell ref="U73:U74"/>
    <mergeCell ref="V73:V74"/>
    <mergeCell ref="B74:C75"/>
    <mergeCell ref="R75:R7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V75:V76"/>
    <mergeCell ref="B76:C77"/>
    <mergeCell ref="R77:R78"/>
    <mergeCell ref="T77:T78"/>
    <mergeCell ref="U77:U78"/>
    <mergeCell ref="V77:V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N102"/>
  <sheetViews>
    <sheetView zoomScale="70" zoomScaleNormal="100" workbookViewId="0">
      <pane ySplit="9" topLeftCell="A10" activePane="bottomLeft" state="frozen"/>
      <selection pane="bottomLeft" activeCell="J1" sqref="J1:J104857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25.33203125" style="13" bestFit="1" customWidth="1"/>
    <col min="10" max="10" width="33.33203125" style="13" bestFit="1" customWidth="1"/>
    <col min="11" max="11" width="12.44140625" style="13" bestFit="1" customWidth="1"/>
    <col min="12" max="12" width="8.77734375" style="13" customWidth="1"/>
    <col min="13" max="13" width="16" style="13" customWidth="1"/>
    <col min="14" max="14" width="11.6640625" style="13" customWidth="1"/>
    <col min="15" max="15" width="13.109375" style="1" customWidth="1"/>
    <col min="16" max="16" width="30.44140625" style="1" bestFit="1" customWidth="1"/>
    <col min="17" max="17" width="9.44140625" style="13" customWidth="1"/>
    <col min="18" max="18" width="10.44140625" style="1" customWidth="1"/>
    <col min="19" max="20" width="20.44140625" style="13" customWidth="1"/>
    <col min="21" max="21" width="20.44140625" style="1" customWidth="1"/>
    <col min="22" max="22" width="35.88671875" style="1" bestFit="1" customWidth="1"/>
    <col min="23" max="23" width="17.109375" style="1" bestFit="1" customWidth="1"/>
    <col min="24" max="24" width="17.109375" style="1" customWidth="1"/>
    <col min="25" max="25" width="9.44140625" style="1" customWidth="1"/>
    <col min="26" max="26" width="13.33203125" style="1" customWidth="1"/>
    <col min="27" max="27" width="9.88671875" style="1" customWidth="1"/>
    <col min="28" max="28" width="15.21875" style="1" customWidth="1"/>
    <col min="29" max="29" width="12.88671875" style="1" customWidth="1"/>
    <col min="30" max="30" width="18.33203125" style="1" customWidth="1"/>
    <col min="31" max="31" width="18.5546875" style="1" customWidth="1"/>
    <col min="32" max="32" width="15.6640625" style="1" customWidth="1"/>
    <col min="33" max="33" width="8.88671875" style="1"/>
    <col min="34" max="34" width="8.88671875" style="1" customWidth="1"/>
    <col min="35" max="36" width="8.88671875" style="1"/>
    <col min="37" max="37" width="17" style="1" bestFit="1" customWidth="1"/>
    <col min="38" max="38" width="8.88671875" style="1"/>
    <col min="39" max="39" width="16" style="1" customWidth="1"/>
    <col min="40" max="40" width="18.44140625" style="1" customWidth="1"/>
    <col min="41" max="41" width="15.33203125" style="1" customWidth="1"/>
    <col min="42" max="42" width="17.88671875" style="1" bestFit="1" customWidth="1"/>
    <col min="43" max="43" width="13.109375" style="1" customWidth="1"/>
    <col min="44" max="44" width="22.33203125" style="1" customWidth="1"/>
    <col min="45" max="46" width="15" style="1" customWidth="1"/>
    <col min="47" max="48" width="8.88671875" style="1"/>
    <col min="49" max="49" width="15.88671875" style="1" customWidth="1"/>
    <col min="50" max="50" width="21.5546875" style="12" bestFit="1" customWidth="1"/>
    <col min="51" max="51" width="15.88671875" style="1" customWidth="1"/>
    <col min="52" max="52" width="12.5546875" style="1" customWidth="1"/>
    <col min="53" max="53" width="8.88671875" style="1"/>
    <col min="54" max="54" width="9.109375" style="1" customWidth="1"/>
    <col min="55" max="55" width="14" style="1" bestFit="1" customWidth="1"/>
    <col min="56" max="56" width="17.6640625" style="1" bestFit="1" customWidth="1"/>
    <col min="57" max="57" width="11.44140625" style="1" customWidth="1"/>
    <col min="58" max="58" width="12.33203125" style="1" customWidth="1"/>
    <col min="59" max="61" width="8.88671875" style="1"/>
    <col min="62" max="62" width="9.33203125" style="1" bestFit="1" customWidth="1"/>
    <col min="63" max="16384" width="8.88671875" style="1"/>
  </cols>
  <sheetData>
    <row r="1" spans="2:66" ht="15" thickBot="1" x14ac:dyDescent="0.35"/>
    <row r="2" spans="2:66" ht="24" thickBot="1" x14ac:dyDescent="0.5">
      <c r="D2" s="1016" t="s">
        <v>244</v>
      </c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17"/>
      <c r="V2" s="1017"/>
      <c r="W2" s="1017"/>
      <c r="X2" s="1017"/>
      <c r="Y2" s="1017"/>
      <c r="Z2" s="1017"/>
      <c r="AA2" s="1017"/>
      <c r="AB2" s="1017"/>
      <c r="AC2" s="1017"/>
      <c r="AD2" s="1017"/>
      <c r="AE2" s="1017"/>
      <c r="AF2" s="1017"/>
      <c r="AG2" s="1018"/>
    </row>
    <row r="3" spans="2:66" ht="24" thickBot="1" x14ac:dyDescent="0.5">
      <c r="D3" s="1016" t="s">
        <v>198</v>
      </c>
      <c r="E3" s="1017"/>
      <c r="F3" s="1017"/>
      <c r="G3" s="1017"/>
      <c r="H3" s="1017"/>
      <c r="I3" s="1017"/>
      <c r="J3" s="1017"/>
      <c r="K3" s="1017"/>
      <c r="L3" s="1017"/>
      <c r="M3" s="1017"/>
      <c r="N3" s="1017"/>
      <c r="O3" s="1017"/>
      <c r="P3" s="1017"/>
      <c r="Q3" s="1017"/>
      <c r="R3" s="1017"/>
      <c r="S3" s="1017"/>
      <c r="T3" s="1017"/>
      <c r="U3" s="1017"/>
      <c r="V3" s="1017"/>
      <c r="W3" s="1017"/>
      <c r="X3" s="1017"/>
      <c r="Y3" s="1017"/>
      <c r="Z3" s="1017"/>
      <c r="AA3" s="1017"/>
      <c r="AB3" s="1017"/>
      <c r="AC3" s="1017"/>
      <c r="AD3" s="1017"/>
      <c r="AE3" s="1017"/>
      <c r="AF3" s="1017"/>
      <c r="AG3" s="1018"/>
      <c r="AK3" s="138"/>
    </row>
    <row r="4" spans="2:66" ht="24" thickBot="1" x14ac:dyDescent="0.5">
      <c r="D4" s="1020" t="s">
        <v>544</v>
      </c>
      <c r="E4" s="1021"/>
      <c r="F4" s="1021"/>
      <c r="G4" s="1021"/>
      <c r="H4" s="1021"/>
      <c r="I4" s="1021"/>
      <c r="J4" s="1021"/>
      <c r="K4" s="1021"/>
      <c r="L4" s="1021"/>
      <c r="M4" s="1021"/>
      <c r="N4" s="1021"/>
      <c r="O4" s="1021"/>
      <c r="P4" s="1021"/>
      <c r="Q4" s="1021"/>
      <c r="R4" s="1021"/>
      <c r="S4" s="1021"/>
      <c r="T4" s="1021"/>
      <c r="U4" s="1021"/>
      <c r="V4" s="1021"/>
      <c r="W4" s="1021"/>
      <c r="X4" s="1021"/>
      <c r="Y4" s="1021"/>
      <c r="Z4" s="1021"/>
      <c r="AA4" s="1021"/>
      <c r="AB4" s="1021"/>
      <c r="AC4" s="1021"/>
      <c r="AD4" s="1021"/>
      <c r="AE4" s="1021"/>
      <c r="AF4" s="1021"/>
      <c r="AG4" s="1022"/>
      <c r="AI4" s="435"/>
      <c r="AJ4" s="2"/>
      <c r="AN4" s="2"/>
    </row>
    <row r="5" spans="2:66" x14ac:dyDescent="0.3">
      <c r="F5" s="138"/>
      <c r="P5" s="11"/>
      <c r="AK5" s="2"/>
      <c r="AT5" s="2"/>
    </row>
    <row r="6" spans="2:66" x14ac:dyDescent="0.3">
      <c r="P6" s="11"/>
      <c r="W6" s="2"/>
      <c r="X6" s="11"/>
      <c r="AE6" s="10"/>
      <c r="AF6" s="2"/>
      <c r="AJ6" s="11"/>
      <c r="AM6" s="44"/>
    </row>
    <row r="7" spans="2:66" x14ac:dyDescent="0.3">
      <c r="B7" s="1001" t="s">
        <v>260</v>
      </c>
      <c r="C7" s="207" t="s">
        <v>328</v>
      </c>
      <c r="D7" s="1001" t="s">
        <v>245</v>
      </c>
      <c r="E7" s="1001" t="s">
        <v>246</v>
      </c>
      <c r="F7" s="1001" t="s">
        <v>247</v>
      </c>
      <c r="G7" s="1001" t="s">
        <v>248</v>
      </c>
      <c r="H7" s="1001" t="s">
        <v>249</v>
      </c>
      <c r="I7" s="1001" t="s">
        <v>145</v>
      </c>
      <c r="J7" s="207"/>
      <c r="K7" s="207"/>
      <c r="L7" s="1001" t="s">
        <v>251</v>
      </c>
      <c r="M7" s="228"/>
      <c r="N7" s="228"/>
      <c r="O7" s="1009" t="s">
        <v>250</v>
      </c>
      <c r="P7" s="228" t="s">
        <v>250</v>
      </c>
      <c r="Q7" s="1009" t="s">
        <v>296</v>
      </c>
      <c r="R7" s="228" t="s">
        <v>293</v>
      </c>
      <c r="S7" s="228" t="s">
        <v>454</v>
      </c>
      <c r="T7" s="228" t="s">
        <v>456</v>
      </c>
      <c r="U7" s="228" t="s">
        <v>459</v>
      </c>
      <c r="V7" s="207" t="s">
        <v>283</v>
      </c>
      <c r="W7" s="1001" t="s">
        <v>252</v>
      </c>
      <c r="X7" s="207" t="s">
        <v>305</v>
      </c>
      <c r="Y7" s="1001" t="s">
        <v>261</v>
      </c>
      <c r="Z7" s="1001"/>
      <c r="AA7" s="1001"/>
      <c r="AB7" s="1000" t="s">
        <v>263</v>
      </c>
      <c r="AC7" s="1000"/>
      <c r="AD7" s="1000"/>
      <c r="AE7" s="1001" t="s">
        <v>270</v>
      </c>
      <c r="AF7" s="1001" t="s">
        <v>291</v>
      </c>
      <c r="AG7" s="1000" t="s">
        <v>257</v>
      </c>
      <c r="AH7" s="1000"/>
      <c r="AI7" s="1000"/>
      <c r="AJ7" s="1000"/>
      <c r="AK7" s="1000"/>
      <c r="AL7" s="1000"/>
      <c r="AM7" s="1000" t="s">
        <v>267</v>
      </c>
      <c r="AN7" s="1000"/>
      <c r="AO7" s="1000"/>
      <c r="AP7" s="1000" t="s">
        <v>268</v>
      </c>
      <c r="AQ7" s="1000"/>
      <c r="AR7" s="1000"/>
      <c r="AS7" s="133"/>
      <c r="AT7" s="252" t="s">
        <v>334</v>
      </c>
      <c r="AU7" s="1003" t="s">
        <v>274</v>
      </c>
      <c r="AV7" s="1004"/>
      <c r="AW7" s="1005"/>
      <c r="AX7" s="230"/>
      <c r="AY7" s="1009" t="s">
        <v>303</v>
      </c>
      <c r="AZ7" s="1000" t="s">
        <v>300</v>
      </c>
      <c r="BA7" s="1000"/>
      <c r="BB7" s="1000"/>
      <c r="BC7" s="133" t="s">
        <v>294</v>
      </c>
      <c r="BD7" s="1000" t="s">
        <v>278</v>
      </c>
      <c r="BE7" s="1000"/>
      <c r="BF7" s="1000"/>
    </row>
    <row r="8" spans="2:66" x14ac:dyDescent="0.3">
      <c r="B8" s="1001"/>
      <c r="C8" s="207" t="s">
        <v>297</v>
      </c>
      <c r="D8" s="1001"/>
      <c r="E8" s="1001"/>
      <c r="F8" s="1001"/>
      <c r="G8" s="1001"/>
      <c r="H8" s="1001"/>
      <c r="I8" s="1001"/>
      <c r="J8" s="207"/>
      <c r="K8" s="207"/>
      <c r="L8" s="1001"/>
      <c r="M8" s="229"/>
      <c r="N8" s="229"/>
      <c r="O8" s="1019"/>
      <c r="P8" s="229" t="s">
        <v>318</v>
      </c>
      <c r="Q8" s="1019"/>
      <c r="R8" s="229" t="s">
        <v>55</v>
      </c>
      <c r="S8" s="229" t="s">
        <v>455</v>
      </c>
      <c r="T8" s="229" t="s">
        <v>457</v>
      </c>
      <c r="U8" s="229" t="s">
        <v>460</v>
      </c>
      <c r="V8" s="207" t="s">
        <v>284</v>
      </c>
      <c r="W8" s="1001"/>
      <c r="X8" s="207" t="s">
        <v>185</v>
      </c>
      <c r="Y8" s="1001" t="s">
        <v>262</v>
      </c>
      <c r="Z8" s="1001"/>
      <c r="AA8" s="1001"/>
      <c r="AB8" s="1000" t="s">
        <v>473</v>
      </c>
      <c r="AC8" s="1000"/>
      <c r="AD8" s="1000"/>
      <c r="AE8" s="1001"/>
      <c r="AF8" s="1001"/>
      <c r="AG8" s="1000" t="s">
        <v>264</v>
      </c>
      <c r="AH8" s="1000"/>
      <c r="AI8" s="1000"/>
      <c r="AJ8" s="1000" t="s">
        <v>265</v>
      </c>
      <c r="AK8" s="1000"/>
      <c r="AL8" s="1000"/>
      <c r="AM8" s="1000" t="s">
        <v>266</v>
      </c>
      <c r="AN8" s="1000"/>
      <c r="AO8" s="1000"/>
      <c r="AP8" s="1000" t="s">
        <v>258</v>
      </c>
      <c r="AQ8" s="1000"/>
      <c r="AR8" s="1000"/>
      <c r="AS8" s="133" t="s">
        <v>259</v>
      </c>
      <c r="AT8" s="253" t="s">
        <v>295</v>
      </c>
      <c r="AU8" s="1006"/>
      <c r="AV8" s="1007"/>
      <c r="AW8" s="1008"/>
      <c r="AX8" s="230" t="s">
        <v>302</v>
      </c>
      <c r="AY8" s="1010"/>
      <c r="AZ8" s="1000" t="s">
        <v>262</v>
      </c>
      <c r="BA8" s="1000"/>
      <c r="BB8" s="1000"/>
      <c r="BC8" s="133" t="s">
        <v>295</v>
      </c>
      <c r="BD8" s="1000" t="s">
        <v>41</v>
      </c>
      <c r="BE8" s="1000"/>
      <c r="BF8" s="1000"/>
    </row>
    <row r="9" spans="2:66" x14ac:dyDescent="0.3">
      <c r="B9" s="1001"/>
      <c r="C9" s="207" t="s">
        <v>298</v>
      </c>
      <c r="D9" s="1001"/>
      <c r="E9" s="1001"/>
      <c r="F9" s="1001"/>
      <c r="G9" s="1001"/>
      <c r="H9" s="1001"/>
      <c r="I9" s="1001"/>
      <c r="J9" s="207"/>
      <c r="K9" s="207"/>
      <c r="L9" s="1001"/>
      <c r="M9" s="206"/>
      <c r="N9" s="206"/>
      <c r="O9" s="1010"/>
      <c r="P9" s="206" t="s">
        <v>317</v>
      </c>
      <c r="Q9" s="1010"/>
      <c r="R9" s="206" t="s">
        <v>71</v>
      </c>
      <c r="S9" s="206"/>
      <c r="T9" s="206" t="s">
        <v>458</v>
      </c>
      <c r="U9" s="206" t="s">
        <v>458</v>
      </c>
      <c r="V9" s="207" t="s">
        <v>285</v>
      </c>
      <c r="W9" s="1001"/>
      <c r="X9" s="207" t="s">
        <v>306</v>
      </c>
      <c r="Y9" s="207" t="s">
        <v>254</v>
      </c>
      <c r="Z9" s="207" t="s">
        <v>255</v>
      </c>
      <c r="AA9" s="207" t="s">
        <v>256</v>
      </c>
      <c r="AB9" s="133" t="s">
        <v>254</v>
      </c>
      <c r="AC9" s="133" t="s">
        <v>255</v>
      </c>
      <c r="AD9" s="133" t="s">
        <v>256</v>
      </c>
      <c r="AE9" s="1001"/>
      <c r="AF9" s="1001"/>
      <c r="AG9" s="133" t="s">
        <v>254</v>
      </c>
      <c r="AH9" s="133" t="s">
        <v>255</v>
      </c>
      <c r="AI9" s="133" t="s">
        <v>256</v>
      </c>
      <c r="AJ9" s="133" t="s">
        <v>254</v>
      </c>
      <c r="AK9" s="133" t="s">
        <v>255</v>
      </c>
      <c r="AL9" s="133" t="s">
        <v>256</v>
      </c>
      <c r="AM9" s="133" t="s">
        <v>254</v>
      </c>
      <c r="AN9" s="133" t="s">
        <v>255</v>
      </c>
      <c r="AO9" s="133" t="s">
        <v>256</v>
      </c>
      <c r="AP9" s="133" t="s">
        <v>254</v>
      </c>
      <c r="AQ9" s="133" t="s">
        <v>255</v>
      </c>
      <c r="AR9" s="133" t="s">
        <v>256</v>
      </c>
      <c r="AS9" s="133" t="s">
        <v>254</v>
      </c>
      <c r="AT9" s="133" t="s">
        <v>71</v>
      </c>
      <c r="AU9" s="133" t="s">
        <v>254</v>
      </c>
      <c r="AV9" s="133" t="s">
        <v>255</v>
      </c>
      <c r="AW9" s="133" t="s">
        <v>256</v>
      </c>
      <c r="AX9" s="230"/>
      <c r="AY9" s="133" t="s">
        <v>304</v>
      </c>
      <c r="AZ9" s="133" t="s">
        <v>254</v>
      </c>
      <c r="BA9" s="133" t="s">
        <v>255</v>
      </c>
      <c r="BB9" s="133" t="s">
        <v>256</v>
      </c>
      <c r="BC9" s="133" t="s">
        <v>71</v>
      </c>
      <c r="BD9" s="133" t="s">
        <v>254</v>
      </c>
      <c r="BE9" s="133" t="s">
        <v>255</v>
      </c>
      <c r="BF9" s="133" t="s">
        <v>256</v>
      </c>
      <c r="BH9" s="13"/>
      <c r="BI9" s="13"/>
      <c r="BJ9" s="13"/>
      <c r="BK9" s="13"/>
    </row>
    <row r="10" spans="2:66" s="636" customFormat="1" x14ac:dyDescent="0.3">
      <c r="B10" s="503">
        <v>1</v>
      </c>
      <c r="C10" s="487">
        <f>SUM('Milling and Leach Feed_OLD'!P5:P8)</f>
        <v>45.333333333333329</v>
      </c>
      <c r="D10" s="503">
        <v>2</v>
      </c>
      <c r="E10" s="654">
        <v>46266</v>
      </c>
      <c r="F10" s="848">
        <v>0.25</v>
      </c>
      <c r="G10" s="654">
        <v>46268</v>
      </c>
      <c r="H10" s="848">
        <v>0.79166666666666663</v>
      </c>
      <c r="I10" s="503">
        <v>557</v>
      </c>
      <c r="J10" s="503"/>
      <c r="K10" s="503"/>
      <c r="L10" s="502">
        <v>0.41</v>
      </c>
      <c r="M10" s="502"/>
      <c r="N10" s="502"/>
      <c r="O10" s="487">
        <f t="shared" ref="O10:O17" si="0">L10*I10*Q10</f>
        <v>292.31359999999995</v>
      </c>
      <c r="P10" s="487"/>
      <c r="Q10" s="503">
        <v>1.28</v>
      </c>
      <c r="R10" s="503">
        <v>2</v>
      </c>
      <c r="S10" s="502">
        <v>0.39900000000000002</v>
      </c>
      <c r="T10" s="503">
        <v>1.2649999999999999</v>
      </c>
      <c r="U10" s="487">
        <v>107.85</v>
      </c>
      <c r="V10" s="487">
        <f t="shared" ref="V10:V15" si="1">U10*T10*S10</f>
        <v>54.435669749999995</v>
      </c>
      <c r="W10" s="487">
        <f t="shared" ref="W10:W15" si="2">O10*((1-L10)/L10)</f>
        <v>420.64640000000003</v>
      </c>
      <c r="X10" s="487">
        <f>O10</f>
        <v>292.31359999999995</v>
      </c>
      <c r="Y10" s="849">
        <f>AVERAGE('Milling and Leach Feed_OLD'!T5:T8)</f>
        <v>0.70799999999999996</v>
      </c>
      <c r="Z10" s="849">
        <f>AVERAGE('Milling and Leach Feed_OLD'!U5:U8)</f>
        <v>0.53525</v>
      </c>
      <c r="AA10" s="849">
        <f>AVERAGE('Milling and Leach Feed_OLD'!V5:V8)</f>
        <v>7.2224166666666676</v>
      </c>
      <c r="AB10" s="849">
        <f>SUM('Milling and Leach Feed_OLD'!W5:W8)/'Au Cal Leaching Tank'!O10</f>
        <v>0.65897435796966009</v>
      </c>
      <c r="AC10" s="849">
        <f>SUM('Milling and Leach Feed_OLD'!X5:X8)/'Au Cal Leaching Tank'!O10</f>
        <v>0.56643603797540276</v>
      </c>
      <c r="AD10" s="849">
        <f>SUM('Milling and Leach Feed_OLD'!Y5:Y8)/'Au Cal Leaching Tank'!O10</f>
        <v>7.4363798214475381</v>
      </c>
      <c r="AE10" s="850">
        <f>Y10-AB10</f>
        <v>4.9025642030339878E-2</v>
      </c>
      <c r="AF10" s="851">
        <f>((Y10-AB10)/(Y10+AB10)/2)</f>
        <v>1.7932173249817464E-2</v>
      </c>
      <c r="AG10" s="849">
        <f>'LT Floculation'!G6</f>
        <v>0.11299999999999999</v>
      </c>
      <c r="AH10" s="849">
        <v>0.17</v>
      </c>
      <c r="AI10" s="849">
        <v>6.55</v>
      </c>
      <c r="AJ10" s="503">
        <v>0.02</v>
      </c>
      <c r="AK10" s="634"/>
      <c r="AL10" s="634"/>
      <c r="AM10" s="487">
        <f>Y10*$O$10</f>
        <v>206.95802879999997</v>
      </c>
      <c r="AN10" s="487">
        <f t="shared" ref="AN10" si="3">AC10*$O$10</f>
        <v>165.57695743032667</v>
      </c>
      <c r="AO10" s="487">
        <f>AD10*$O$10</f>
        <v>2173.7549565746867</v>
      </c>
      <c r="AP10" s="487">
        <f>AG10*O10</f>
        <v>33.031436799999994</v>
      </c>
      <c r="AQ10" s="487">
        <f>AH10*O10</f>
        <v>49.693311999999999</v>
      </c>
      <c r="AR10" s="487">
        <f>AI10*O10</f>
        <v>1914.6540799999996</v>
      </c>
      <c r="AS10" s="487">
        <f>AJ10*W10</f>
        <v>8.4129280000000008</v>
      </c>
      <c r="AT10" s="487">
        <v>1</v>
      </c>
      <c r="AU10" s="851">
        <f>((AM10-(AP10+AS10))/AM10)</f>
        <v>0.79974507372192372</v>
      </c>
      <c r="AV10" s="851">
        <f t="shared" ref="AV10" si="4">((AN10-AQ10)/AN10)*0.95</f>
        <v>0.66488396010740214</v>
      </c>
      <c r="AW10" s="851">
        <f>((AO10-AR10)/AO10)*0.95</f>
        <v>0.11323531753267131</v>
      </c>
      <c r="AX10" s="852">
        <v>2</v>
      </c>
      <c r="AY10" s="853">
        <v>1</v>
      </c>
      <c r="AZ10" s="487">
        <f>BD10/$AY10</f>
        <v>165.51366399999998</v>
      </c>
      <c r="BA10" s="487">
        <f t="shared" ref="AZ10:BB11" si="5">BE10/$AY10</f>
        <v>115.88364543032668</v>
      </c>
      <c r="BB10" s="487">
        <f t="shared" si="5"/>
        <v>259.10087657468716</v>
      </c>
      <c r="BC10" s="487">
        <v>1</v>
      </c>
      <c r="BD10" s="487">
        <f>(AM10-AP10-AS10)</f>
        <v>165.51366399999998</v>
      </c>
      <c r="BE10" s="487">
        <f>(AN10-AQ10)</f>
        <v>115.88364543032668</v>
      </c>
      <c r="BF10" s="487">
        <f>(AO10-AR10)</f>
        <v>259.10087657468716</v>
      </c>
      <c r="BH10" s="854"/>
      <c r="BI10" s="855"/>
      <c r="BJ10" s="855"/>
      <c r="BK10" s="855"/>
    </row>
    <row r="11" spans="2:66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14"/>
      <c r="K11" s="14"/>
      <c r="L11" s="41">
        <v>0.43</v>
      </c>
      <c r="M11" s="41"/>
      <c r="N11" s="41"/>
      <c r="O11" s="40">
        <f t="shared" si="0"/>
        <v>300.14215000000002</v>
      </c>
      <c r="P11" s="40"/>
      <c r="Q11" s="14">
        <v>1.2949999999999999</v>
      </c>
      <c r="R11" s="14">
        <v>3</v>
      </c>
      <c r="S11" s="41">
        <v>0.4</v>
      </c>
      <c r="T11" s="14">
        <v>1.2649999999999999</v>
      </c>
      <c r="U11" s="40">
        <v>107.85</v>
      </c>
      <c r="V11" s="40">
        <f t="shared" si="1"/>
        <v>54.572099999999992</v>
      </c>
      <c r="W11" s="40">
        <f t="shared" si="2"/>
        <v>397.86285000000004</v>
      </c>
      <c r="X11" s="40">
        <f>O11+O10</f>
        <v>592.45574999999997</v>
      </c>
      <c r="Y11" s="135">
        <f>AVERAGE('Milling and Leach Feed_OLD'!T9:T11)</f>
        <v>0.68400000000000005</v>
      </c>
      <c r="Z11" s="135">
        <f>AVERAGE('Milling and Leach Feed_OLD'!U9:U11)</f>
        <v>0.79333333333333333</v>
      </c>
      <c r="AA11" s="135">
        <f>AVERAGE('Milling and Leach Feed_OLD'!V9:V11)</f>
        <v>9.051111111111112</v>
      </c>
      <c r="AB11" s="135">
        <f>SUM('Milling and Leach Feed_OLD'!W9:W11)/'Au Cal Leaching Tank'!$O$11</f>
        <v>0.68534607973810646</v>
      </c>
      <c r="AC11" s="135">
        <f>SUM('Milling and Leach Feed_OLD'!X9:X11)/'Au Cal Leaching Tank'!$O$11</f>
        <v>0.79554044142084002</v>
      </c>
      <c r="AD11" s="135">
        <f>SUM('Milling and Leach Feed_OLD'!Y9:Y11)/'Au Cal Leaching Tank'!$O$11</f>
        <v>9.1008204118170912</v>
      </c>
      <c r="AE11" s="244">
        <f>AB11-Y11</f>
        <v>1.3460797381064094E-3</v>
      </c>
      <c r="AF11" s="39">
        <f>((AB11-Y11)/(AB11+Y11)/2)</f>
        <v>4.9150457945731766E-4</v>
      </c>
      <c r="AG11" s="135">
        <f>'LT Floculation'!G7</f>
        <v>5.5749999999999994E-2</v>
      </c>
      <c r="AH11" s="135">
        <f>'LT Floculation'!H7</f>
        <v>0.25</v>
      </c>
      <c r="AI11" s="135">
        <f>'LT Floculation'!I7</f>
        <v>8.3524999999999991</v>
      </c>
      <c r="AJ11" s="432">
        <v>2.9000000000000001E-2</v>
      </c>
      <c r="AK11" s="6"/>
      <c r="AL11" s="6"/>
      <c r="AM11" s="40">
        <f>Y11*$O11</f>
        <v>205.29723060000003</v>
      </c>
      <c r="AN11" s="40">
        <f>Z11*$O11</f>
        <v>238.11277233333334</v>
      </c>
      <c r="AO11" s="40">
        <f t="shared" ref="AO11" si="6">AA11*$O11</f>
        <v>2716.6199487777781</v>
      </c>
      <c r="AP11" s="40">
        <f t="shared" ref="AP11:AR11" si="7">AG11*$O11</f>
        <v>16.732924862499999</v>
      </c>
      <c r="AQ11" s="40">
        <f t="shared" si="7"/>
        <v>75.035537500000004</v>
      </c>
      <c r="AR11" s="40">
        <f t="shared" si="7"/>
        <v>2506.937307875</v>
      </c>
      <c r="AS11" s="40">
        <f>AJ11*W11</f>
        <v>11.538022650000002</v>
      </c>
      <c r="AT11" s="40">
        <v>2</v>
      </c>
      <c r="AU11" s="39">
        <f>((AM11-(AP11+AS11))/AM11)</f>
        <v>0.86229260165918664</v>
      </c>
      <c r="AV11" s="39">
        <f>(AN11-AQ11)/AN11</f>
        <v>0.68487394957983194</v>
      </c>
      <c r="AW11" s="39">
        <f>(AO11-AR11)/AO11</f>
        <v>7.7185121532040366E-2</v>
      </c>
      <c r="AX11" s="235">
        <v>3</v>
      </c>
      <c r="AY11" s="446">
        <v>1</v>
      </c>
      <c r="AZ11" s="40">
        <f t="shared" si="5"/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8">(AM11-AP11-AS11)</f>
        <v>177.02628308750002</v>
      </c>
      <c r="BE11" s="40">
        <f t="shared" ref="BE11" si="9">(AN11-AQ11)</f>
        <v>163.07723483333334</v>
      </c>
      <c r="BF11" s="40">
        <f>(AO11-AR11)</f>
        <v>209.68264090277808</v>
      </c>
    </row>
    <row r="12" spans="2:66" s="636" customFormat="1" x14ac:dyDescent="0.3">
      <c r="B12" s="503">
        <v>3</v>
      </c>
      <c r="C12" s="487">
        <f>SUM('Milling and Leach Feed_OLD'!P16:P19)</f>
        <v>47.333333333333329</v>
      </c>
      <c r="D12" s="503">
        <v>2</v>
      </c>
      <c r="E12" s="654">
        <v>46272</v>
      </c>
      <c r="F12" s="848">
        <v>0.91666666666666663</v>
      </c>
      <c r="G12" s="654">
        <v>46274</v>
      </c>
      <c r="H12" s="848">
        <v>0.41666666666666669</v>
      </c>
      <c r="I12" s="503">
        <v>647</v>
      </c>
      <c r="J12" s="503"/>
      <c r="K12" s="503"/>
      <c r="L12" s="502">
        <v>0.45</v>
      </c>
      <c r="M12" s="502"/>
      <c r="N12" s="502"/>
      <c r="O12" s="487">
        <f t="shared" si="0"/>
        <v>381.40650000000005</v>
      </c>
      <c r="P12" s="487">
        <f>O12-V10</f>
        <v>326.97083025000006</v>
      </c>
      <c r="Q12" s="503">
        <v>1.31</v>
      </c>
      <c r="R12" s="503">
        <v>2</v>
      </c>
      <c r="S12" s="502">
        <v>0.44</v>
      </c>
      <c r="T12" s="503">
        <v>1.3</v>
      </c>
      <c r="U12" s="487">
        <v>107.85</v>
      </c>
      <c r="V12" s="487">
        <f t="shared" si="1"/>
        <v>61.69019999999999</v>
      </c>
      <c r="W12" s="487">
        <f t="shared" si="2"/>
        <v>466.16350000000011</v>
      </c>
      <c r="X12" s="487">
        <f>P12+X11</f>
        <v>919.42658025000003</v>
      </c>
      <c r="Y12" s="849">
        <f>AVERAGE('Milling and Leach Feed_OLD'!T16:T18)</f>
        <v>0.93455555555555547</v>
      </c>
      <c r="Z12" s="849">
        <f>AVERAGE('Milling and Leach Feed_OLD'!U16:U18)</f>
        <v>0.65888888888888886</v>
      </c>
      <c r="AA12" s="849">
        <f>AVERAGE('Milling and Leach Feed_OLD'!V16:V18)</f>
        <v>9.0688888888888908</v>
      </c>
      <c r="AB12" s="849">
        <f>SUM('Milling and Leach Feed_OLD'!W16:W19)/'Au Cal Leaching Tank'!$P$12</f>
        <v>0.88874983310558886</v>
      </c>
      <c r="AC12" s="849">
        <f>SUM('Milling and Leach Feed_OLD'!X16:X18)/'Au Cal Leaching Tank'!$P$12</f>
        <v>0.38757072090021194</v>
      </c>
      <c r="AD12" s="849">
        <f>SUM('Milling and Leach Feed_OLD'!Y16:Y18)/'Au Cal Leaching Tank'!$P$12</f>
        <v>5.6910690955920016</v>
      </c>
      <c r="AE12" s="850">
        <f>Y12-AB12</f>
        <v>4.5805722449966613E-2</v>
      </c>
      <c r="AF12" s="851">
        <f>((Y12-AB12)/(Y12+AB12)/2)</f>
        <v>1.2561176732879022E-2</v>
      </c>
      <c r="AG12" s="849">
        <f>'LT Floculation'!G8</f>
        <v>9.816666666666668E-2</v>
      </c>
      <c r="AH12" s="849">
        <f>'LT Floculation'!H8</f>
        <v>0.23333333333333331</v>
      </c>
      <c r="AI12" s="849">
        <f>'LT Floculation'!I8</f>
        <v>8.9633333333333329</v>
      </c>
      <c r="AJ12" s="503">
        <v>2.3E-2</v>
      </c>
      <c r="AK12" s="634"/>
      <c r="AL12" s="634"/>
      <c r="AM12" s="487">
        <f>$P12*Y12</f>
        <v>305.57240591475005</v>
      </c>
      <c r="AN12" s="487">
        <f t="shared" ref="AN12:AO12" si="10">$P12*Z12</f>
        <v>215.43744704250003</v>
      </c>
      <c r="AO12" s="487">
        <f t="shared" si="10"/>
        <v>2965.2621294450014</v>
      </c>
      <c r="AP12" s="487">
        <f>AG12*$P12</f>
        <v>32.097636502875012</v>
      </c>
      <c r="AQ12" s="487">
        <f>AH12*$P12</f>
        <v>76.293193725000009</v>
      </c>
      <c r="AR12" s="487">
        <f>AI12*$P12</f>
        <v>2930.7485418075003</v>
      </c>
      <c r="AS12" s="487">
        <f t="shared" ref="AS12:AS16" si="11">AJ12*W12</f>
        <v>10.721760500000002</v>
      </c>
      <c r="AT12" s="487">
        <v>3</v>
      </c>
      <c r="AU12" s="851">
        <f>IFERROR(((AM12-(AP12+AS12))/AM12),"")</f>
        <v>0.85987151924044825</v>
      </c>
      <c r="AV12" s="851">
        <f>IFERROR((AN12-AQ12)/AN12,"")</f>
        <v>0.64586846543001686</v>
      </c>
      <c r="AW12" s="851">
        <f>IFERROR((AO12-AR12)/AO12,"")</f>
        <v>1.1639304092134657E-2</v>
      </c>
      <c r="AX12" s="852">
        <v>2</v>
      </c>
      <c r="AY12" s="856">
        <v>1</v>
      </c>
      <c r="AZ12" s="487">
        <f>(BD10+BD12)/AY12</f>
        <v>428.26667291187505</v>
      </c>
      <c r="BA12" s="487">
        <f>(BE10+BE12)/AY12</f>
        <v>255.0278987478267</v>
      </c>
      <c r="BB12" s="857">
        <f>(BB10+BF12)/AY12</f>
        <v>293.6144642121883</v>
      </c>
      <c r="BC12" s="857">
        <v>3</v>
      </c>
      <c r="BD12" s="487">
        <f>(AM12-AP12-AS12)</f>
        <v>262.75300891187504</v>
      </c>
      <c r="BE12" s="487">
        <f t="shared" ref="BE12:BE13" si="12">(AN12-AQ12)</f>
        <v>139.14425331750002</v>
      </c>
      <c r="BF12" s="487">
        <f t="shared" ref="BF12:BF13" si="13">(AO12-AR12)</f>
        <v>34.513587637501132</v>
      </c>
      <c r="BH12" s="858"/>
      <c r="BI12" s="858"/>
      <c r="BJ12" s="858"/>
    </row>
    <row r="13" spans="2:66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14"/>
      <c r="K13" s="14"/>
      <c r="L13" s="41">
        <v>0.44</v>
      </c>
      <c r="M13" s="41"/>
      <c r="N13" s="41"/>
      <c r="O13" s="40">
        <f t="shared" si="0"/>
        <v>371.50740000000002</v>
      </c>
      <c r="P13" s="40">
        <f>O13-V11</f>
        <v>316.93530000000004</v>
      </c>
      <c r="Q13" s="14">
        <v>1.3049999999999999</v>
      </c>
      <c r="R13" s="14">
        <v>3</v>
      </c>
      <c r="S13" s="41">
        <v>0.41</v>
      </c>
      <c r="T13" s="14">
        <v>1.2749999999999999</v>
      </c>
      <c r="U13" s="40">
        <f>$U$10</f>
        <v>107.85</v>
      </c>
      <c r="V13" s="40">
        <f t="shared" si="1"/>
        <v>56.378587499999995</v>
      </c>
      <c r="W13" s="40">
        <f t="shared" si="2"/>
        <v>472.82760000000007</v>
      </c>
      <c r="X13" s="40">
        <f>P13+X12</f>
        <v>1236.36188025</v>
      </c>
      <c r="Y13" s="135">
        <f>AVERAGE('Milling and Leach Feed_OLD'!T16:T19)</f>
        <v>0.92891666666666661</v>
      </c>
      <c r="Z13" s="135">
        <f>AVERAGE('Milling and Leach Feed_OLD'!U16:U19)</f>
        <v>0.73249999999999993</v>
      </c>
      <c r="AA13" s="135">
        <f>AVERAGE('Milling and Leach Feed_OLD'!V16:V19)</f>
        <v>9.1508333333333347</v>
      </c>
      <c r="AB13" s="135">
        <f>SUM('Milling and Leach Feed_OLD'!W16:W19)/'Au Cal Leaching Tank'!$P$12</f>
        <v>0.88874983310558886</v>
      </c>
      <c r="AC13" s="135">
        <f>SUM('Milling and Leach Feed_OLD'!X16:X19)/'Au Cal Leaching Tank'!$P$12</f>
        <v>0.7588265907500884</v>
      </c>
      <c r="AD13" s="135">
        <f>SUM('Milling and Leach Feed_OLD'!Y16:Y19)/'Au Cal Leaching Tank'!$P$12</f>
        <v>9.3504057987626368</v>
      </c>
      <c r="AE13" s="244">
        <f>Y13-AB13</f>
        <v>4.0166833561077753E-2</v>
      </c>
      <c r="AF13" s="39">
        <f>((Y13-AB13)/(Y13+AB13)/2)</f>
        <v>1.1049010796565392E-2</v>
      </c>
      <c r="AG13" s="135">
        <f>'LT Floculation'!G9</f>
        <v>0.10916666666666668</v>
      </c>
      <c r="AH13" s="135">
        <f>'LT Floculation'!H9</f>
        <v>0.24</v>
      </c>
      <c r="AI13" s="135">
        <f>'LT Floculation'!I9</f>
        <v>5.1633333333333331</v>
      </c>
      <c r="AJ13" s="14">
        <v>3.3000000000000002E-2</v>
      </c>
      <c r="AK13" s="6"/>
      <c r="AL13" s="6"/>
      <c r="AM13" s="40">
        <f t="shared" ref="AM13:AM14" si="14">$P13*Y13</f>
        <v>294.40648242500004</v>
      </c>
      <c r="AN13" s="40">
        <f t="shared" ref="AN13:AN14" si="15">$P13*Z13</f>
        <v>232.15510725000001</v>
      </c>
      <c r="AO13" s="40">
        <f t="shared" ref="AO13:AO14" si="16">$P13*AA13</f>
        <v>2900.2221077500008</v>
      </c>
      <c r="AP13" s="40">
        <f>AG13*$P13</f>
        <v>34.598770250000008</v>
      </c>
      <c r="AQ13" s="40">
        <f t="shared" ref="AQ13:AR14" si="17">AH13*$P13</f>
        <v>76.064472000000009</v>
      </c>
      <c r="AR13" s="40">
        <f t="shared" si="17"/>
        <v>1636.4425990000002</v>
      </c>
      <c r="AS13" s="40">
        <f>AJ13*W13</f>
        <v>15.603310800000003</v>
      </c>
      <c r="AT13" s="40">
        <v>4</v>
      </c>
      <c r="AU13" s="39">
        <f t="shared" ref="AU13:AU59" si="18">IFERROR(((AM13-(AP13+AS13))/AM13),"")</f>
        <v>0.82948038155787218</v>
      </c>
      <c r="AV13" s="39">
        <f t="shared" ref="AV13:AV59" si="19">IFERROR((AN13-AQ13)/AN13,"")</f>
        <v>0.67235494880546065</v>
      </c>
      <c r="AW13" s="39">
        <f t="shared" ref="AW13:AW59" si="20">IFERROR((AO13-AR13)/AO13,"")</f>
        <v>0.43575266369183141</v>
      </c>
      <c r="AX13" s="235">
        <v>3</v>
      </c>
      <c r="AY13" s="447">
        <v>1</v>
      </c>
      <c r="AZ13" s="40">
        <f>(BD11+BD13)/AY13</f>
        <v>421.23068446249999</v>
      </c>
      <c r="BA13" s="40">
        <f>(BD11+BD13)/AY13</f>
        <v>421.23068446249999</v>
      </c>
      <c r="BB13" s="245">
        <f>(BE11+BE13)/AY13</f>
        <v>319.16787008333336</v>
      </c>
      <c r="BC13" s="245">
        <v>4</v>
      </c>
      <c r="BD13" s="40">
        <f t="shared" si="8"/>
        <v>244.204401375</v>
      </c>
      <c r="BE13" s="40">
        <f t="shared" si="12"/>
        <v>156.09063524999999</v>
      </c>
      <c r="BF13" s="40">
        <f t="shared" si="13"/>
        <v>1263.7795087500006</v>
      </c>
      <c r="BH13" s="11"/>
      <c r="BI13" s="11"/>
      <c r="BJ13" s="11"/>
      <c r="BN13" s="13"/>
    </row>
    <row r="14" spans="2:66" s="715" customFormat="1" x14ac:dyDescent="0.3">
      <c r="B14" s="503">
        <v>5</v>
      </c>
      <c r="C14" s="487">
        <f>SUM('Milling and Leach Feed_OLD'!P25:P27)</f>
        <v>26.016666666666666</v>
      </c>
      <c r="D14" s="503">
        <v>2</v>
      </c>
      <c r="E14" s="654">
        <v>46276</v>
      </c>
      <c r="F14" s="848">
        <v>0.43263888888888891</v>
      </c>
      <c r="G14" s="654">
        <v>46277</v>
      </c>
      <c r="H14" s="848">
        <v>0.29166666666666669</v>
      </c>
      <c r="I14" s="503">
        <v>647</v>
      </c>
      <c r="J14" s="503"/>
      <c r="K14" s="503"/>
      <c r="L14" s="502">
        <v>0.4</v>
      </c>
      <c r="M14" s="502"/>
      <c r="N14" s="502"/>
      <c r="O14" s="487">
        <f t="shared" si="0"/>
        <v>328.67600000000004</v>
      </c>
      <c r="P14" s="487">
        <f>O14-V12</f>
        <v>266.98580000000004</v>
      </c>
      <c r="Q14" s="503">
        <v>1.27</v>
      </c>
      <c r="R14" s="503">
        <v>2</v>
      </c>
      <c r="S14" s="502">
        <v>0.41</v>
      </c>
      <c r="T14" s="503">
        <v>1.28</v>
      </c>
      <c r="U14" s="487">
        <f>$U$10</f>
        <v>107.85</v>
      </c>
      <c r="V14" s="487">
        <f t="shared" si="1"/>
        <v>56.599679999999999</v>
      </c>
      <c r="W14" s="487">
        <f t="shared" si="2"/>
        <v>493.01400000000001</v>
      </c>
      <c r="X14" s="487">
        <f>X13+P14</f>
        <v>1503.3476802499999</v>
      </c>
      <c r="Y14" s="849">
        <f>AVERAGE('Milling and Leach Feed_OLD'!T25:T27)</f>
        <v>0.58733333333333337</v>
      </c>
      <c r="Z14" s="849">
        <f>AVERAGE('Milling and Leach Feed_OLD'!U25:U27)</f>
        <v>0.49666666666666665</v>
      </c>
      <c r="AA14" s="849">
        <f>AVERAGE('Milling and Leach Feed_OLD'!V25:V27)</f>
        <v>9.0411111111111087</v>
      </c>
      <c r="AB14" s="849">
        <f>SUM('Milling and Leach Feed_OLD'!W25:W27)/'Au Cal Leaching Tank'!$P$14</f>
        <v>0.61464225438206821</v>
      </c>
      <c r="AC14" s="849">
        <f>SUM('Milling and Leach Feed_OLD'!X25:X27)/'Au Cal Leaching Tank'!$P$14</f>
        <v>0.52218902278697976</v>
      </c>
      <c r="AD14" s="849">
        <f>SUM('Milling and Leach Feed_OLD'!Y25:Y27)/'Au Cal Leaching Tank'!$P$14</f>
        <v>8.950932119486005</v>
      </c>
      <c r="AE14" s="849">
        <f>AB14-Y14</f>
        <v>2.7308921048734836E-2</v>
      </c>
      <c r="AF14" s="851">
        <f>((AB14-Y14)/(AB14+Y14)/2)</f>
        <v>1.1360014848821088E-2</v>
      </c>
      <c r="AG14" s="849">
        <f>AVERAGE('LT Floculation'!R28:R33)</f>
        <v>0.12466666666666666</v>
      </c>
      <c r="AH14" s="849">
        <f>AVERAGE('LT Floculation'!S28:S33)</f>
        <v>0.37833333333333335</v>
      </c>
      <c r="AI14" s="849">
        <f>AVERAGE('LT Floculation'!T28:T33)</f>
        <v>7.5183333333333335</v>
      </c>
      <c r="AJ14" s="503">
        <v>2.5999999999999999E-2</v>
      </c>
      <c r="AK14" s="503"/>
      <c r="AL14" s="503"/>
      <c r="AM14" s="487">
        <f t="shared" si="14"/>
        <v>156.80965986666669</v>
      </c>
      <c r="AN14" s="487">
        <f t="shared" si="15"/>
        <v>132.60294733333336</v>
      </c>
      <c r="AO14" s="487">
        <f t="shared" si="16"/>
        <v>2413.8482828888887</v>
      </c>
      <c r="AP14" s="487">
        <f>AG14*$P14</f>
        <v>33.284229733333341</v>
      </c>
      <c r="AQ14" s="487">
        <f t="shared" si="17"/>
        <v>101.00962766666669</v>
      </c>
      <c r="AR14" s="487">
        <f t="shared" si="17"/>
        <v>2007.2882396666671</v>
      </c>
      <c r="AS14" s="487">
        <f>AJ14*W14</f>
        <v>12.818363999999999</v>
      </c>
      <c r="AT14" s="487">
        <v>5</v>
      </c>
      <c r="AU14" s="851">
        <f t="shared" si="18"/>
        <v>0.70599646876006361</v>
      </c>
      <c r="AV14" s="851">
        <f t="shared" si="19"/>
        <v>0.23825503355704697</v>
      </c>
      <c r="AW14" s="851">
        <f t="shared" si="20"/>
        <v>0.16842816762934718</v>
      </c>
      <c r="AX14" s="852">
        <v>2</v>
      </c>
      <c r="AY14" s="859">
        <v>1.5</v>
      </c>
      <c r="AZ14" s="487">
        <f>(BD10+BD12+BD14)/AY14</f>
        <v>359.31582603013891</v>
      </c>
      <c r="BA14" s="487">
        <f>(BE10+BE12+BE14)/AY14</f>
        <v>191.08081227632888</v>
      </c>
      <c r="BB14" s="487">
        <f>(BF10+BF12+BF14)/AY14</f>
        <v>466.78300495627326</v>
      </c>
      <c r="BC14" s="487">
        <v>5</v>
      </c>
      <c r="BD14" s="487">
        <f t="shared" si="8"/>
        <v>110.70706613333334</v>
      </c>
      <c r="BE14" s="487">
        <f t="shared" ref="BE14" si="21">(AN14-AQ14)</f>
        <v>31.593319666666673</v>
      </c>
      <c r="BF14" s="487">
        <f t="shared" ref="BF14" si="22">(AO14-AR14)</f>
        <v>406.56004322222157</v>
      </c>
      <c r="BH14" s="858"/>
      <c r="BI14" s="858"/>
      <c r="BJ14" s="858"/>
    </row>
    <row r="15" spans="2:66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14"/>
      <c r="K15" s="14"/>
      <c r="L15" s="41">
        <v>0.33</v>
      </c>
      <c r="M15" s="41"/>
      <c r="N15" s="41"/>
      <c r="O15" s="40">
        <f t="shared" si="0"/>
        <v>333.41550000000001</v>
      </c>
      <c r="P15" s="40">
        <f>O15-V13</f>
        <v>277.03691250000003</v>
      </c>
      <c r="Q15" s="14">
        <v>1.21</v>
      </c>
      <c r="R15" s="14">
        <v>3</v>
      </c>
      <c r="S15" s="41">
        <v>0.28999999999999998</v>
      </c>
      <c r="T15" s="14">
        <v>1.18</v>
      </c>
      <c r="U15" s="40">
        <f>$U$10</f>
        <v>107.85</v>
      </c>
      <c r="V15" s="40">
        <f t="shared" si="1"/>
        <v>36.906269999999992</v>
      </c>
      <c r="W15" s="40">
        <f t="shared" si="2"/>
        <v>676.93449999999984</v>
      </c>
      <c r="X15" s="40">
        <f>X14+P15</f>
        <v>1780.3845927499999</v>
      </c>
      <c r="Y15" s="135">
        <f>AVERAGE('Milling and Leach Feed_OLD'!T28:T31)</f>
        <v>0.57608333333333328</v>
      </c>
      <c r="Z15" s="135">
        <f>AVERAGE('Milling and Leach Feed_OLD'!U28:U31)</f>
        <v>0.66833333333333333</v>
      </c>
      <c r="AA15" s="135">
        <f>AVERAGE('Milling and Leach Feed_OLD'!V28:V31)</f>
        <v>7.58</v>
      </c>
      <c r="AB15" s="135">
        <f>SUM('Milling and Leach Feed_OLD'!W28:W31)/'Au Cal Leaching Tank'!$P$15</f>
        <v>0.54176542927289517</v>
      </c>
      <c r="AC15" s="135">
        <f>SUM('Milling and Leach Feed_OLD'!X28:X31)/'Au Cal Leaching Tank'!$P$15</f>
        <v>0.65241771617708166</v>
      </c>
      <c r="AD15" s="135">
        <f>SUM('Milling and Leach Feed_OLD'!Y28:Y31)/'Au Cal Leaching Tank'!$P$15</f>
        <v>7.4477693202706341</v>
      </c>
      <c r="AE15" s="135">
        <f>Y15-AB15</f>
        <v>3.4317904060438109E-2</v>
      </c>
      <c r="AF15" s="39">
        <f>((Y15-AB15)/(Y15+AB15)/2)</f>
        <v>1.5349976315412749E-2</v>
      </c>
      <c r="AG15" s="135">
        <f>'LT Floculation'!G11</f>
        <v>4.3500000000000004E-2</v>
      </c>
      <c r="AH15" s="135">
        <f>'LT Floculation'!H11</f>
        <v>0.23799999999999999</v>
      </c>
      <c r="AI15" s="135">
        <f>'LT Floculation'!I11</f>
        <v>7.3999999999999995</v>
      </c>
      <c r="AJ15" s="14">
        <v>1.7999999999999999E-2</v>
      </c>
      <c r="AK15" s="6"/>
      <c r="AL15" s="6"/>
      <c r="AM15" s="40">
        <f t="shared" ref="AM15" si="23">$P15*Y15</f>
        <v>159.59634800937499</v>
      </c>
      <c r="AN15" s="40">
        <f t="shared" ref="AN15" si="24">$P15*Z15</f>
        <v>185.15300318750002</v>
      </c>
      <c r="AO15" s="40">
        <f t="shared" ref="AO15" si="25">$P15*AA15</f>
        <v>2099.9397967500004</v>
      </c>
      <c r="AP15" s="40">
        <f>AG15*$P15</f>
        <v>12.051105693750003</v>
      </c>
      <c r="AQ15" s="40">
        <f t="shared" ref="AQ15" si="26">AH15*$P15</f>
        <v>65.934785175000002</v>
      </c>
      <c r="AR15" s="40">
        <f t="shared" ref="AR15" si="27">AI15*$P15</f>
        <v>2050.0731525000001</v>
      </c>
      <c r="AS15" s="40">
        <f t="shared" si="11"/>
        <v>12.184820999999996</v>
      </c>
      <c r="AT15" s="40">
        <v>6</v>
      </c>
      <c r="AU15" s="39">
        <f t="shared" si="18"/>
        <v>0.84814234789178045</v>
      </c>
      <c r="AV15" s="39">
        <f t="shared" si="19"/>
        <v>0.64389027431421453</v>
      </c>
      <c r="AW15" s="39">
        <f t="shared" si="20"/>
        <v>2.3746701846965819E-2</v>
      </c>
      <c r="AX15" s="235">
        <v>3</v>
      </c>
      <c r="AY15" s="656">
        <v>1.5</v>
      </c>
      <c r="AZ15" s="40">
        <f>(BD11+BD13+BD15)/AY15</f>
        <v>371.06073718541666</v>
      </c>
      <c r="BA15" s="40">
        <f>(BE11+BE13+BE15)/AY15</f>
        <v>292.25739206388891</v>
      </c>
      <c r="BB15" s="40">
        <f>(BF11+BF13+BF15)/AY15</f>
        <v>1015.5525292685193</v>
      </c>
      <c r="BC15" s="40">
        <v>6</v>
      </c>
      <c r="BD15" s="40">
        <f t="shared" si="8"/>
        <v>135.36042131562499</v>
      </c>
      <c r="BE15" s="40">
        <f t="shared" ref="BE15" si="28">(AN15-AQ15)</f>
        <v>119.21821801250002</v>
      </c>
      <c r="BF15" s="40">
        <f t="shared" ref="BF15" si="29">(AO15-AR15)</f>
        <v>49.866644250000263</v>
      </c>
      <c r="BN15" s="13"/>
    </row>
    <row r="16" spans="2:66" s="636" customFormat="1" x14ac:dyDescent="0.3">
      <c r="B16" s="503">
        <v>7</v>
      </c>
      <c r="C16" s="487">
        <f>SUM('Milling and Leach Feed'!P35:P37)-4.5</f>
        <v>29.5</v>
      </c>
      <c r="D16" s="503">
        <v>2</v>
      </c>
      <c r="E16" s="654">
        <v>46281</v>
      </c>
      <c r="F16" s="848">
        <v>0.10416666666666667</v>
      </c>
      <c r="G16" s="654">
        <v>46282</v>
      </c>
      <c r="H16" s="848">
        <v>0.70833333333333337</v>
      </c>
      <c r="I16" s="487">
        <v>754.9</v>
      </c>
      <c r="J16" s="487"/>
      <c r="K16" s="487"/>
      <c r="L16" s="502">
        <v>0.33</v>
      </c>
      <c r="M16" s="502"/>
      <c r="N16" s="502"/>
      <c r="O16" s="487">
        <f t="shared" si="0"/>
        <v>302.67715500000003</v>
      </c>
      <c r="P16" s="487">
        <f>O16-V14</f>
        <v>246.07747500000002</v>
      </c>
      <c r="Q16" s="503">
        <v>1.2150000000000001</v>
      </c>
      <c r="R16" s="503">
        <v>2</v>
      </c>
      <c r="S16" s="502">
        <v>0.33</v>
      </c>
      <c r="T16" s="503">
        <v>1.21</v>
      </c>
      <c r="U16" s="487">
        <f>$U$10</f>
        <v>107.85</v>
      </c>
      <c r="V16" s="487">
        <f>U16*T16*S16</f>
        <v>43.064504999999997</v>
      </c>
      <c r="W16" s="487">
        <f t="shared" ref="W16:W63" si="30">IFERROR(O16*((1-L16)/L16),"")</f>
        <v>614.52634499999988</v>
      </c>
      <c r="X16" s="487">
        <f>X15+P16</f>
        <v>2026.46206775</v>
      </c>
      <c r="Y16" s="849">
        <f>AVERAGE('LT Ball Mill'!F67:F75)</f>
        <v>0.53555555555555556</v>
      </c>
      <c r="Z16" s="849">
        <f>AVERAGE('LT Ball Mill'!G67:G75)</f>
        <v>0.53555555555555556</v>
      </c>
      <c r="AA16" s="849">
        <f>AVERAGE('LT Ball Mill'!H67:H75)</f>
        <v>9.8144444444444439</v>
      </c>
      <c r="AB16" s="849">
        <f>SUM('Milling and Leach Feed'!W35:W37)/'Au Cal Leaching Tank'!$P$16</f>
        <v>0.53551430920996723</v>
      </c>
      <c r="AC16" s="849">
        <f>SUM('Milling and Leach Feed'!X35:X37)/'Au Cal Leaching Tank'!$P$16</f>
        <v>0.53535747175133896</v>
      </c>
      <c r="AD16" s="849">
        <f>SUM('Milling and Leach Feed'!Y35:Y37)/'Au Cal Leaching Tank'!$P$16</f>
        <v>9.8379070566382776</v>
      </c>
      <c r="AE16" s="849">
        <f>Y16-AB16</f>
        <v>4.1246345588330513E-5</v>
      </c>
      <c r="AF16" s="851">
        <f>((Y16-AB16)/(Y16+AB16)/2)</f>
        <v>1.9254740958172747E-5</v>
      </c>
      <c r="AG16" s="634"/>
      <c r="AH16" s="634"/>
      <c r="AI16" s="634"/>
      <c r="AJ16" s="503">
        <v>2.1999999999999999E-2</v>
      </c>
      <c r="AK16" s="634"/>
      <c r="AL16" s="634"/>
      <c r="AM16" s="634"/>
      <c r="AN16" s="634"/>
      <c r="AO16" s="634"/>
      <c r="AP16" s="634"/>
      <c r="AQ16" s="634"/>
      <c r="AR16" s="634"/>
      <c r="AS16" s="699">
        <f t="shared" si="11"/>
        <v>13.519579589999996</v>
      </c>
      <c r="AT16" s="487">
        <v>7</v>
      </c>
      <c r="AU16" s="851" t="str">
        <f t="shared" si="18"/>
        <v/>
      </c>
      <c r="AV16" s="851" t="str">
        <f t="shared" si="19"/>
        <v/>
      </c>
      <c r="AW16" s="851" t="str">
        <f t="shared" si="20"/>
        <v/>
      </c>
      <c r="AX16" s="860"/>
      <c r="AY16" s="634">
        <v>1.5</v>
      </c>
      <c r="AZ16" s="634"/>
      <c r="BA16" s="634"/>
      <c r="BB16" s="861"/>
      <c r="BC16" s="862">
        <v>7</v>
      </c>
      <c r="BD16" s="863"/>
      <c r="BE16" s="863"/>
      <c r="BF16" s="863"/>
      <c r="BN16" s="715"/>
    </row>
    <row r="17" spans="2:66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6"/>
      <c r="H17" s="6"/>
      <c r="I17" s="14">
        <v>970</v>
      </c>
      <c r="J17" s="14"/>
      <c r="K17" s="14"/>
      <c r="L17" s="41">
        <v>0.34</v>
      </c>
      <c r="M17" s="41"/>
      <c r="N17" s="41"/>
      <c r="O17" s="40">
        <f t="shared" si="0"/>
        <v>402.35599999999999</v>
      </c>
      <c r="P17" s="40">
        <f>O17-V16</f>
        <v>359.291495</v>
      </c>
      <c r="Q17" s="14">
        <v>1.22</v>
      </c>
      <c r="R17" s="14">
        <v>3</v>
      </c>
      <c r="S17" s="14"/>
      <c r="T17" s="14"/>
      <c r="U17" s="40">
        <f t="shared" ref="U17:U18" si="31">$U$10</f>
        <v>107.85</v>
      </c>
      <c r="V17" s="6"/>
      <c r="W17" s="40">
        <f t="shared" si="30"/>
        <v>781.04399999999976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40">
        <v>8</v>
      </c>
      <c r="AU17" s="39" t="str">
        <f t="shared" si="18"/>
        <v/>
      </c>
      <c r="AV17" s="39" t="str">
        <f t="shared" si="19"/>
        <v/>
      </c>
      <c r="AW17" s="39" t="str">
        <f t="shared" si="20"/>
        <v/>
      </c>
      <c r="AX17" s="231"/>
      <c r="AY17" s="6">
        <v>1.5</v>
      </c>
      <c r="AZ17" s="6"/>
      <c r="BA17" s="6"/>
      <c r="BB17" s="218"/>
      <c r="BC17" s="982">
        <v>8</v>
      </c>
      <c r="BD17" s="6"/>
      <c r="BE17" s="6"/>
      <c r="BF17" s="6"/>
      <c r="BN17" s="13"/>
    </row>
    <row r="18" spans="2:66" s="636" customFormat="1" x14ac:dyDescent="0.3">
      <c r="B18" s="503">
        <v>9</v>
      </c>
      <c r="C18" s="634"/>
      <c r="D18" s="503">
        <v>2</v>
      </c>
      <c r="E18" s="503"/>
      <c r="F18" s="634"/>
      <c r="G18" s="634"/>
      <c r="H18" s="634"/>
      <c r="I18" s="503"/>
      <c r="J18" s="503"/>
      <c r="K18" s="503"/>
      <c r="L18" s="503"/>
      <c r="M18" s="503"/>
      <c r="N18" s="503"/>
      <c r="O18" s="634"/>
      <c r="P18" s="634"/>
      <c r="Q18" s="503"/>
      <c r="R18" s="503">
        <v>2</v>
      </c>
      <c r="S18" s="503"/>
      <c r="T18" s="503"/>
      <c r="U18" s="487">
        <f t="shared" si="31"/>
        <v>107.85</v>
      </c>
      <c r="V18" s="634"/>
      <c r="W18" s="487" t="str">
        <f t="shared" si="30"/>
        <v/>
      </c>
      <c r="X18" s="634"/>
      <c r="Y18" s="634"/>
      <c r="Z18" s="634"/>
      <c r="AA18" s="634"/>
      <c r="AB18" s="634"/>
      <c r="AC18" s="634"/>
      <c r="AD18" s="634"/>
      <c r="AE18" s="634"/>
      <c r="AF18" s="634"/>
      <c r="AG18" s="634"/>
      <c r="AH18" s="634"/>
      <c r="AI18" s="634"/>
      <c r="AJ18" s="634"/>
      <c r="AK18" s="634"/>
      <c r="AL18" s="634"/>
      <c r="AM18" s="634"/>
      <c r="AN18" s="634"/>
      <c r="AO18" s="634"/>
      <c r="AP18" s="634"/>
      <c r="AQ18" s="634"/>
      <c r="AR18" s="634"/>
      <c r="AS18" s="634"/>
      <c r="AT18" s="487">
        <v>9</v>
      </c>
      <c r="AU18" s="851" t="str">
        <f t="shared" si="18"/>
        <v/>
      </c>
      <c r="AV18" s="851" t="str">
        <f t="shared" si="19"/>
        <v/>
      </c>
      <c r="AW18" s="851" t="str">
        <f t="shared" si="20"/>
        <v/>
      </c>
      <c r="AX18" s="860"/>
      <c r="AY18" s="634"/>
      <c r="AZ18" s="634"/>
      <c r="BA18" s="634"/>
      <c r="BB18" s="861"/>
      <c r="BC18" s="861"/>
      <c r="BD18" s="634"/>
      <c r="BE18" s="634"/>
      <c r="BF18" s="634"/>
    </row>
    <row r="19" spans="2:66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14"/>
      <c r="L19" s="14"/>
      <c r="M19" s="14"/>
      <c r="N19" s="14"/>
      <c r="O19" s="6"/>
      <c r="P19" s="6"/>
      <c r="Q19" s="14"/>
      <c r="R19" s="14">
        <v>3</v>
      </c>
      <c r="S19" s="14"/>
      <c r="T19" s="14"/>
      <c r="U19" s="6"/>
      <c r="V19" s="6"/>
      <c r="W19" s="40" t="str">
        <f t="shared" si="30"/>
        <v/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Q19" s="6"/>
      <c r="AR19" s="6"/>
      <c r="AS19" s="6"/>
      <c r="AT19" s="40">
        <v>10</v>
      </c>
      <c r="AU19" s="39" t="str">
        <f t="shared" si="18"/>
        <v/>
      </c>
      <c r="AV19" s="39" t="str">
        <f t="shared" si="19"/>
        <v/>
      </c>
      <c r="AW19" s="39" t="str">
        <f t="shared" si="20"/>
        <v/>
      </c>
      <c r="AX19" s="231"/>
      <c r="AY19" s="6"/>
      <c r="AZ19" s="6"/>
      <c r="BA19" s="6"/>
      <c r="BB19" s="218"/>
      <c r="BC19" s="218"/>
      <c r="BD19" s="6"/>
      <c r="BE19" s="6"/>
      <c r="BF19" s="6"/>
    </row>
    <row r="20" spans="2:66" x14ac:dyDescent="0.3">
      <c r="B20" s="475">
        <v>11</v>
      </c>
      <c r="C20" s="6"/>
      <c r="D20" s="475">
        <v>2</v>
      </c>
      <c r="E20" s="14"/>
      <c r="F20" s="6"/>
      <c r="G20" s="6"/>
      <c r="H20" s="6"/>
      <c r="I20" s="14"/>
      <c r="J20" s="14"/>
      <c r="K20" s="14"/>
      <c r="L20" s="14"/>
      <c r="M20" s="14"/>
      <c r="N20" s="14"/>
      <c r="O20" s="6"/>
      <c r="P20" s="6"/>
      <c r="Q20" s="14"/>
      <c r="R20" s="14">
        <v>2</v>
      </c>
      <c r="S20" s="14"/>
      <c r="T20" s="14"/>
      <c r="U20" s="6"/>
      <c r="V20" s="6"/>
      <c r="W20" s="40" t="str">
        <f t="shared" si="30"/>
        <v/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74">
        <v>11</v>
      </c>
      <c r="AU20" s="39" t="str">
        <f t="shared" si="18"/>
        <v/>
      </c>
      <c r="AV20" s="39" t="str">
        <f t="shared" si="19"/>
        <v/>
      </c>
      <c r="AW20" s="39" t="str">
        <f t="shared" si="20"/>
        <v/>
      </c>
      <c r="AX20" s="231"/>
      <c r="AY20" s="6"/>
      <c r="AZ20" s="6"/>
      <c r="BA20" s="6"/>
      <c r="BB20" s="218"/>
      <c r="BC20" s="218"/>
      <c r="BD20" s="6"/>
      <c r="BE20" s="6"/>
      <c r="BF20" s="6"/>
      <c r="BI20" s="44"/>
      <c r="BJ20" s="44"/>
      <c r="BK20" s="44"/>
    </row>
    <row r="21" spans="2:66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14"/>
      <c r="M21" s="14"/>
      <c r="N21" s="14"/>
      <c r="O21" s="6"/>
      <c r="P21" s="6"/>
      <c r="Q21" s="14"/>
      <c r="R21" s="14">
        <v>3</v>
      </c>
      <c r="S21" s="14"/>
      <c r="T21" s="14"/>
      <c r="U21" s="6"/>
      <c r="V21" s="6"/>
      <c r="W21" s="40" t="str">
        <f t="shared" si="30"/>
        <v/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40">
        <v>12</v>
      </c>
      <c r="AU21" s="39" t="str">
        <f t="shared" si="18"/>
        <v/>
      </c>
      <c r="AV21" s="39" t="str">
        <f t="shared" si="19"/>
        <v/>
      </c>
      <c r="AW21" s="39" t="str">
        <f t="shared" si="20"/>
        <v/>
      </c>
      <c r="AX21" s="231"/>
      <c r="AY21" s="6"/>
      <c r="AZ21" s="6"/>
      <c r="BA21" s="6"/>
      <c r="BB21" s="218"/>
      <c r="BC21" s="218"/>
      <c r="BD21" s="6"/>
      <c r="BE21" s="6"/>
      <c r="BF21" s="6"/>
    </row>
    <row r="22" spans="2:66" x14ac:dyDescent="0.3">
      <c r="B22" s="6"/>
      <c r="C22" s="6"/>
      <c r="D22" s="6"/>
      <c r="E22" s="14"/>
      <c r="F22" s="6"/>
      <c r="G22" s="6"/>
      <c r="H22" s="6"/>
      <c r="I22" s="14"/>
      <c r="J22" s="14"/>
      <c r="K22" s="14"/>
      <c r="L22" s="14"/>
      <c r="M22" s="14"/>
      <c r="N22" s="14"/>
      <c r="O22" s="6"/>
      <c r="P22" s="6"/>
      <c r="Q22" s="14"/>
      <c r="R22" s="6"/>
      <c r="S22" s="14"/>
      <c r="T22" s="14"/>
      <c r="U22" s="6"/>
      <c r="V22" s="6"/>
      <c r="W22" s="40" t="str">
        <f t="shared" si="30"/>
        <v/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40">
        <v>13</v>
      </c>
      <c r="AU22" s="39" t="str">
        <f t="shared" si="18"/>
        <v/>
      </c>
      <c r="AV22" s="39" t="str">
        <f t="shared" si="19"/>
        <v/>
      </c>
      <c r="AW22" s="39" t="str">
        <f t="shared" si="20"/>
        <v/>
      </c>
      <c r="AX22" s="231"/>
      <c r="AY22" s="6"/>
      <c r="AZ22" s="6"/>
      <c r="BA22" s="6"/>
      <c r="BB22" s="218"/>
      <c r="BC22" s="218"/>
      <c r="BD22" s="6"/>
      <c r="BE22" s="6"/>
      <c r="BF22" s="6"/>
      <c r="BI22" s="11"/>
    </row>
    <row r="23" spans="2:66" x14ac:dyDescent="0.3">
      <c r="B23" s="6"/>
      <c r="C23" s="6"/>
      <c r="D23" s="6"/>
      <c r="E23" s="14"/>
      <c r="F23" s="6"/>
      <c r="G23" s="6"/>
      <c r="H23" s="6"/>
      <c r="I23" s="14"/>
      <c r="J23" s="14"/>
      <c r="K23" s="14"/>
      <c r="L23" s="14"/>
      <c r="M23" s="14"/>
      <c r="N23" s="14"/>
      <c r="O23" s="6"/>
      <c r="P23" s="6"/>
      <c r="Q23" s="14"/>
      <c r="R23" s="6"/>
      <c r="S23" s="14"/>
      <c r="T23" s="14"/>
      <c r="U23" s="6"/>
      <c r="V23" s="6"/>
      <c r="W23" s="40" t="str">
        <f t="shared" si="30"/>
        <v/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40">
        <v>14</v>
      </c>
      <c r="AU23" s="39" t="str">
        <f t="shared" si="18"/>
        <v/>
      </c>
      <c r="AV23" s="39" t="str">
        <f t="shared" si="19"/>
        <v/>
      </c>
      <c r="AW23" s="39" t="str">
        <f t="shared" si="20"/>
        <v/>
      </c>
      <c r="AX23" s="231"/>
      <c r="AY23" s="6"/>
      <c r="AZ23" s="6"/>
      <c r="BA23" s="6"/>
      <c r="BB23" s="218"/>
      <c r="BC23" s="218"/>
      <c r="BD23" s="6"/>
      <c r="BE23" s="6"/>
      <c r="BF23" s="6"/>
    </row>
    <row r="24" spans="2:66" x14ac:dyDescent="0.3">
      <c r="B24" s="6"/>
      <c r="C24" s="6"/>
      <c r="D24" s="6"/>
      <c r="E24" s="14"/>
      <c r="F24" s="6"/>
      <c r="G24" s="6"/>
      <c r="H24" s="6"/>
      <c r="I24" s="14"/>
      <c r="J24" s="14"/>
      <c r="K24" s="14"/>
      <c r="L24" s="14"/>
      <c r="M24" s="14"/>
      <c r="N24" s="14"/>
      <c r="O24" s="6"/>
      <c r="P24" s="6"/>
      <c r="Q24" s="14"/>
      <c r="R24" s="6"/>
      <c r="S24" s="14"/>
      <c r="T24" s="14"/>
      <c r="U24" s="6"/>
      <c r="V24" s="6"/>
      <c r="W24" s="40" t="str">
        <f t="shared" si="30"/>
        <v/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N24" s="6"/>
      <c r="AO24" s="6"/>
      <c r="AP24" s="6"/>
      <c r="AQ24" s="6"/>
      <c r="AR24" s="6"/>
      <c r="AS24" s="6"/>
      <c r="AT24" s="40">
        <v>15</v>
      </c>
      <c r="AU24" s="39" t="str">
        <f t="shared" si="18"/>
        <v/>
      </c>
      <c r="AV24" s="39" t="str">
        <f t="shared" si="19"/>
        <v/>
      </c>
      <c r="AW24" s="39" t="str">
        <f t="shared" si="20"/>
        <v/>
      </c>
      <c r="AX24" s="231"/>
      <c r="AY24" s="6"/>
      <c r="AZ24" s="6"/>
      <c r="BA24" s="6"/>
      <c r="BB24" s="218"/>
      <c r="BC24" s="218"/>
      <c r="BD24" s="6"/>
      <c r="BE24" s="6"/>
      <c r="BF24" s="6"/>
    </row>
    <row r="25" spans="2:66" x14ac:dyDescent="0.3">
      <c r="B25" s="6"/>
      <c r="C25" s="6"/>
      <c r="D25" s="6"/>
      <c r="E25" s="14"/>
      <c r="F25" s="6"/>
      <c r="G25" s="6"/>
      <c r="H25" s="6"/>
      <c r="I25" s="14"/>
      <c r="J25" s="14"/>
      <c r="K25" s="14"/>
      <c r="L25" s="14"/>
      <c r="M25" s="14"/>
      <c r="N25" s="14"/>
      <c r="O25" s="6"/>
      <c r="P25" s="6"/>
      <c r="Q25" s="14"/>
      <c r="R25" s="6"/>
      <c r="S25" s="14"/>
      <c r="T25" s="14"/>
      <c r="U25" s="6"/>
      <c r="V25" s="6" t="s">
        <v>323</v>
      </c>
      <c r="W25" s="40" t="str">
        <f t="shared" si="30"/>
        <v/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40">
        <v>16</v>
      </c>
      <c r="AU25" s="39" t="str">
        <f t="shared" si="18"/>
        <v/>
      </c>
      <c r="AV25" s="39" t="str">
        <f t="shared" si="19"/>
        <v/>
      </c>
      <c r="AW25" s="39" t="str">
        <f t="shared" si="20"/>
        <v/>
      </c>
      <c r="AX25" s="231"/>
      <c r="AY25" s="6"/>
      <c r="AZ25" s="6"/>
      <c r="BA25" s="6"/>
      <c r="BB25" s="218"/>
      <c r="BC25" s="218"/>
      <c r="BD25" s="6"/>
      <c r="BE25" s="6"/>
      <c r="BF25" s="6"/>
    </row>
    <row r="26" spans="2:66" x14ac:dyDescent="0.3">
      <c r="B26" s="6"/>
      <c r="C26" s="6"/>
      <c r="D26" s="6"/>
      <c r="E26" s="14"/>
      <c r="F26" s="6"/>
      <c r="G26" s="6"/>
      <c r="H26" s="6"/>
      <c r="I26" s="14"/>
      <c r="J26" s="14"/>
      <c r="K26" s="14"/>
      <c r="L26" s="14"/>
      <c r="M26" s="14"/>
      <c r="N26" s="14"/>
      <c r="O26" s="6"/>
      <c r="P26" s="6"/>
      <c r="Q26" s="14"/>
      <c r="R26" s="6"/>
      <c r="S26" s="14"/>
      <c r="T26" s="14"/>
      <c r="U26" s="6"/>
      <c r="V26" s="6"/>
      <c r="W26" s="40" t="str">
        <f t="shared" si="30"/>
        <v/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474">
        <v>17</v>
      </c>
      <c r="AU26" s="39" t="str">
        <f t="shared" si="18"/>
        <v/>
      </c>
      <c r="AV26" s="39" t="str">
        <f t="shared" si="19"/>
        <v/>
      </c>
      <c r="AW26" s="39" t="str">
        <f t="shared" si="20"/>
        <v/>
      </c>
      <c r="AX26" s="231"/>
      <c r="AY26" s="6"/>
      <c r="AZ26" s="6"/>
      <c r="BA26" s="6"/>
      <c r="BB26" s="218"/>
      <c r="BC26" s="218"/>
      <c r="BD26" s="6"/>
      <c r="BE26" s="6"/>
      <c r="BF26" s="6"/>
    </row>
    <row r="27" spans="2:66" x14ac:dyDescent="0.3">
      <c r="B27" s="6"/>
      <c r="C27" s="6"/>
      <c r="D27" s="6"/>
      <c r="E27" s="14"/>
      <c r="F27" s="6"/>
      <c r="G27" s="6"/>
      <c r="H27" s="6"/>
      <c r="I27" s="14"/>
      <c r="J27" s="14"/>
      <c r="K27" s="14"/>
      <c r="L27" s="14"/>
      <c r="M27" s="14"/>
      <c r="N27" s="14"/>
      <c r="O27" s="6"/>
      <c r="P27" s="6"/>
      <c r="Q27" s="14"/>
      <c r="R27" s="6"/>
      <c r="S27" s="14"/>
      <c r="T27" s="14"/>
      <c r="U27" s="6"/>
      <c r="V27" s="6"/>
      <c r="W27" s="40" t="str">
        <f t="shared" si="30"/>
        <v/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40">
        <v>18</v>
      </c>
      <c r="AU27" s="39" t="str">
        <f t="shared" si="18"/>
        <v/>
      </c>
      <c r="AV27" s="39" t="str">
        <f t="shared" si="19"/>
        <v/>
      </c>
      <c r="AW27" s="39" t="str">
        <f t="shared" si="20"/>
        <v/>
      </c>
      <c r="AX27" s="231"/>
      <c r="AY27" s="6"/>
      <c r="AZ27" s="6"/>
      <c r="BA27" s="6"/>
      <c r="BB27" s="218"/>
      <c r="BC27" s="218"/>
      <c r="BD27" s="6"/>
      <c r="BE27" s="6"/>
      <c r="BF27" s="6"/>
    </row>
    <row r="28" spans="2:66" x14ac:dyDescent="0.3">
      <c r="B28" s="6"/>
      <c r="C28" s="6"/>
      <c r="D28" s="6"/>
      <c r="E28" s="14"/>
      <c r="F28" s="6"/>
      <c r="G28" s="6"/>
      <c r="H28" s="6"/>
      <c r="I28" s="14"/>
      <c r="J28" s="14"/>
      <c r="K28" s="14"/>
      <c r="L28" s="14"/>
      <c r="M28" s="14"/>
      <c r="N28" s="14"/>
      <c r="O28" s="6"/>
      <c r="P28" s="6"/>
      <c r="Q28" s="14"/>
      <c r="R28" s="6"/>
      <c r="S28" s="14"/>
      <c r="T28" s="14"/>
      <c r="U28" s="6"/>
      <c r="V28" s="6"/>
      <c r="W28" s="40" t="str">
        <f t="shared" si="30"/>
        <v/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40">
        <v>19</v>
      </c>
      <c r="AU28" s="39" t="str">
        <f t="shared" si="18"/>
        <v/>
      </c>
      <c r="AV28" s="39" t="str">
        <f t="shared" si="19"/>
        <v/>
      </c>
      <c r="AW28" s="39" t="str">
        <f t="shared" si="20"/>
        <v/>
      </c>
      <c r="AX28" s="231"/>
      <c r="AY28" s="6"/>
      <c r="AZ28" s="6"/>
      <c r="BA28" s="6"/>
      <c r="BB28" s="218"/>
      <c r="BC28" s="218"/>
      <c r="BD28" s="6"/>
      <c r="BE28" s="6"/>
      <c r="BF28" s="6"/>
    </row>
    <row r="29" spans="2:66" x14ac:dyDescent="0.3">
      <c r="B29" s="6"/>
      <c r="C29" s="6"/>
      <c r="D29" s="6"/>
      <c r="E29" s="14"/>
      <c r="F29" s="6"/>
      <c r="G29" s="6"/>
      <c r="H29" s="6"/>
      <c r="I29" s="14"/>
      <c r="J29" s="14"/>
      <c r="K29" s="14"/>
      <c r="L29" s="14"/>
      <c r="M29" s="14"/>
      <c r="N29" s="14"/>
      <c r="O29" s="6"/>
      <c r="P29" s="6"/>
      <c r="Q29" s="14"/>
      <c r="R29" s="6"/>
      <c r="S29" s="14"/>
      <c r="T29" s="14"/>
      <c r="U29" s="6"/>
      <c r="V29" s="6"/>
      <c r="W29" s="40" t="str">
        <f t="shared" si="30"/>
        <v/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40">
        <v>20</v>
      </c>
      <c r="AU29" s="39" t="str">
        <f t="shared" si="18"/>
        <v/>
      </c>
      <c r="AV29" s="39" t="str">
        <f t="shared" si="19"/>
        <v/>
      </c>
      <c r="AW29" s="39" t="str">
        <f t="shared" si="20"/>
        <v/>
      </c>
      <c r="AX29" s="231"/>
      <c r="AY29" s="6"/>
      <c r="AZ29" s="6"/>
      <c r="BA29" s="6"/>
      <c r="BB29" s="218"/>
      <c r="BC29" s="218"/>
      <c r="BD29" s="6"/>
      <c r="BE29" s="6"/>
      <c r="BF29" s="6"/>
    </row>
    <row r="30" spans="2:66" x14ac:dyDescent="0.3">
      <c r="B30" s="6"/>
      <c r="C30" s="6"/>
      <c r="D30" s="6"/>
      <c r="E30" s="14"/>
      <c r="F30" s="6"/>
      <c r="G30" s="6"/>
      <c r="H30" s="6"/>
      <c r="I30" s="14"/>
      <c r="J30" s="14"/>
      <c r="K30" s="14"/>
      <c r="L30" s="14"/>
      <c r="M30" s="14"/>
      <c r="N30" s="14"/>
      <c r="O30" s="6"/>
      <c r="P30" s="6"/>
      <c r="Q30" s="14"/>
      <c r="R30" s="6"/>
      <c r="S30" s="14"/>
      <c r="T30" s="14"/>
      <c r="U30" s="6"/>
      <c r="V30" s="6"/>
      <c r="W30" s="40" t="str">
        <f t="shared" si="30"/>
        <v/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40">
        <v>21</v>
      </c>
      <c r="AU30" s="39" t="str">
        <f t="shared" si="18"/>
        <v/>
      </c>
      <c r="AV30" s="39" t="str">
        <f t="shared" si="19"/>
        <v/>
      </c>
      <c r="AW30" s="39" t="str">
        <f t="shared" si="20"/>
        <v/>
      </c>
      <c r="AX30" s="231"/>
      <c r="AY30" s="6"/>
      <c r="AZ30" s="6"/>
      <c r="BA30" s="6"/>
      <c r="BB30" s="218"/>
      <c r="BC30" s="218"/>
      <c r="BD30" s="6"/>
      <c r="BE30" s="6"/>
      <c r="BF30" s="6"/>
    </row>
    <row r="31" spans="2:66" x14ac:dyDescent="0.3">
      <c r="B31" s="6"/>
      <c r="C31" s="6"/>
      <c r="D31" s="6"/>
      <c r="E31" s="14"/>
      <c r="F31" s="6"/>
      <c r="G31" s="6"/>
      <c r="H31" s="6"/>
      <c r="I31" s="14"/>
      <c r="J31" s="14"/>
      <c r="K31" s="14"/>
      <c r="L31" s="14"/>
      <c r="M31" s="14"/>
      <c r="N31" s="14"/>
      <c r="O31" s="6"/>
      <c r="P31" s="6"/>
      <c r="Q31" s="14"/>
      <c r="R31" s="6"/>
      <c r="S31" s="14"/>
      <c r="T31" s="14"/>
      <c r="U31" s="6"/>
      <c r="V31" s="6"/>
      <c r="W31" s="40" t="str">
        <f t="shared" si="30"/>
        <v/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40">
        <v>22</v>
      </c>
      <c r="AU31" s="39" t="str">
        <f t="shared" si="18"/>
        <v/>
      </c>
      <c r="AV31" s="39" t="str">
        <f t="shared" si="19"/>
        <v/>
      </c>
      <c r="AW31" s="39" t="str">
        <f t="shared" si="20"/>
        <v/>
      </c>
      <c r="AX31" s="231"/>
      <c r="AY31" s="6"/>
      <c r="AZ31" s="6"/>
      <c r="BA31" s="6"/>
      <c r="BB31" s="218"/>
      <c r="BC31" s="218"/>
      <c r="BD31" s="6"/>
      <c r="BE31" s="6"/>
      <c r="BF31" s="6"/>
    </row>
    <row r="32" spans="2:66" x14ac:dyDescent="0.3">
      <c r="B32" s="6"/>
      <c r="C32" s="6"/>
      <c r="D32" s="6"/>
      <c r="E32" s="14"/>
      <c r="F32" s="6"/>
      <c r="G32" s="6"/>
      <c r="H32" s="6"/>
      <c r="I32" s="14"/>
      <c r="J32" s="14"/>
      <c r="K32" s="14"/>
      <c r="L32" s="14"/>
      <c r="M32" s="14"/>
      <c r="N32" s="14"/>
      <c r="O32" s="6"/>
      <c r="P32" s="6"/>
      <c r="Q32" s="14"/>
      <c r="R32" s="6"/>
      <c r="S32" s="14"/>
      <c r="T32" s="14"/>
      <c r="U32" s="6"/>
      <c r="V32" s="6"/>
      <c r="W32" s="40" t="str">
        <f t="shared" si="30"/>
        <v/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474">
        <v>23</v>
      </c>
      <c r="AU32" s="39" t="str">
        <f t="shared" si="18"/>
        <v/>
      </c>
      <c r="AV32" s="39" t="str">
        <f t="shared" si="19"/>
        <v/>
      </c>
      <c r="AW32" s="39" t="str">
        <f t="shared" si="20"/>
        <v/>
      </c>
      <c r="AX32" s="231"/>
      <c r="AY32" s="6"/>
      <c r="AZ32" s="6"/>
      <c r="BA32" s="6"/>
      <c r="BB32" s="218"/>
      <c r="BC32" s="218"/>
      <c r="BD32" s="6"/>
      <c r="BE32" s="6"/>
      <c r="BF32" s="6"/>
    </row>
    <row r="33" spans="2:58" x14ac:dyDescent="0.3">
      <c r="B33" s="6"/>
      <c r="C33" s="6"/>
      <c r="D33" s="6"/>
      <c r="E33" s="14"/>
      <c r="F33" s="6"/>
      <c r="G33" s="6"/>
      <c r="H33" s="6"/>
      <c r="I33" s="14"/>
      <c r="J33" s="14"/>
      <c r="K33" s="14"/>
      <c r="L33" s="14"/>
      <c r="M33" s="14"/>
      <c r="N33" s="14"/>
      <c r="O33" s="6"/>
      <c r="P33" s="6"/>
      <c r="Q33" s="14"/>
      <c r="R33" s="6"/>
      <c r="S33" s="14"/>
      <c r="T33" s="14"/>
      <c r="U33" s="6"/>
      <c r="V33" s="6"/>
      <c r="W33" s="40" t="str">
        <f t="shared" si="30"/>
        <v/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40">
        <v>24</v>
      </c>
      <c r="AU33" s="39" t="str">
        <f t="shared" si="18"/>
        <v/>
      </c>
      <c r="AV33" s="39" t="str">
        <f t="shared" si="19"/>
        <v/>
      </c>
      <c r="AW33" s="39" t="str">
        <f t="shared" si="20"/>
        <v/>
      </c>
      <c r="AX33" s="231"/>
      <c r="AY33" s="6"/>
      <c r="AZ33" s="6"/>
      <c r="BA33" s="6"/>
      <c r="BB33" s="218"/>
      <c r="BC33" s="218"/>
      <c r="BD33" s="6"/>
      <c r="BE33" s="6"/>
      <c r="BF33" s="6"/>
    </row>
    <row r="34" spans="2:58" x14ac:dyDescent="0.3">
      <c r="B34" s="6"/>
      <c r="C34" s="6"/>
      <c r="D34" s="6"/>
      <c r="E34" s="14"/>
      <c r="F34" s="6"/>
      <c r="G34" s="6"/>
      <c r="H34" s="6"/>
      <c r="I34" s="14"/>
      <c r="J34" s="14"/>
      <c r="K34" s="14"/>
      <c r="L34" s="14"/>
      <c r="M34" s="14"/>
      <c r="N34" s="14"/>
      <c r="O34" s="6"/>
      <c r="P34" s="6"/>
      <c r="Q34" s="14"/>
      <c r="R34" s="6"/>
      <c r="S34" s="14"/>
      <c r="T34" s="14"/>
      <c r="U34" s="6"/>
      <c r="V34" s="6"/>
      <c r="W34" s="40" t="str">
        <f t="shared" si="30"/>
        <v/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40">
        <v>25</v>
      </c>
      <c r="AU34" s="39" t="str">
        <f t="shared" si="18"/>
        <v/>
      </c>
      <c r="AV34" s="39" t="str">
        <f t="shared" si="19"/>
        <v/>
      </c>
      <c r="AW34" s="39" t="str">
        <f t="shared" si="20"/>
        <v/>
      </c>
      <c r="AX34" s="231"/>
      <c r="AY34" s="6"/>
      <c r="AZ34" s="6"/>
      <c r="BA34" s="6"/>
      <c r="BB34" s="218"/>
      <c r="BC34" s="218"/>
      <c r="BD34" s="6"/>
      <c r="BE34" s="6"/>
      <c r="BF34" s="6"/>
    </row>
    <row r="35" spans="2:58" x14ac:dyDescent="0.3">
      <c r="B35" s="6"/>
      <c r="C35" s="6"/>
      <c r="D35" s="6"/>
      <c r="E35" s="14"/>
      <c r="F35" s="6"/>
      <c r="G35" s="6"/>
      <c r="H35" s="6"/>
      <c r="I35" s="14"/>
      <c r="J35" s="14"/>
      <c r="K35" s="14"/>
      <c r="L35" s="14"/>
      <c r="M35" s="14"/>
      <c r="N35" s="14"/>
      <c r="O35" s="6"/>
      <c r="P35" s="6"/>
      <c r="Q35" s="14"/>
      <c r="R35" s="6"/>
      <c r="S35" s="14"/>
      <c r="T35" s="14"/>
      <c r="U35" s="6"/>
      <c r="V35" s="6"/>
      <c r="W35" s="40" t="str">
        <f t="shared" si="30"/>
        <v/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40">
        <v>26</v>
      </c>
      <c r="AU35" s="39" t="str">
        <f t="shared" si="18"/>
        <v/>
      </c>
      <c r="AV35" s="39" t="str">
        <f t="shared" si="19"/>
        <v/>
      </c>
      <c r="AW35" s="39" t="str">
        <f t="shared" si="20"/>
        <v/>
      </c>
      <c r="AX35" s="231"/>
      <c r="AY35" s="6"/>
      <c r="AZ35" s="6"/>
      <c r="BA35" s="6"/>
      <c r="BB35" s="218"/>
      <c r="BC35" s="218"/>
      <c r="BD35" s="6"/>
      <c r="BE35" s="6"/>
      <c r="BF35" s="6"/>
    </row>
    <row r="36" spans="2:58" x14ac:dyDescent="0.3">
      <c r="B36" s="6"/>
      <c r="C36" s="6"/>
      <c r="D36" s="6"/>
      <c r="E36" s="14"/>
      <c r="F36" s="6"/>
      <c r="G36" s="6"/>
      <c r="H36" s="6"/>
      <c r="I36" s="14"/>
      <c r="J36" s="14"/>
      <c r="K36" s="14"/>
      <c r="L36" s="14"/>
      <c r="M36" s="14"/>
      <c r="N36" s="14"/>
      <c r="O36" s="6"/>
      <c r="P36" s="6"/>
      <c r="Q36" s="14"/>
      <c r="R36" s="6"/>
      <c r="S36" s="14"/>
      <c r="T36" s="14"/>
      <c r="U36" s="6"/>
      <c r="V36" s="6"/>
      <c r="W36" s="40" t="str">
        <f t="shared" si="30"/>
        <v/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40">
        <v>27</v>
      </c>
      <c r="AU36" s="39" t="str">
        <f t="shared" si="18"/>
        <v/>
      </c>
      <c r="AV36" s="39" t="str">
        <f t="shared" si="19"/>
        <v/>
      </c>
      <c r="AW36" s="39" t="str">
        <f t="shared" si="20"/>
        <v/>
      </c>
      <c r="AX36" s="231"/>
      <c r="AY36" s="6"/>
      <c r="AZ36" s="6"/>
      <c r="BA36" s="6"/>
      <c r="BB36" s="218"/>
      <c r="BC36" s="218"/>
      <c r="BD36" s="6"/>
      <c r="BE36" s="6"/>
      <c r="BF36" s="6"/>
    </row>
    <row r="37" spans="2:58" x14ac:dyDescent="0.3">
      <c r="B37" s="6"/>
      <c r="C37" s="6"/>
      <c r="D37" s="6"/>
      <c r="E37" s="14"/>
      <c r="F37" s="6"/>
      <c r="G37" s="6"/>
      <c r="H37" s="6"/>
      <c r="I37" s="14"/>
      <c r="J37" s="14"/>
      <c r="K37" s="14"/>
      <c r="L37" s="14"/>
      <c r="M37" s="14"/>
      <c r="N37" s="14"/>
      <c r="O37" s="6"/>
      <c r="P37" s="6"/>
      <c r="Q37" s="14"/>
      <c r="R37" s="6"/>
      <c r="S37" s="14"/>
      <c r="T37" s="14"/>
      <c r="U37" s="6"/>
      <c r="V37" s="6"/>
      <c r="W37" s="40" t="str">
        <f t="shared" si="30"/>
        <v/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40">
        <v>28</v>
      </c>
      <c r="AU37" s="39" t="str">
        <f t="shared" si="18"/>
        <v/>
      </c>
      <c r="AV37" s="39" t="str">
        <f t="shared" si="19"/>
        <v/>
      </c>
      <c r="AW37" s="39" t="str">
        <f t="shared" si="20"/>
        <v/>
      </c>
      <c r="AX37" s="231"/>
      <c r="AY37" s="6"/>
      <c r="AZ37" s="6"/>
      <c r="BA37" s="6"/>
      <c r="BB37" s="218"/>
      <c r="BC37" s="218"/>
      <c r="BD37" s="6"/>
      <c r="BE37" s="6"/>
      <c r="BF37" s="6"/>
    </row>
    <row r="38" spans="2:58" x14ac:dyDescent="0.3">
      <c r="B38" s="6"/>
      <c r="C38" s="6"/>
      <c r="D38" s="6"/>
      <c r="E38" s="14"/>
      <c r="F38" s="6"/>
      <c r="G38" s="6"/>
      <c r="H38" s="6"/>
      <c r="I38" s="14"/>
      <c r="J38" s="14"/>
      <c r="K38" s="14"/>
      <c r="L38" s="14"/>
      <c r="M38" s="14"/>
      <c r="N38" s="14"/>
      <c r="O38" s="6"/>
      <c r="P38" s="6"/>
      <c r="Q38" s="14"/>
      <c r="R38" s="6"/>
      <c r="S38" s="14"/>
      <c r="T38" s="14"/>
      <c r="U38" s="6"/>
      <c r="V38" s="6"/>
      <c r="W38" s="40" t="str">
        <f t="shared" si="30"/>
        <v/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474">
        <v>29</v>
      </c>
      <c r="AU38" s="39" t="str">
        <f t="shared" si="18"/>
        <v/>
      </c>
      <c r="AV38" s="39" t="str">
        <f t="shared" si="19"/>
        <v/>
      </c>
      <c r="AW38" s="39" t="str">
        <f t="shared" si="20"/>
        <v/>
      </c>
      <c r="AX38" s="231"/>
      <c r="AY38" s="6"/>
      <c r="AZ38" s="6"/>
      <c r="BA38" s="6"/>
      <c r="BB38" s="218"/>
      <c r="BC38" s="218"/>
      <c r="BD38" s="6"/>
      <c r="BE38" s="6"/>
      <c r="BF38" s="6"/>
    </row>
    <row r="39" spans="2:58" x14ac:dyDescent="0.3">
      <c r="B39" s="6"/>
      <c r="C39" s="6"/>
      <c r="D39" s="6"/>
      <c r="E39" s="14"/>
      <c r="F39" s="6"/>
      <c r="G39" s="6"/>
      <c r="H39" s="6"/>
      <c r="I39" s="14"/>
      <c r="J39" s="14"/>
      <c r="K39" s="14"/>
      <c r="L39" s="14"/>
      <c r="M39" s="14"/>
      <c r="N39" s="14"/>
      <c r="O39" s="6"/>
      <c r="P39" s="6"/>
      <c r="Q39" s="14"/>
      <c r="R39" s="6"/>
      <c r="S39" s="14"/>
      <c r="T39" s="14"/>
      <c r="U39" s="6"/>
      <c r="V39" s="6"/>
      <c r="W39" s="40" t="str">
        <f t="shared" si="30"/>
        <v/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40">
        <v>30</v>
      </c>
      <c r="AU39" s="39" t="str">
        <f t="shared" si="18"/>
        <v/>
      </c>
      <c r="AV39" s="39" t="str">
        <f t="shared" si="19"/>
        <v/>
      </c>
      <c r="AW39" s="39" t="str">
        <f t="shared" si="20"/>
        <v/>
      </c>
      <c r="AX39" s="231"/>
      <c r="AY39" s="6"/>
      <c r="AZ39" s="6"/>
      <c r="BA39" s="6"/>
      <c r="BB39" s="218"/>
      <c r="BC39" s="218"/>
      <c r="BD39" s="6"/>
      <c r="BE39" s="6"/>
      <c r="BF39" s="6"/>
    </row>
    <row r="40" spans="2:58" x14ac:dyDescent="0.3">
      <c r="B40" s="6"/>
      <c r="C40" s="6"/>
      <c r="D40" s="6"/>
      <c r="E40" s="14"/>
      <c r="F40" s="6"/>
      <c r="G40" s="6"/>
      <c r="H40" s="6"/>
      <c r="I40" s="14"/>
      <c r="J40" s="14"/>
      <c r="K40" s="14"/>
      <c r="L40" s="14"/>
      <c r="M40" s="14"/>
      <c r="N40" s="14"/>
      <c r="O40" s="6"/>
      <c r="P40" s="6"/>
      <c r="Q40" s="14"/>
      <c r="R40" s="6"/>
      <c r="S40" s="14"/>
      <c r="T40" s="14"/>
      <c r="U40" s="6"/>
      <c r="V40" s="6"/>
      <c r="W40" s="40" t="str">
        <f t="shared" si="30"/>
        <v/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40">
        <v>31</v>
      </c>
      <c r="AU40" s="39" t="str">
        <f t="shared" si="18"/>
        <v/>
      </c>
      <c r="AV40" s="39" t="str">
        <f t="shared" si="19"/>
        <v/>
      </c>
      <c r="AW40" s="39" t="str">
        <f t="shared" si="20"/>
        <v/>
      </c>
      <c r="AX40" s="231"/>
      <c r="AY40" s="6"/>
      <c r="AZ40" s="6"/>
      <c r="BA40" s="6"/>
      <c r="BB40" s="218"/>
      <c r="BC40" s="218"/>
      <c r="BD40" s="6"/>
      <c r="BE40" s="6"/>
      <c r="BF40" s="6"/>
    </row>
    <row r="41" spans="2:58" x14ac:dyDescent="0.3">
      <c r="B41" s="6"/>
      <c r="C41" s="6"/>
      <c r="D41" s="6"/>
      <c r="E41" s="14"/>
      <c r="F41" s="6"/>
      <c r="G41" s="6"/>
      <c r="H41" s="6"/>
      <c r="I41" s="14"/>
      <c r="J41" s="14"/>
      <c r="K41" s="14"/>
      <c r="L41" s="14"/>
      <c r="M41" s="14"/>
      <c r="N41" s="14"/>
      <c r="O41" s="6"/>
      <c r="P41" s="6"/>
      <c r="Q41" s="14"/>
      <c r="R41" s="6"/>
      <c r="S41" s="14"/>
      <c r="T41" s="14"/>
      <c r="U41" s="6"/>
      <c r="V41" s="6"/>
      <c r="W41" s="40" t="str">
        <f t="shared" si="30"/>
        <v/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40">
        <v>32</v>
      </c>
      <c r="AU41" s="39" t="str">
        <f t="shared" si="18"/>
        <v/>
      </c>
      <c r="AV41" s="39" t="str">
        <f t="shared" si="19"/>
        <v/>
      </c>
      <c r="AW41" s="39" t="str">
        <f t="shared" si="20"/>
        <v/>
      </c>
      <c r="AX41" s="231"/>
      <c r="AY41" s="6"/>
      <c r="AZ41" s="6"/>
      <c r="BA41" s="6"/>
      <c r="BB41" s="218"/>
      <c r="BC41" s="218"/>
      <c r="BD41" s="6"/>
      <c r="BE41" s="6"/>
      <c r="BF41" s="6"/>
    </row>
    <row r="42" spans="2:58" x14ac:dyDescent="0.3">
      <c r="B42" s="6"/>
      <c r="C42" s="6"/>
      <c r="D42" s="6"/>
      <c r="E42" s="14"/>
      <c r="F42" s="6"/>
      <c r="G42" s="6"/>
      <c r="H42" s="6"/>
      <c r="I42" s="14"/>
      <c r="J42" s="14"/>
      <c r="K42" s="14"/>
      <c r="L42" s="14"/>
      <c r="M42" s="14"/>
      <c r="N42" s="14"/>
      <c r="O42" s="6"/>
      <c r="P42" s="6"/>
      <c r="Q42" s="14"/>
      <c r="R42" s="6"/>
      <c r="S42" s="14"/>
      <c r="T42" s="14"/>
      <c r="U42" s="6"/>
      <c r="V42" s="6"/>
      <c r="W42" s="40" t="str">
        <f t="shared" si="30"/>
        <v/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40">
        <v>33</v>
      </c>
      <c r="AU42" s="39" t="str">
        <f t="shared" si="18"/>
        <v/>
      </c>
      <c r="AV42" s="39" t="str">
        <f t="shared" si="19"/>
        <v/>
      </c>
      <c r="AW42" s="39" t="str">
        <f t="shared" si="20"/>
        <v/>
      </c>
      <c r="AX42" s="231"/>
      <c r="AY42" s="6"/>
      <c r="AZ42" s="6"/>
      <c r="BA42" s="6"/>
      <c r="BB42" s="218"/>
      <c r="BC42" s="218"/>
      <c r="BD42" s="6"/>
      <c r="BE42" s="6"/>
      <c r="BF42" s="6"/>
    </row>
    <row r="43" spans="2:58" x14ac:dyDescent="0.3">
      <c r="B43" s="6"/>
      <c r="C43" s="6"/>
      <c r="D43" s="6"/>
      <c r="E43" s="14"/>
      <c r="F43" s="6"/>
      <c r="G43" s="6"/>
      <c r="H43" s="6"/>
      <c r="I43" s="14"/>
      <c r="J43" s="14"/>
      <c r="K43" s="14"/>
      <c r="L43" s="14"/>
      <c r="M43" s="14"/>
      <c r="N43" s="14"/>
      <c r="O43" s="6"/>
      <c r="P43" s="6"/>
      <c r="Q43" s="14"/>
      <c r="R43" s="6"/>
      <c r="S43" s="14"/>
      <c r="T43" s="14"/>
      <c r="U43" s="6"/>
      <c r="V43" s="6"/>
      <c r="W43" s="40" t="str">
        <f t="shared" si="30"/>
        <v/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40">
        <v>34</v>
      </c>
      <c r="AU43" s="39" t="str">
        <f t="shared" si="18"/>
        <v/>
      </c>
      <c r="AV43" s="39" t="str">
        <f t="shared" si="19"/>
        <v/>
      </c>
      <c r="AW43" s="39" t="str">
        <f t="shared" si="20"/>
        <v/>
      </c>
      <c r="AX43" s="231"/>
      <c r="AY43" s="6"/>
      <c r="AZ43" s="6"/>
      <c r="BA43" s="6"/>
      <c r="BB43" s="218"/>
      <c r="BC43" s="218"/>
      <c r="BD43" s="6"/>
      <c r="BE43" s="6"/>
      <c r="BF43" s="6"/>
    </row>
    <row r="44" spans="2:58" x14ac:dyDescent="0.3">
      <c r="B44" s="6"/>
      <c r="C44" s="6"/>
      <c r="D44" s="6"/>
      <c r="E44" s="14"/>
      <c r="F44" s="6"/>
      <c r="G44" s="6"/>
      <c r="H44" s="6"/>
      <c r="I44" s="14"/>
      <c r="J44" s="14"/>
      <c r="K44" s="14"/>
      <c r="L44" s="14"/>
      <c r="M44" s="14"/>
      <c r="N44" s="14"/>
      <c r="O44" s="6"/>
      <c r="P44" s="6"/>
      <c r="Q44" s="14"/>
      <c r="R44" s="6"/>
      <c r="S44" s="14"/>
      <c r="T44" s="14"/>
      <c r="U44" s="6"/>
      <c r="V44" s="6"/>
      <c r="W44" s="40" t="str">
        <f t="shared" si="30"/>
        <v/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474">
        <v>35</v>
      </c>
      <c r="AU44" s="39" t="str">
        <f t="shared" si="18"/>
        <v/>
      </c>
      <c r="AV44" s="39" t="str">
        <f t="shared" si="19"/>
        <v/>
      </c>
      <c r="AW44" s="39" t="str">
        <f t="shared" si="20"/>
        <v/>
      </c>
      <c r="AX44" s="231"/>
      <c r="AY44" s="6"/>
      <c r="AZ44" s="6"/>
      <c r="BA44" s="6"/>
      <c r="BB44" s="218"/>
      <c r="BC44" s="218"/>
      <c r="BD44" s="6"/>
      <c r="BE44" s="6"/>
      <c r="BF44" s="6"/>
    </row>
    <row r="45" spans="2:58" x14ac:dyDescent="0.3">
      <c r="B45" s="6"/>
      <c r="C45" s="6"/>
      <c r="D45" s="6"/>
      <c r="E45" s="14"/>
      <c r="F45" s="6"/>
      <c r="G45" s="6"/>
      <c r="H45" s="6"/>
      <c r="I45" s="14"/>
      <c r="J45" s="14"/>
      <c r="K45" s="14"/>
      <c r="L45" s="14"/>
      <c r="M45" s="14"/>
      <c r="N45" s="14"/>
      <c r="O45" s="6"/>
      <c r="P45" s="6"/>
      <c r="Q45" s="14"/>
      <c r="R45" s="6"/>
      <c r="S45" s="14"/>
      <c r="T45" s="14"/>
      <c r="U45" s="6"/>
      <c r="V45" s="6"/>
      <c r="W45" s="40" t="str">
        <f t="shared" si="30"/>
        <v/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40">
        <v>36</v>
      </c>
      <c r="AU45" s="39" t="str">
        <f t="shared" si="18"/>
        <v/>
      </c>
      <c r="AV45" s="39" t="str">
        <f t="shared" si="19"/>
        <v/>
      </c>
      <c r="AW45" s="39" t="str">
        <f t="shared" si="20"/>
        <v/>
      </c>
      <c r="AX45" s="231"/>
      <c r="AY45" s="6"/>
      <c r="AZ45" s="6"/>
      <c r="BA45" s="6"/>
      <c r="BB45" s="218"/>
      <c r="BC45" s="218"/>
      <c r="BD45" s="6"/>
      <c r="BE45" s="6"/>
      <c r="BF45" s="6"/>
    </row>
    <row r="46" spans="2:58" x14ac:dyDescent="0.3">
      <c r="B46" s="6"/>
      <c r="C46" s="6"/>
      <c r="D46" s="6"/>
      <c r="E46" s="14"/>
      <c r="F46" s="6"/>
      <c r="G46" s="6"/>
      <c r="H46" s="6"/>
      <c r="I46" s="14"/>
      <c r="J46" s="14"/>
      <c r="K46" s="14"/>
      <c r="L46" s="14"/>
      <c r="M46" s="14"/>
      <c r="N46" s="14"/>
      <c r="O46" s="6"/>
      <c r="P46" s="6"/>
      <c r="Q46" s="14"/>
      <c r="R46" s="6"/>
      <c r="S46" s="14"/>
      <c r="T46" s="14"/>
      <c r="U46" s="6"/>
      <c r="V46" s="6"/>
      <c r="W46" s="40" t="str">
        <f t="shared" si="30"/>
        <v/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40">
        <v>37</v>
      </c>
      <c r="AU46" s="39" t="str">
        <f t="shared" si="18"/>
        <v/>
      </c>
      <c r="AV46" s="39" t="str">
        <f t="shared" si="19"/>
        <v/>
      </c>
      <c r="AW46" s="39" t="str">
        <f t="shared" si="20"/>
        <v/>
      </c>
      <c r="AX46" s="231"/>
      <c r="AY46" s="6"/>
      <c r="AZ46" s="6"/>
      <c r="BA46" s="6"/>
      <c r="BB46" s="218"/>
      <c r="BC46" s="218"/>
      <c r="BD46" s="6"/>
      <c r="BE46" s="6"/>
      <c r="BF46" s="6"/>
    </row>
    <row r="47" spans="2:58" x14ac:dyDescent="0.3">
      <c r="B47" s="6"/>
      <c r="C47" s="6"/>
      <c r="D47" s="6"/>
      <c r="E47" s="14"/>
      <c r="F47" s="6"/>
      <c r="G47" s="6"/>
      <c r="H47" s="6"/>
      <c r="I47" s="14"/>
      <c r="J47" s="14"/>
      <c r="K47" s="14"/>
      <c r="L47" s="14"/>
      <c r="M47" s="14"/>
      <c r="N47" s="14"/>
      <c r="O47" s="6"/>
      <c r="P47" s="6"/>
      <c r="Q47" s="14"/>
      <c r="R47" s="6"/>
      <c r="S47" s="14"/>
      <c r="T47" s="14"/>
      <c r="U47" s="6"/>
      <c r="V47" s="6"/>
      <c r="W47" s="40" t="str">
        <f t="shared" si="30"/>
        <v/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40">
        <v>38</v>
      </c>
      <c r="AU47" s="39" t="str">
        <f t="shared" si="18"/>
        <v/>
      </c>
      <c r="AV47" s="39" t="str">
        <f t="shared" si="19"/>
        <v/>
      </c>
      <c r="AW47" s="39" t="str">
        <f t="shared" si="20"/>
        <v/>
      </c>
      <c r="AX47" s="231"/>
      <c r="AY47" s="6"/>
      <c r="AZ47" s="6"/>
      <c r="BA47" s="6"/>
      <c r="BB47" s="218"/>
      <c r="BC47" s="218"/>
      <c r="BD47" s="6"/>
      <c r="BE47" s="6"/>
      <c r="BF47" s="6"/>
    </row>
    <row r="48" spans="2:58" x14ac:dyDescent="0.3">
      <c r="B48" s="6"/>
      <c r="C48" s="6"/>
      <c r="D48" s="6"/>
      <c r="E48" s="14"/>
      <c r="F48" s="6"/>
      <c r="G48" s="6"/>
      <c r="H48" s="6"/>
      <c r="I48" s="14"/>
      <c r="J48" s="14"/>
      <c r="K48" s="14"/>
      <c r="L48" s="14"/>
      <c r="M48" s="14"/>
      <c r="N48" s="14"/>
      <c r="O48" s="6"/>
      <c r="P48" s="6"/>
      <c r="Q48" s="14"/>
      <c r="R48" s="6"/>
      <c r="S48" s="14"/>
      <c r="T48" s="14"/>
      <c r="U48" s="6"/>
      <c r="V48" s="6"/>
      <c r="W48" s="40" t="str">
        <f t="shared" si="30"/>
        <v/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40">
        <v>39</v>
      </c>
      <c r="AU48" s="39" t="str">
        <f t="shared" si="18"/>
        <v/>
      </c>
      <c r="AV48" s="39" t="str">
        <f t="shared" si="19"/>
        <v/>
      </c>
      <c r="AW48" s="39" t="str">
        <f t="shared" si="20"/>
        <v/>
      </c>
      <c r="AX48" s="231"/>
      <c r="AY48" s="6"/>
      <c r="AZ48" s="6"/>
      <c r="BA48" s="6"/>
      <c r="BB48" s="218"/>
      <c r="BC48" s="218"/>
      <c r="BD48" s="6"/>
      <c r="BE48" s="6"/>
      <c r="BF48" s="6"/>
    </row>
    <row r="49" spans="2:61" x14ac:dyDescent="0.3">
      <c r="B49" s="6"/>
      <c r="C49" s="6"/>
      <c r="D49" s="6"/>
      <c r="E49" s="14"/>
      <c r="F49" s="6"/>
      <c r="G49" s="6"/>
      <c r="H49" s="6"/>
      <c r="I49" s="14"/>
      <c r="J49" s="14"/>
      <c r="K49" s="14"/>
      <c r="L49" s="14"/>
      <c r="M49" s="14"/>
      <c r="N49" s="14"/>
      <c r="O49" s="6"/>
      <c r="P49" s="6"/>
      <c r="Q49" s="14"/>
      <c r="R49" s="6"/>
      <c r="S49" s="14"/>
      <c r="T49" s="14"/>
      <c r="U49" s="6"/>
      <c r="V49" s="6"/>
      <c r="W49" s="40" t="str">
        <f t="shared" si="30"/>
        <v/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40">
        <v>40</v>
      </c>
      <c r="AU49" s="39" t="str">
        <f t="shared" si="18"/>
        <v/>
      </c>
      <c r="AV49" s="39" t="str">
        <f t="shared" si="19"/>
        <v/>
      </c>
      <c r="AW49" s="39" t="str">
        <f t="shared" si="20"/>
        <v/>
      </c>
      <c r="AX49" s="231"/>
      <c r="AY49" s="6"/>
      <c r="AZ49" s="6"/>
      <c r="BA49" s="6"/>
      <c r="BB49" s="218"/>
      <c r="BC49" s="218"/>
      <c r="BD49" s="6"/>
      <c r="BE49" s="6"/>
      <c r="BF49" s="6"/>
    </row>
    <row r="50" spans="2:61" x14ac:dyDescent="0.3">
      <c r="B50" s="6"/>
      <c r="C50" s="6"/>
      <c r="D50" s="6"/>
      <c r="E50" s="14"/>
      <c r="F50" s="6"/>
      <c r="G50" s="6"/>
      <c r="H50" s="6"/>
      <c r="I50" s="14"/>
      <c r="J50" s="14"/>
      <c r="K50" s="14"/>
      <c r="L50" s="14"/>
      <c r="M50" s="14"/>
      <c r="N50" s="14"/>
      <c r="O50" s="6"/>
      <c r="P50" s="6"/>
      <c r="Q50" s="14"/>
      <c r="R50" s="6"/>
      <c r="S50" s="14"/>
      <c r="T50" s="14"/>
      <c r="U50" s="6"/>
      <c r="V50" s="6"/>
      <c r="W50" s="40" t="str">
        <f t="shared" si="30"/>
        <v/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474">
        <v>41</v>
      </c>
      <c r="AU50" s="39" t="str">
        <f t="shared" si="18"/>
        <v/>
      </c>
      <c r="AV50" s="39" t="str">
        <f t="shared" si="19"/>
        <v/>
      </c>
      <c r="AW50" s="39" t="str">
        <f t="shared" si="20"/>
        <v/>
      </c>
      <c r="AX50" s="231"/>
      <c r="AY50" s="6"/>
      <c r="AZ50" s="6"/>
      <c r="BA50" s="6"/>
      <c r="BB50" s="218"/>
      <c r="BC50" s="218"/>
      <c r="BD50" s="6"/>
      <c r="BE50" s="6"/>
      <c r="BF50" s="6"/>
    </row>
    <row r="51" spans="2:61" x14ac:dyDescent="0.3">
      <c r="B51" s="6"/>
      <c r="C51" s="6"/>
      <c r="D51" s="6"/>
      <c r="E51" s="14"/>
      <c r="F51" s="6"/>
      <c r="G51" s="6"/>
      <c r="H51" s="6"/>
      <c r="I51" s="14"/>
      <c r="J51" s="14"/>
      <c r="K51" s="14"/>
      <c r="L51" s="14"/>
      <c r="M51" s="14"/>
      <c r="N51" s="14"/>
      <c r="O51" s="6"/>
      <c r="P51" s="6"/>
      <c r="Q51" s="14"/>
      <c r="R51" s="6"/>
      <c r="S51" s="14"/>
      <c r="T51" s="14"/>
      <c r="U51" s="6"/>
      <c r="V51" s="6"/>
      <c r="W51" s="40" t="str">
        <f t="shared" si="30"/>
        <v/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40">
        <v>42</v>
      </c>
      <c r="AU51" s="39" t="str">
        <f t="shared" si="18"/>
        <v/>
      </c>
      <c r="AV51" s="39" t="str">
        <f t="shared" si="19"/>
        <v/>
      </c>
      <c r="AW51" s="39" t="str">
        <f t="shared" si="20"/>
        <v/>
      </c>
      <c r="AX51" s="231"/>
      <c r="AY51" s="6"/>
      <c r="AZ51" s="6"/>
      <c r="BA51" s="6"/>
      <c r="BB51" s="218"/>
      <c r="BC51" s="218"/>
      <c r="BD51" s="6"/>
      <c r="BE51" s="6"/>
      <c r="BF51" s="6"/>
    </row>
    <row r="52" spans="2:61" x14ac:dyDescent="0.3">
      <c r="B52" s="6"/>
      <c r="C52" s="6"/>
      <c r="D52" s="6"/>
      <c r="E52" s="14"/>
      <c r="F52" s="6"/>
      <c r="G52" s="6"/>
      <c r="H52" s="6"/>
      <c r="I52" s="14"/>
      <c r="J52" s="14"/>
      <c r="K52" s="14"/>
      <c r="L52" s="14"/>
      <c r="M52" s="14"/>
      <c r="N52" s="14"/>
      <c r="O52" s="6"/>
      <c r="P52" s="6"/>
      <c r="Q52" s="14"/>
      <c r="R52" s="6"/>
      <c r="S52" s="14"/>
      <c r="T52" s="14"/>
      <c r="U52" s="6"/>
      <c r="V52" s="6"/>
      <c r="W52" s="40" t="str">
        <f t="shared" si="30"/>
        <v/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40">
        <v>43</v>
      </c>
      <c r="AU52" s="39" t="str">
        <f t="shared" si="18"/>
        <v/>
      </c>
      <c r="AV52" s="39" t="str">
        <f t="shared" si="19"/>
        <v/>
      </c>
      <c r="AW52" s="39" t="str">
        <f t="shared" si="20"/>
        <v/>
      </c>
      <c r="AX52" s="231"/>
      <c r="AY52" s="6"/>
      <c r="AZ52" s="6"/>
      <c r="BA52" s="6"/>
      <c r="BB52" s="218"/>
      <c r="BC52" s="218"/>
      <c r="BD52" s="6"/>
      <c r="BE52" s="6"/>
      <c r="BF52" s="6"/>
    </row>
    <row r="53" spans="2:61" x14ac:dyDescent="0.3">
      <c r="B53" s="6"/>
      <c r="C53" s="6"/>
      <c r="D53" s="6"/>
      <c r="E53" s="14"/>
      <c r="F53" s="6"/>
      <c r="G53" s="6"/>
      <c r="H53" s="6"/>
      <c r="I53" s="14"/>
      <c r="J53" s="14"/>
      <c r="K53" s="14"/>
      <c r="L53" s="14"/>
      <c r="M53" s="14"/>
      <c r="N53" s="14"/>
      <c r="O53" s="6"/>
      <c r="P53" s="6"/>
      <c r="Q53" s="14"/>
      <c r="R53" s="6"/>
      <c r="S53" s="14"/>
      <c r="T53" s="14"/>
      <c r="U53" s="6"/>
      <c r="V53" s="6"/>
      <c r="W53" s="40" t="str">
        <f t="shared" si="30"/>
        <v/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40">
        <v>44</v>
      </c>
      <c r="AU53" s="39" t="str">
        <f t="shared" si="18"/>
        <v/>
      </c>
      <c r="AV53" s="39" t="str">
        <f t="shared" si="19"/>
        <v/>
      </c>
      <c r="AW53" s="39" t="str">
        <f t="shared" si="20"/>
        <v/>
      </c>
      <c r="AX53" s="231"/>
      <c r="AY53" s="6"/>
      <c r="AZ53" s="6"/>
      <c r="BA53" s="6"/>
      <c r="BB53" s="218"/>
      <c r="BC53" s="218"/>
      <c r="BD53" s="6"/>
      <c r="BE53" s="6"/>
      <c r="BF53" s="6"/>
    </row>
    <row r="54" spans="2:61" x14ac:dyDescent="0.3">
      <c r="B54" s="6"/>
      <c r="C54" s="6"/>
      <c r="D54" s="6"/>
      <c r="E54" s="14"/>
      <c r="F54" s="6"/>
      <c r="G54" s="6"/>
      <c r="H54" s="6"/>
      <c r="I54" s="14"/>
      <c r="J54" s="14"/>
      <c r="K54" s="14"/>
      <c r="L54" s="14"/>
      <c r="M54" s="14"/>
      <c r="N54" s="14"/>
      <c r="O54" s="6"/>
      <c r="P54" s="6"/>
      <c r="Q54" s="14"/>
      <c r="R54" s="6"/>
      <c r="S54" s="14"/>
      <c r="T54" s="14"/>
      <c r="U54" s="6"/>
      <c r="V54" s="6"/>
      <c r="W54" s="40" t="str">
        <f t="shared" si="30"/>
        <v/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40">
        <v>45</v>
      </c>
      <c r="AU54" s="39" t="str">
        <f t="shared" si="18"/>
        <v/>
      </c>
      <c r="AV54" s="39" t="str">
        <f t="shared" si="19"/>
        <v/>
      </c>
      <c r="AW54" s="39" t="str">
        <f t="shared" si="20"/>
        <v/>
      </c>
      <c r="AX54" s="231"/>
      <c r="AY54" s="6"/>
      <c r="AZ54" s="6"/>
      <c r="BA54" s="6"/>
      <c r="BB54" s="218"/>
      <c r="BC54" s="218"/>
      <c r="BD54" s="6"/>
      <c r="BE54" s="6"/>
      <c r="BF54" s="6"/>
    </row>
    <row r="55" spans="2:61" x14ac:dyDescent="0.3">
      <c r="B55" s="6"/>
      <c r="C55" s="6"/>
      <c r="D55" s="6"/>
      <c r="E55" s="14"/>
      <c r="F55" s="6"/>
      <c r="G55" s="6"/>
      <c r="H55" s="6"/>
      <c r="I55" s="14"/>
      <c r="J55" s="14"/>
      <c r="K55" s="14"/>
      <c r="L55" s="14"/>
      <c r="M55" s="14"/>
      <c r="N55" s="14"/>
      <c r="O55" s="6"/>
      <c r="P55" s="6"/>
      <c r="Q55" s="14"/>
      <c r="R55" s="6"/>
      <c r="S55" s="14"/>
      <c r="T55" s="14"/>
      <c r="U55" s="6"/>
      <c r="V55" s="6"/>
      <c r="W55" s="40" t="str">
        <f t="shared" si="30"/>
        <v/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40">
        <v>46</v>
      </c>
      <c r="AU55" s="39" t="str">
        <f t="shared" si="18"/>
        <v/>
      </c>
      <c r="AV55" s="39" t="str">
        <f t="shared" si="19"/>
        <v/>
      </c>
      <c r="AW55" s="39" t="str">
        <f t="shared" si="20"/>
        <v/>
      </c>
      <c r="AX55" s="231"/>
      <c r="AY55" s="6"/>
      <c r="AZ55" s="6"/>
      <c r="BA55" s="6"/>
      <c r="BB55" s="218"/>
      <c r="BC55" s="218"/>
      <c r="BD55" s="6"/>
      <c r="BE55" s="6"/>
      <c r="BF55" s="6"/>
    </row>
    <row r="56" spans="2:61" x14ac:dyDescent="0.3">
      <c r="B56" s="6"/>
      <c r="C56" s="6"/>
      <c r="D56" s="6"/>
      <c r="E56" s="14"/>
      <c r="F56" s="6"/>
      <c r="G56" s="6"/>
      <c r="H56" s="6"/>
      <c r="I56" s="14"/>
      <c r="J56" s="14"/>
      <c r="K56" s="14"/>
      <c r="L56" s="14"/>
      <c r="M56" s="14"/>
      <c r="N56" s="14"/>
      <c r="O56" s="6"/>
      <c r="P56" s="6"/>
      <c r="Q56" s="14"/>
      <c r="R56" s="6"/>
      <c r="S56" s="14"/>
      <c r="T56" s="14"/>
      <c r="U56" s="6"/>
      <c r="V56" s="6"/>
      <c r="W56" s="40" t="str">
        <f t="shared" si="30"/>
        <v/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474">
        <v>47</v>
      </c>
      <c r="AU56" s="39" t="str">
        <f t="shared" si="18"/>
        <v/>
      </c>
      <c r="AV56" s="39" t="str">
        <f t="shared" si="19"/>
        <v/>
      </c>
      <c r="AW56" s="39" t="str">
        <f t="shared" si="20"/>
        <v/>
      </c>
      <c r="AX56" s="231"/>
      <c r="AY56" s="6"/>
      <c r="AZ56" s="6"/>
      <c r="BA56" s="6"/>
      <c r="BB56" s="218"/>
      <c r="BC56" s="218"/>
      <c r="BD56" s="6"/>
      <c r="BE56" s="6"/>
      <c r="BF56" s="6"/>
    </row>
    <row r="57" spans="2:61" x14ac:dyDescent="0.3">
      <c r="B57" s="6"/>
      <c r="C57" s="6"/>
      <c r="D57" s="6"/>
      <c r="E57" s="14"/>
      <c r="F57" s="6"/>
      <c r="G57" s="6"/>
      <c r="H57" s="6"/>
      <c r="I57" s="14"/>
      <c r="J57" s="14"/>
      <c r="K57" s="14"/>
      <c r="L57" s="14"/>
      <c r="M57" s="14"/>
      <c r="N57" s="14"/>
      <c r="O57" s="6"/>
      <c r="P57" s="6"/>
      <c r="Q57" s="14"/>
      <c r="R57" s="6"/>
      <c r="S57" s="14"/>
      <c r="T57" s="14"/>
      <c r="U57" s="6"/>
      <c r="V57" s="6"/>
      <c r="W57" s="40" t="str">
        <f t="shared" si="30"/>
        <v/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40">
        <v>48</v>
      </c>
      <c r="AU57" s="39" t="str">
        <f t="shared" si="18"/>
        <v/>
      </c>
      <c r="AV57" s="39" t="str">
        <f t="shared" si="19"/>
        <v/>
      </c>
      <c r="AW57" s="39" t="str">
        <f t="shared" si="20"/>
        <v/>
      </c>
      <c r="AX57" s="231"/>
      <c r="AY57" s="6"/>
      <c r="AZ57" s="6"/>
      <c r="BA57" s="6"/>
      <c r="BB57" s="218"/>
      <c r="BC57" s="218"/>
      <c r="BD57" s="6"/>
      <c r="BE57" s="6"/>
      <c r="BF57" s="6"/>
    </row>
    <row r="58" spans="2:61" x14ac:dyDescent="0.3">
      <c r="B58" s="6"/>
      <c r="C58" s="6"/>
      <c r="D58" s="6"/>
      <c r="E58" s="14"/>
      <c r="F58" s="6"/>
      <c r="G58" s="6"/>
      <c r="H58" s="6"/>
      <c r="I58" s="14"/>
      <c r="J58" s="14"/>
      <c r="K58" s="14"/>
      <c r="L58" s="14"/>
      <c r="M58" s="14"/>
      <c r="N58" s="14"/>
      <c r="O58" s="6"/>
      <c r="P58" s="6"/>
      <c r="Q58" s="14"/>
      <c r="R58" s="6"/>
      <c r="S58" s="14"/>
      <c r="T58" s="14"/>
      <c r="U58" s="6"/>
      <c r="V58" s="6"/>
      <c r="W58" s="40" t="str">
        <f t="shared" si="30"/>
        <v/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40">
        <v>49</v>
      </c>
      <c r="AU58" s="39" t="str">
        <f t="shared" si="18"/>
        <v/>
      </c>
      <c r="AV58" s="39" t="str">
        <f t="shared" si="19"/>
        <v/>
      </c>
      <c r="AW58" s="39" t="str">
        <f t="shared" si="20"/>
        <v/>
      </c>
      <c r="AX58" s="231"/>
      <c r="AY58" s="6"/>
      <c r="AZ58" s="6"/>
      <c r="BA58" s="6"/>
      <c r="BB58" s="218"/>
      <c r="BC58" s="218"/>
      <c r="BD58" s="6"/>
      <c r="BE58" s="6"/>
      <c r="BF58" s="6"/>
    </row>
    <row r="59" spans="2:61" x14ac:dyDescent="0.3">
      <c r="B59" s="6"/>
      <c r="C59" s="6"/>
      <c r="D59" s="6"/>
      <c r="E59" s="14"/>
      <c r="F59" s="6"/>
      <c r="G59" s="6"/>
      <c r="H59" s="6"/>
      <c r="I59" s="14"/>
      <c r="J59" s="14"/>
      <c r="K59" s="14"/>
      <c r="L59" s="14"/>
      <c r="M59" s="14"/>
      <c r="N59" s="14"/>
      <c r="O59" s="6"/>
      <c r="P59" s="6"/>
      <c r="Q59" s="14"/>
      <c r="R59" s="6"/>
      <c r="S59" s="14"/>
      <c r="T59" s="14"/>
      <c r="U59" s="6"/>
      <c r="V59" s="6"/>
      <c r="W59" s="40" t="str">
        <f t="shared" si="30"/>
        <v/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40">
        <v>50</v>
      </c>
      <c r="AU59" s="39" t="str">
        <f t="shared" si="18"/>
        <v/>
      </c>
      <c r="AV59" s="39" t="str">
        <f t="shared" si="19"/>
        <v/>
      </c>
      <c r="AW59" s="39" t="str">
        <f t="shared" si="20"/>
        <v/>
      </c>
      <c r="AX59" s="231"/>
      <c r="AY59" s="6"/>
      <c r="AZ59" s="6"/>
      <c r="BA59" s="6"/>
      <c r="BB59" s="218"/>
      <c r="BC59" s="218"/>
      <c r="BD59" s="6"/>
      <c r="BE59" s="6"/>
      <c r="BF59" s="6"/>
    </row>
    <row r="60" spans="2:61" x14ac:dyDescent="0.3">
      <c r="B60" s="136" t="s">
        <v>269</v>
      </c>
      <c r="C60" s="137">
        <f>AVERAGE(C10:C59)</f>
        <v>34.270833333333329</v>
      </c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7">
        <f>AVERAGE(O10:O59)</f>
        <v>339.06178812500002</v>
      </c>
      <c r="P60" s="137"/>
      <c r="Q60" s="136"/>
      <c r="R60" s="136"/>
      <c r="S60" s="136"/>
      <c r="T60" s="136"/>
      <c r="U60" s="136"/>
      <c r="V60" s="136"/>
      <c r="W60" s="137" t="str">
        <f t="shared" si="30"/>
        <v/>
      </c>
      <c r="X60" s="136"/>
      <c r="Y60" s="209">
        <f>AVERAGE(Y10:Y59)</f>
        <v>0.70777777777777773</v>
      </c>
      <c r="Z60" s="209">
        <f t="shared" ref="Z60:AA60" si="32">AVERAGE(Z10:Z59)</f>
        <v>0.63150396825396826</v>
      </c>
      <c r="AA60" s="209">
        <f t="shared" si="32"/>
        <v>8.7041150793650797</v>
      </c>
      <c r="AB60" s="209">
        <f>AVERAGE(AB10:AB59)</f>
        <v>0.68767744239769635</v>
      </c>
      <c r="AC60" s="209">
        <f t="shared" ref="AC60:AD60" si="33">AVERAGE(AC10:AC59)</f>
        <v>0.60261971453742047</v>
      </c>
      <c r="AD60" s="209">
        <f t="shared" si="33"/>
        <v>8.259326232002028</v>
      </c>
      <c r="AE60" s="136"/>
      <c r="AF60" s="136"/>
      <c r="AG60" s="209">
        <f>AVERAGE(AG10:AG59)</f>
        <v>9.0708333333333335E-2</v>
      </c>
      <c r="AH60" s="209">
        <f t="shared" ref="AH60:AJ60" si="34">AVERAGE(AH10:AH59)</f>
        <v>0.25161111111111112</v>
      </c>
      <c r="AI60" s="209">
        <f t="shared" si="34"/>
        <v>7.324583333333333</v>
      </c>
      <c r="AJ60" s="209">
        <f t="shared" si="34"/>
        <v>2.4428571428571428E-2</v>
      </c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236">
        <f>AVERAGE(AU10:AU15)</f>
        <v>0.81758806547187923</v>
      </c>
      <c r="AV60" s="236">
        <f t="shared" ref="AV60:AW60" si="35">AVERAGE(AV10:AV15)</f>
        <v>0.59168777196566225</v>
      </c>
      <c r="AW60" s="236">
        <f t="shared" si="35"/>
        <v>0.13833121272083179</v>
      </c>
      <c r="AX60" s="232"/>
      <c r="AY60" s="208"/>
      <c r="AZ60" s="208"/>
      <c r="BA60" s="208"/>
      <c r="BB60" s="219"/>
      <c r="BC60" s="219"/>
      <c r="BD60" s="222"/>
      <c r="BE60" s="222"/>
      <c r="BF60" s="222"/>
    </row>
    <row r="61" spans="2:61" x14ac:dyDescent="0.3">
      <c r="B61" s="136" t="s">
        <v>18</v>
      </c>
      <c r="C61" s="137">
        <f>SUM(C10:C59)</f>
        <v>274.16666666666663</v>
      </c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7">
        <f>SUM(O10:O11)+SUM(P12:P59)</f>
        <v>2385.7535627500001</v>
      </c>
      <c r="P61" s="137"/>
      <c r="Q61" s="136"/>
      <c r="R61" s="136"/>
      <c r="S61" s="136"/>
      <c r="T61" s="136"/>
      <c r="U61" s="136"/>
      <c r="V61" s="136"/>
      <c r="W61" s="137" t="str">
        <f t="shared" si="30"/>
        <v/>
      </c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208"/>
      <c r="AW61" s="208"/>
      <c r="AX61" s="232"/>
      <c r="AY61" s="208"/>
      <c r="AZ61" s="208"/>
      <c r="BA61" s="208"/>
      <c r="BB61" s="219"/>
      <c r="BC61" s="219"/>
      <c r="BD61" s="225">
        <f>SUM(BD10:BD15)</f>
        <v>1095.5648448233333</v>
      </c>
      <c r="BE61" s="225">
        <f t="shared" ref="BE61:BF61" si="36">SUM(BE10:BE15)</f>
        <v>725.00730651032677</v>
      </c>
      <c r="BF61" s="225">
        <f t="shared" si="36"/>
        <v>2223.503301337189</v>
      </c>
      <c r="BG61" s="44"/>
      <c r="BH61" s="13"/>
      <c r="BI61" s="13"/>
    </row>
    <row r="62" spans="2:61" x14ac:dyDescent="0.3">
      <c r="O62" s="11"/>
      <c r="W62" s="40" t="str">
        <f t="shared" si="30"/>
        <v/>
      </c>
      <c r="X62" s="1" t="s">
        <v>206</v>
      </c>
      <c r="Y62" s="248">
        <f>MEDIAN(Y10:Y59)</f>
        <v>0.68400000000000005</v>
      </c>
      <c r="Z62" s="248">
        <f t="shared" ref="Z62:AA62" si="37">MEDIAN(Z10:Z59)</f>
        <v>0.65888888888888886</v>
      </c>
      <c r="AA62" s="248">
        <f t="shared" si="37"/>
        <v>9.051111111111112</v>
      </c>
      <c r="AB62" s="248">
        <f>MEDIAN(AB10:AB59)</f>
        <v>0.65897435796966009</v>
      </c>
      <c r="AC62" s="248">
        <f t="shared" ref="AC62:AD62" si="38">MEDIAN(AC10:AC59)</f>
        <v>0.56643603797540276</v>
      </c>
      <c r="AD62" s="248">
        <f t="shared" si="38"/>
        <v>8.950932119486005</v>
      </c>
      <c r="BD62" s="6"/>
      <c r="BE62" s="6"/>
      <c r="BF62" s="6"/>
      <c r="BG62" s="10"/>
      <c r="BH62" s="10"/>
      <c r="BI62" s="10"/>
    </row>
    <row r="63" spans="2:61" x14ac:dyDescent="0.3">
      <c r="W63" s="40" t="str">
        <f t="shared" si="30"/>
        <v/>
      </c>
      <c r="AM63" s="1">
        <f>(Y60*O61)*AU60</f>
        <v>1380.5655985768024</v>
      </c>
    </row>
    <row r="64" spans="2:61" x14ac:dyDescent="0.3">
      <c r="O64" s="11"/>
      <c r="Z64" s="138"/>
    </row>
    <row r="65" spans="9:56" x14ac:dyDescent="0.3">
      <c r="AP65" s="1002" t="s">
        <v>312</v>
      </c>
      <c r="AQ65" s="1002"/>
      <c r="AR65" s="1002"/>
      <c r="AS65" s="1002"/>
      <c r="AT65" s="254"/>
      <c r="BB65" s="1" t="s">
        <v>587</v>
      </c>
      <c r="BC65" s="138">
        <v>2400000</v>
      </c>
      <c r="BD65" s="713">
        <f>BD61*BC65</f>
        <v>2629355627.5759997</v>
      </c>
    </row>
    <row r="66" spans="9:56" x14ac:dyDescent="0.3">
      <c r="I66" s="227" t="s">
        <v>307</v>
      </c>
      <c r="J66" s="227"/>
      <c r="K66" s="227"/>
      <c r="L66" s="227" t="s">
        <v>308</v>
      </c>
      <c r="M66" s="227"/>
      <c r="N66" s="227"/>
      <c r="O66" s="227" t="s">
        <v>309</v>
      </c>
      <c r="P66" s="227"/>
      <c r="Q66" s="227" t="s">
        <v>310</v>
      </c>
      <c r="R66" s="227"/>
      <c r="S66" s="227"/>
      <c r="T66" s="227"/>
      <c r="U66" s="227"/>
      <c r="V66" s="227" t="s">
        <v>311</v>
      </c>
      <c r="AP66" s="227"/>
      <c r="AQ66" s="227" t="s">
        <v>254</v>
      </c>
      <c r="AR66" s="227" t="s">
        <v>255</v>
      </c>
      <c r="AS66" s="227" t="s">
        <v>256</v>
      </c>
      <c r="AT66" s="254"/>
    </row>
    <row r="67" spans="9:56" x14ac:dyDescent="0.3">
      <c r="I67" s="40">
        <f>SUM(C10:C15)</f>
        <v>197.73333333333329</v>
      </c>
      <c r="J67" s="40"/>
      <c r="K67" s="40"/>
      <c r="L67" s="40">
        <f>'Milling Down Time Hours'!P60</f>
        <v>139.19999999999999</v>
      </c>
      <c r="M67" s="40"/>
      <c r="N67" s="40"/>
      <c r="O67" s="40">
        <f>O61/I67</f>
        <v>12.065510263401892</v>
      </c>
      <c r="P67" s="40"/>
      <c r="Q67" s="40">
        <f>(O61/I68)</f>
        <v>289.57224632164537</v>
      </c>
      <c r="R67" s="40"/>
      <c r="S67" s="40"/>
      <c r="T67" s="40"/>
      <c r="U67" s="40"/>
      <c r="V67" s="40">
        <f>(I67+L67)/24</f>
        <v>14.038888888888886</v>
      </c>
      <c r="AP67" s="14" t="s">
        <v>333</v>
      </c>
      <c r="AQ67" s="135">
        <f>AVERAGE(Y10:Y15)</f>
        <v>0.7364814814814814</v>
      </c>
      <c r="AR67" s="135">
        <f t="shared" ref="AR67:AS67" si="39">AVERAGE(Z10:Z15)</f>
        <v>0.64749537037037042</v>
      </c>
      <c r="AS67" s="135">
        <f t="shared" si="39"/>
        <v>8.5190601851851842</v>
      </c>
      <c r="AT67" s="248"/>
    </row>
    <row r="68" spans="9:56" x14ac:dyDescent="0.3">
      <c r="I68" s="44">
        <f>I67/24</f>
        <v>8.2388888888888872</v>
      </c>
      <c r="J68" s="44"/>
      <c r="K68" s="44"/>
      <c r="AE68" s="1000" t="s">
        <v>261</v>
      </c>
      <c r="AF68" s="1000"/>
      <c r="AG68" s="1000"/>
      <c r="AH68" s="1000"/>
      <c r="AI68" s="1000"/>
      <c r="AP68" s="14" t="s">
        <v>202</v>
      </c>
      <c r="AQ68" s="135">
        <f>MEDIAN(Y10:Y15)</f>
        <v>0.69599999999999995</v>
      </c>
      <c r="AR68" s="135">
        <f t="shared" ref="AR68:AS68" si="40">MEDIAN(Z10:Z15)</f>
        <v>0.66361111111111115</v>
      </c>
      <c r="AS68" s="135">
        <f t="shared" si="40"/>
        <v>9.0461111111111094</v>
      </c>
      <c r="AT68" s="248"/>
    </row>
    <row r="69" spans="9:56" x14ac:dyDescent="0.3">
      <c r="AE69" s="1001" t="s">
        <v>260</v>
      </c>
      <c r="AF69" s="1001" t="s">
        <v>494</v>
      </c>
      <c r="AG69" s="1000" t="s">
        <v>262</v>
      </c>
      <c r="AH69" s="1000"/>
      <c r="AI69" s="1000"/>
      <c r="AP69" s="14" t="s">
        <v>204</v>
      </c>
      <c r="AQ69" s="135">
        <f>MIN(Y10:Y15)</f>
        <v>0.57608333333333328</v>
      </c>
      <c r="AR69" s="135">
        <f t="shared" ref="AR69:AS69" si="41">MIN(Z10:Z15)</f>
        <v>0.49666666666666665</v>
      </c>
      <c r="AS69" s="135">
        <f t="shared" si="41"/>
        <v>7.2224166666666676</v>
      </c>
      <c r="AT69" s="248"/>
    </row>
    <row r="70" spans="9:56" x14ac:dyDescent="0.3">
      <c r="I70" s="227" t="s">
        <v>307</v>
      </c>
      <c r="J70" s="227"/>
      <c r="K70" s="227"/>
      <c r="L70" s="40">
        <f>I67</f>
        <v>197.73333333333329</v>
      </c>
      <c r="M70" s="44"/>
      <c r="N70" s="44"/>
      <c r="P70" s="11"/>
      <c r="AE70" s="1001"/>
      <c r="AF70" s="1001"/>
      <c r="AG70" s="133" t="s">
        <v>254</v>
      </c>
      <c r="AH70" s="133" t="s">
        <v>255</v>
      </c>
      <c r="AI70" s="133" t="s">
        <v>256</v>
      </c>
      <c r="AP70" s="14" t="s">
        <v>203</v>
      </c>
      <c r="AQ70" s="135">
        <f>MAX(Y10:Y15)</f>
        <v>0.93455555555555547</v>
      </c>
      <c r="AR70" s="135">
        <f t="shared" ref="AR70:AS70" si="42">MAX(Z10:Z15)</f>
        <v>0.79333333333333333</v>
      </c>
      <c r="AS70" s="135">
        <f t="shared" si="42"/>
        <v>9.1508333333333347</v>
      </c>
      <c r="AT70" s="248"/>
    </row>
    <row r="71" spans="9:56" x14ac:dyDescent="0.3">
      <c r="I71" s="227" t="s">
        <v>308</v>
      </c>
      <c r="J71" s="227"/>
      <c r="K71" s="227"/>
      <c r="L71" s="40">
        <f>L67</f>
        <v>139.19999999999999</v>
      </c>
      <c r="M71" s="44"/>
      <c r="N71" s="44"/>
      <c r="AE71" s="14">
        <v>1</v>
      </c>
      <c r="AF71" s="14">
        <v>2</v>
      </c>
      <c r="AG71" s="432">
        <v>0.70799999999999996</v>
      </c>
      <c r="AH71" s="432">
        <v>0.53525</v>
      </c>
      <c r="AI71" s="432">
        <v>7.2224166666666676</v>
      </c>
    </row>
    <row r="72" spans="9:56" x14ac:dyDescent="0.3">
      <c r="I72" s="227" t="s">
        <v>315</v>
      </c>
      <c r="J72" s="227"/>
      <c r="K72" s="227"/>
      <c r="L72" s="40">
        <f>SUM(L70:L71)</f>
        <v>336.93333333333328</v>
      </c>
      <c r="M72" s="44"/>
      <c r="N72" s="44"/>
      <c r="AE72" s="14">
        <v>2</v>
      </c>
      <c r="AF72" s="14">
        <v>3</v>
      </c>
      <c r="AG72" s="432">
        <v>0.68400000000000005</v>
      </c>
      <c r="AH72" s="432">
        <v>0.79333333333333333</v>
      </c>
      <c r="AI72" s="432">
        <v>9.051111111111112</v>
      </c>
    </row>
    <row r="73" spans="9:56" x14ac:dyDescent="0.3">
      <c r="I73" s="227" t="s">
        <v>316</v>
      </c>
      <c r="J73" s="227"/>
      <c r="K73" s="227"/>
      <c r="L73" s="39">
        <f>L70/L72</f>
        <v>0.58686189157103286</v>
      </c>
      <c r="M73" s="981"/>
      <c r="N73" s="981"/>
      <c r="AE73" s="13"/>
    </row>
    <row r="74" spans="9:56" x14ac:dyDescent="0.3">
      <c r="I74" s="227" t="s">
        <v>37</v>
      </c>
      <c r="J74" s="227"/>
      <c r="K74" s="227"/>
      <c r="L74" s="432">
        <f>O67</f>
        <v>12.065510263401892</v>
      </c>
      <c r="M74" s="226"/>
      <c r="N74" s="226"/>
      <c r="AE74" s="13"/>
    </row>
    <row r="75" spans="9:56" x14ac:dyDescent="0.3">
      <c r="I75" s="227" t="s">
        <v>82</v>
      </c>
      <c r="J75" s="227"/>
      <c r="K75" s="227"/>
      <c r="L75" s="40">
        <f>Q67</f>
        <v>289.57224632164537</v>
      </c>
      <c r="M75" s="44"/>
      <c r="N75" s="44"/>
      <c r="AE75" s="13"/>
    </row>
    <row r="76" spans="9:56" x14ac:dyDescent="0.3">
      <c r="I76" s="227" t="s">
        <v>311</v>
      </c>
      <c r="J76" s="227"/>
      <c r="K76" s="227"/>
      <c r="L76" s="40">
        <f>V67</f>
        <v>14.038888888888886</v>
      </c>
      <c r="M76" s="44"/>
      <c r="N76" s="44"/>
      <c r="AE76" s="13"/>
    </row>
    <row r="77" spans="9:56" x14ac:dyDescent="0.3">
      <c r="I77" s="227" t="s">
        <v>332</v>
      </c>
      <c r="J77" s="227"/>
      <c r="K77" s="227"/>
      <c r="L77" s="39">
        <f>L67/(I67+L67)</f>
        <v>0.4131381084289672</v>
      </c>
      <c r="M77" s="981"/>
      <c r="N77" s="981"/>
    </row>
    <row r="92" spans="9:24" ht="28.8" x14ac:dyDescent="0.3">
      <c r="I92" s="133" t="s">
        <v>260</v>
      </c>
      <c r="J92" s="133" t="s">
        <v>642</v>
      </c>
      <c r="K92" s="133" t="s">
        <v>648</v>
      </c>
      <c r="L92" s="133" t="s">
        <v>294</v>
      </c>
      <c r="M92" s="133" t="s">
        <v>644</v>
      </c>
      <c r="N92" s="369" t="s">
        <v>646</v>
      </c>
      <c r="O92" s="1011" t="s">
        <v>320</v>
      </c>
      <c r="P92" s="1000" t="s">
        <v>641</v>
      </c>
      <c r="Q92" s="1000"/>
      <c r="R92" s="1000"/>
      <c r="S92" s="442"/>
      <c r="T92" s="442"/>
      <c r="U92" s="442"/>
      <c r="V92" s="1013" t="s">
        <v>327</v>
      </c>
      <c r="W92" s="1014"/>
      <c r="X92" s="1015"/>
    </row>
    <row r="93" spans="9:24" ht="28.8" x14ac:dyDescent="0.3">
      <c r="I93" s="133" t="s">
        <v>324</v>
      </c>
      <c r="J93" s="133" t="s">
        <v>643</v>
      </c>
      <c r="K93" s="133" t="s">
        <v>37</v>
      </c>
      <c r="L93" s="133" t="s">
        <v>649</v>
      </c>
      <c r="M93" s="369" t="s">
        <v>645</v>
      </c>
      <c r="N93" s="369" t="s">
        <v>647</v>
      </c>
      <c r="O93" s="1012"/>
      <c r="P93" s="133" t="s">
        <v>254</v>
      </c>
      <c r="Q93" s="133" t="s">
        <v>255</v>
      </c>
      <c r="R93" s="133" t="s">
        <v>256</v>
      </c>
      <c r="S93" s="133"/>
      <c r="T93" s="133"/>
      <c r="U93" s="133"/>
      <c r="V93" s="133" t="s">
        <v>254</v>
      </c>
      <c r="W93" s="133" t="s">
        <v>255</v>
      </c>
      <c r="X93" s="133" t="s">
        <v>256</v>
      </c>
    </row>
    <row r="94" spans="9:24" x14ac:dyDescent="0.3">
      <c r="I94" s="14">
        <v>1</v>
      </c>
      <c r="J94" s="40">
        <f>C10</f>
        <v>45.333333333333329</v>
      </c>
      <c r="K94" s="40">
        <f>O94/J94</f>
        <v>6.4480941176470585</v>
      </c>
      <c r="L94" s="14">
        <v>1</v>
      </c>
      <c r="M94" s="40">
        <f t="shared" ref="M94:M100" si="43">I10/U10</f>
        <v>5.1645804357904499</v>
      </c>
      <c r="N94" s="40">
        <f>I10</f>
        <v>557</v>
      </c>
      <c r="O94" s="40">
        <f>O10</f>
        <v>292.31359999999995</v>
      </c>
      <c r="P94" s="135">
        <f>Y10</f>
        <v>0.70799999999999996</v>
      </c>
      <c r="Q94" s="135">
        <f t="shared" ref="Q94:R100" si="44">Z10</f>
        <v>0.53525</v>
      </c>
      <c r="R94" s="135">
        <f t="shared" si="44"/>
        <v>7.2224166666666676</v>
      </c>
      <c r="S94" s="135"/>
      <c r="T94" s="135"/>
      <c r="U94" s="135"/>
      <c r="V94" s="135">
        <f>AG10</f>
        <v>0.11299999999999999</v>
      </c>
      <c r="W94" s="135">
        <f t="shared" ref="W94:X98" si="45">AH10</f>
        <v>0.17</v>
      </c>
      <c r="X94" s="135">
        <f t="shared" si="45"/>
        <v>6.55</v>
      </c>
    </row>
    <row r="95" spans="9:24" x14ac:dyDescent="0.3">
      <c r="I95" s="14">
        <v>2</v>
      </c>
      <c r="J95" s="40">
        <f t="shared" ref="J95:J100" si="46">C11</f>
        <v>45</v>
      </c>
      <c r="K95" s="40">
        <f>O95/J95</f>
        <v>6.6698255555555557</v>
      </c>
      <c r="L95" s="14">
        <v>2</v>
      </c>
      <c r="M95" s="40">
        <f t="shared" si="43"/>
        <v>4.9976819656930926</v>
      </c>
      <c r="N95" s="40">
        <f t="shared" ref="N95:N100" si="47">I11</f>
        <v>539</v>
      </c>
      <c r="O95" s="40">
        <f>O11</f>
        <v>300.14215000000002</v>
      </c>
      <c r="P95" s="135">
        <f t="shared" ref="P95:P98" si="48">Y11</f>
        <v>0.68400000000000005</v>
      </c>
      <c r="Q95" s="135">
        <f t="shared" si="44"/>
        <v>0.79333333333333333</v>
      </c>
      <c r="R95" s="135">
        <f t="shared" si="44"/>
        <v>9.051111111111112</v>
      </c>
      <c r="S95" s="135"/>
      <c r="T95" s="135"/>
      <c r="U95" s="135"/>
      <c r="V95" s="135">
        <f t="shared" ref="V95:V98" si="49">AG11</f>
        <v>5.5749999999999994E-2</v>
      </c>
      <c r="W95" s="135">
        <f t="shared" si="45"/>
        <v>0.25</v>
      </c>
      <c r="X95" s="135">
        <f t="shared" si="45"/>
        <v>8.3524999999999991</v>
      </c>
    </row>
    <row r="96" spans="9:24" x14ac:dyDescent="0.3">
      <c r="I96" s="14">
        <v>3</v>
      </c>
      <c r="J96" s="40">
        <f t="shared" si="46"/>
        <v>47.333333333333329</v>
      </c>
      <c r="K96" s="40">
        <f>O96/J96</f>
        <v>6.9078344419014108</v>
      </c>
      <c r="L96" s="14">
        <v>3</v>
      </c>
      <c r="M96" s="40">
        <f t="shared" si="43"/>
        <v>5.9990727862772371</v>
      </c>
      <c r="N96" s="40">
        <f t="shared" si="47"/>
        <v>647</v>
      </c>
      <c r="O96" s="40">
        <f>P12</f>
        <v>326.97083025000006</v>
      </c>
      <c r="P96" s="135">
        <f t="shared" si="48"/>
        <v>0.93455555555555547</v>
      </c>
      <c r="Q96" s="135">
        <f t="shared" si="44"/>
        <v>0.65888888888888886</v>
      </c>
      <c r="R96" s="135">
        <f t="shared" si="44"/>
        <v>9.0688888888888908</v>
      </c>
      <c r="S96" s="135"/>
      <c r="T96" s="135"/>
      <c r="U96" s="135"/>
      <c r="V96" s="135">
        <f t="shared" si="49"/>
        <v>9.816666666666668E-2</v>
      </c>
      <c r="W96" s="135">
        <f t="shared" si="45"/>
        <v>0.23333333333333331</v>
      </c>
      <c r="X96" s="135">
        <f t="shared" si="45"/>
        <v>8.9633333333333329</v>
      </c>
    </row>
    <row r="97" spans="9:24" x14ac:dyDescent="0.3">
      <c r="I97" s="14">
        <v>4</v>
      </c>
      <c r="J97" s="40">
        <f t="shared" si="46"/>
        <v>32.049999999999997</v>
      </c>
      <c r="K97" s="40">
        <f>O97/J97</f>
        <v>9.8887769110764445</v>
      </c>
      <c r="L97" s="14">
        <v>4</v>
      </c>
      <c r="M97" s="40">
        <f t="shared" si="43"/>
        <v>5.9990727862772371</v>
      </c>
      <c r="N97" s="40">
        <f t="shared" si="47"/>
        <v>647</v>
      </c>
      <c r="O97" s="40">
        <f t="shared" ref="O97:O98" si="50">P13</f>
        <v>316.93530000000004</v>
      </c>
      <c r="P97" s="135">
        <f t="shared" si="48"/>
        <v>0.92891666666666661</v>
      </c>
      <c r="Q97" s="135">
        <f t="shared" si="44"/>
        <v>0.73249999999999993</v>
      </c>
      <c r="R97" s="135">
        <f t="shared" si="44"/>
        <v>9.1508333333333347</v>
      </c>
      <c r="S97" s="135"/>
      <c r="T97" s="135"/>
      <c r="U97" s="135"/>
      <c r="V97" s="135">
        <f t="shared" si="49"/>
        <v>0.10916666666666668</v>
      </c>
      <c r="W97" s="135">
        <f t="shared" si="45"/>
        <v>0.24</v>
      </c>
      <c r="X97" s="135">
        <f t="shared" si="45"/>
        <v>5.1633333333333331</v>
      </c>
    </row>
    <row r="98" spans="9:24" x14ac:dyDescent="0.3">
      <c r="I98" s="14">
        <v>5</v>
      </c>
      <c r="J98" s="40">
        <f t="shared" si="46"/>
        <v>26.016666666666666</v>
      </c>
      <c r="K98" s="40">
        <f>O98/J98</f>
        <v>10.262106342088407</v>
      </c>
      <c r="L98" s="14">
        <v>5</v>
      </c>
      <c r="M98" s="40">
        <f t="shared" si="43"/>
        <v>5.9990727862772371</v>
      </c>
      <c r="N98" s="40">
        <f t="shared" si="47"/>
        <v>647</v>
      </c>
      <c r="O98" s="40">
        <f t="shared" si="50"/>
        <v>266.98580000000004</v>
      </c>
      <c r="P98" s="135">
        <f t="shared" si="48"/>
        <v>0.58733333333333337</v>
      </c>
      <c r="Q98" s="135">
        <f t="shared" si="44"/>
        <v>0.49666666666666665</v>
      </c>
      <c r="R98" s="135">
        <f t="shared" si="44"/>
        <v>9.0411111111111087</v>
      </c>
      <c r="S98" s="135"/>
      <c r="T98" s="135"/>
      <c r="U98" s="135"/>
      <c r="V98" s="135">
        <f t="shared" si="49"/>
        <v>0.12466666666666666</v>
      </c>
      <c r="W98" s="135">
        <f t="shared" si="45"/>
        <v>0.37833333333333335</v>
      </c>
      <c r="X98" s="135">
        <f t="shared" si="45"/>
        <v>7.5183333333333335</v>
      </c>
    </row>
    <row r="99" spans="9:24" x14ac:dyDescent="0.3">
      <c r="I99" s="14">
        <v>6</v>
      </c>
      <c r="J99" s="40">
        <f t="shared" si="46"/>
        <v>2</v>
      </c>
      <c r="K99" s="40"/>
      <c r="L99" s="14">
        <v>6</v>
      </c>
      <c r="M99" s="40">
        <f t="shared" si="43"/>
        <v>7.7422345850718592</v>
      </c>
      <c r="N99" s="40">
        <f t="shared" si="47"/>
        <v>835</v>
      </c>
      <c r="O99" s="40">
        <f>P15</f>
        <v>277.03691250000003</v>
      </c>
      <c r="P99" s="135">
        <f>Y15</f>
        <v>0.57608333333333328</v>
      </c>
      <c r="Q99" s="135">
        <f t="shared" si="44"/>
        <v>0.66833333333333333</v>
      </c>
      <c r="R99" s="135">
        <f t="shared" si="44"/>
        <v>7.58</v>
      </c>
      <c r="S99" s="135"/>
      <c r="T99" s="135"/>
      <c r="U99" s="135"/>
      <c r="V99" s="135"/>
      <c r="W99" s="135"/>
      <c r="X99" s="135"/>
    </row>
    <row r="100" spans="9:24" x14ac:dyDescent="0.3">
      <c r="I100" s="14">
        <v>7</v>
      </c>
      <c r="J100" s="40">
        <f t="shared" si="46"/>
        <v>29.5</v>
      </c>
      <c r="K100" s="40">
        <f>O100/J100</f>
        <v>8.3416093220338983</v>
      </c>
      <c r="L100" s="14">
        <v>7</v>
      </c>
      <c r="M100" s="40">
        <f t="shared" si="43"/>
        <v>6.9995363931386185</v>
      </c>
      <c r="N100" s="40">
        <f t="shared" si="47"/>
        <v>754.9</v>
      </c>
      <c r="O100" s="40">
        <f>P16</f>
        <v>246.07747500000002</v>
      </c>
      <c r="P100" s="135">
        <f>Y16</f>
        <v>0.53555555555555556</v>
      </c>
      <c r="Q100" s="135">
        <f t="shared" si="44"/>
        <v>0.53555555555555556</v>
      </c>
      <c r="R100" s="135">
        <f t="shared" si="44"/>
        <v>9.8144444444444439</v>
      </c>
      <c r="S100" s="135"/>
      <c r="T100" s="135"/>
      <c r="U100" s="135"/>
      <c r="V100" s="135"/>
      <c r="W100" s="135"/>
      <c r="X100" s="135"/>
    </row>
    <row r="101" spans="9:24" x14ac:dyDescent="0.3">
      <c r="I101" s="15" t="s">
        <v>325</v>
      </c>
      <c r="J101" s="238">
        <f>AVERAGE(J94:J98,J100)</f>
        <v>37.538888888888884</v>
      </c>
      <c r="K101" s="238">
        <f>AVERAGE(K94:K100)</f>
        <v>8.0863744483837952</v>
      </c>
      <c r="L101" s="15"/>
      <c r="M101" s="15"/>
      <c r="N101" s="15"/>
      <c r="O101" s="238">
        <f>AVERAGE(O94:O100)</f>
        <v>289.49458110714284</v>
      </c>
      <c r="P101" s="246">
        <f>AVERAGE(P94:P100)</f>
        <v>0.70777777777777773</v>
      </c>
      <c r="Q101" s="246">
        <f t="shared" ref="Q101:R101" si="51">AVERAGE(Q94:Q100)</f>
        <v>0.63150396825396826</v>
      </c>
      <c r="R101" s="246">
        <f t="shared" si="51"/>
        <v>8.7041150793650797</v>
      </c>
      <c r="S101" s="246"/>
      <c r="T101" s="246"/>
      <c r="U101" s="246"/>
      <c r="V101" s="246">
        <f>AVERAGE(V94:V98)</f>
        <v>0.10015</v>
      </c>
      <c r="W101" s="246">
        <f t="shared" ref="W101:X101" si="52">AVERAGE(W94:W98)</f>
        <v>0.25433333333333336</v>
      </c>
      <c r="X101" s="246">
        <f t="shared" si="52"/>
        <v>7.3094999999999999</v>
      </c>
    </row>
    <row r="102" spans="9:24" x14ac:dyDescent="0.3">
      <c r="I102" s="15" t="s">
        <v>326</v>
      </c>
      <c r="J102" s="15"/>
      <c r="K102" s="15"/>
      <c r="L102" s="15"/>
      <c r="M102" s="15"/>
      <c r="N102" s="15"/>
      <c r="O102" s="238">
        <f>SUM(O94:O100)</f>
        <v>2026.46206775</v>
      </c>
      <c r="P102" s="15"/>
      <c r="Q102" s="15"/>
      <c r="R102" s="15"/>
      <c r="S102" s="15"/>
      <c r="T102" s="15"/>
      <c r="U102" s="15"/>
      <c r="V102" s="15"/>
      <c r="W102" s="15"/>
      <c r="X102" s="15"/>
    </row>
  </sheetData>
  <mergeCells count="41">
    <mergeCell ref="O92:O93"/>
    <mergeCell ref="V92:X92"/>
    <mergeCell ref="P92:R92"/>
    <mergeCell ref="H7:H9"/>
    <mergeCell ref="D2:AG2"/>
    <mergeCell ref="D3:AG3"/>
    <mergeCell ref="AB7:AD7"/>
    <mergeCell ref="I7:I9"/>
    <mergeCell ref="L7:L9"/>
    <mergeCell ref="O7:O9"/>
    <mergeCell ref="W7:W9"/>
    <mergeCell ref="D4:AG4"/>
    <mergeCell ref="Y7:AA7"/>
    <mergeCell ref="Y8:AA8"/>
    <mergeCell ref="Q7:Q9"/>
    <mergeCell ref="AE7:AE9"/>
    <mergeCell ref="AB8:AD8"/>
    <mergeCell ref="AF7:AF9"/>
    <mergeCell ref="B7:B9"/>
    <mergeCell ref="D7:D9"/>
    <mergeCell ref="E7:E9"/>
    <mergeCell ref="F7:F9"/>
    <mergeCell ref="G7:G9"/>
    <mergeCell ref="AJ8:AL8"/>
    <mergeCell ref="AG7:AL7"/>
    <mergeCell ref="BD7:BF7"/>
    <mergeCell ref="BD8:BF8"/>
    <mergeCell ref="AP7:AR7"/>
    <mergeCell ref="AP8:AR8"/>
    <mergeCell ref="AZ7:BB7"/>
    <mergeCell ref="AZ8:BB8"/>
    <mergeCell ref="AM7:AO7"/>
    <mergeCell ref="AM8:AO8"/>
    <mergeCell ref="AU7:AW8"/>
    <mergeCell ref="AY7:AY8"/>
    <mergeCell ref="AG8:AI8"/>
    <mergeCell ref="AG69:AI69"/>
    <mergeCell ref="AE68:AI68"/>
    <mergeCell ref="AE69:AE70"/>
    <mergeCell ref="AF69:AF70"/>
    <mergeCell ref="AP65:AS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009" t="s">
        <v>71</v>
      </c>
      <c r="C3" s="1009" t="s">
        <v>289</v>
      </c>
      <c r="D3" s="1009" t="s">
        <v>290</v>
      </c>
      <c r="E3" s="223" t="s">
        <v>293</v>
      </c>
      <c r="F3" s="223" t="s">
        <v>294</v>
      </c>
      <c r="G3" s="1013" t="s">
        <v>253</v>
      </c>
      <c r="H3" s="1014"/>
      <c r="I3" s="1014"/>
      <c r="J3" s="1015"/>
      <c r="K3" s="1001" t="s">
        <v>260</v>
      </c>
    </row>
    <row r="4" spans="2:20" x14ac:dyDescent="0.3">
      <c r="B4" s="1019"/>
      <c r="C4" s="1019"/>
      <c r="D4" s="1019"/>
      <c r="E4" s="224" t="s">
        <v>55</v>
      </c>
      <c r="F4" s="224" t="s">
        <v>295</v>
      </c>
      <c r="G4" s="1013" t="s">
        <v>266</v>
      </c>
      <c r="H4" s="1014"/>
      <c r="I4" s="1015"/>
      <c r="J4" s="133" t="s">
        <v>259</v>
      </c>
      <c r="K4" s="1001"/>
      <c r="O4" s="15" t="s">
        <v>486</v>
      </c>
      <c r="P4" s="15" t="s">
        <v>260</v>
      </c>
      <c r="Q4" s="450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10"/>
      <c r="C5" s="1010"/>
      <c r="D5" s="1010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001"/>
      <c r="O5" s="498" t="s">
        <v>487</v>
      </c>
      <c r="P5" s="1211">
        <v>1</v>
      </c>
      <c r="Q5" s="653">
        <v>46268</v>
      </c>
      <c r="R5" s="498">
        <v>7.8E-2</v>
      </c>
      <c r="S5" s="498">
        <v>0.6</v>
      </c>
      <c r="T5" s="498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8" t="s">
        <v>488</v>
      </c>
      <c r="P6" s="1204"/>
      <c r="Q6" s="653">
        <v>46268</v>
      </c>
      <c r="R6" s="498">
        <v>0.38</v>
      </c>
      <c r="S6" s="498">
        <v>0.59</v>
      </c>
      <c r="T6" s="498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2">
        <v>2.9000000000000001E-2</v>
      </c>
      <c r="K7" s="14">
        <v>2</v>
      </c>
      <c r="O7" s="498" t="s">
        <v>489</v>
      </c>
      <c r="P7" s="1204"/>
      <c r="Q7" s="653">
        <v>46268</v>
      </c>
      <c r="R7" s="498">
        <v>3.7999999999999999E-2</v>
      </c>
      <c r="S7" s="498">
        <v>0.61</v>
      </c>
      <c r="T7" s="498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8" t="s">
        <v>490</v>
      </c>
      <c r="P8" s="1205"/>
      <c r="Q8" s="653">
        <v>46268</v>
      </c>
      <c r="R8" s="498">
        <v>6.9000000000000006E-2</v>
      </c>
      <c r="S8" s="498">
        <v>0.67</v>
      </c>
      <c r="T8" s="498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3" t="s">
        <v>487</v>
      </c>
      <c r="P9" s="1212">
        <v>2</v>
      </c>
      <c r="Q9" s="654">
        <v>46269</v>
      </c>
      <c r="R9" s="503">
        <v>3.4000000000000002E-2</v>
      </c>
      <c r="S9" s="503">
        <v>0.26</v>
      </c>
      <c r="T9" s="503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3" t="s">
        <v>488</v>
      </c>
      <c r="P10" s="1213"/>
      <c r="Q10" s="654">
        <v>46269</v>
      </c>
      <c r="R10" s="503">
        <v>7.9000000000000001E-2</v>
      </c>
      <c r="S10" s="503">
        <v>0.25</v>
      </c>
      <c r="T10" s="503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3" t="s">
        <v>489</v>
      </c>
      <c r="P11" s="1213"/>
      <c r="Q11" s="654">
        <v>46269</v>
      </c>
      <c r="R11" s="503">
        <v>3.6999999999999998E-2</v>
      </c>
      <c r="S11" s="503">
        <v>0.25</v>
      </c>
      <c r="T11" s="503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3" t="s">
        <v>490</v>
      </c>
      <c r="P12" s="1214"/>
      <c r="Q12" s="654">
        <v>46269</v>
      </c>
      <c r="R12" s="503">
        <v>7.2999999999999995E-2</v>
      </c>
      <c r="S12" s="503">
        <v>0.24</v>
      </c>
      <c r="T12" s="503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8" t="s">
        <v>540</v>
      </c>
      <c r="P13" s="1211">
        <v>3</v>
      </c>
      <c r="Q13" s="653">
        <v>46274</v>
      </c>
      <c r="R13" s="498">
        <v>0.11700000000000001</v>
      </c>
      <c r="S13" s="498">
        <v>0.31</v>
      </c>
      <c r="T13" s="498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8" t="s">
        <v>541</v>
      </c>
      <c r="P14" s="1204"/>
      <c r="Q14" s="653">
        <v>46274</v>
      </c>
      <c r="R14" s="498">
        <v>0.16500000000000001</v>
      </c>
      <c r="S14" s="498">
        <v>0.36</v>
      </c>
      <c r="T14" s="498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8" t="s">
        <v>542</v>
      </c>
      <c r="P15" s="1204"/>
      <c r="Q15" s="653">
        <v>46274</v>
      </c>
      <c r="R15" s="498">
        <v>0.13</v>
      </c>
      <c r="S15" s="498">
        <v>0.31</v>
      </c>
      <c r="T15" s="498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8" t="s">
        <v>487</v>
      </c>
      <c r="P16" s="1204"/>
      <c r="Q16" s="653">
        <v>46274</v>
      </c>
      <c r="R16" s="498">
        <v>8.3000000000000004E-2</v>
      </c>
      <c r="S16" s="498">
        <v>0.15</v>
      </c>
      <c r="T16" s="498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8" t="s">
        <v>488</v>
      </c>
      <c r="P17" s="1204"/>
      <c r="Q17" s="653">
        <v>46274</v>
      </c>
      <c r="R17" s="498">
        <v>4.2000000000000003E-2</v>
      </c>
      <c r="S17" s="498">
        <v>0.13</v>
      </c>
      <c r="T17" s="498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8" t="s">
        <v>489</v>
      </c>
      <c r="P18" s="1205"/>
      <c r="Q18" s="653">
        <v>46274</v>
      </c>
      <c r="R18" s="498">
        <v>5.1999999999999998E-2</v>
      </c>
      <c r="S18" s="498">
        <v>0.14000000000000001</v>
      </c>
      <c r="T18" s="498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3" t="s">
        <v>540</v>
      </c>
      <c r="P19" s="1212">
        <v>4</v>
      </c>
      <c r="Q19" s="654">
        <v>46275</v>
      </c>
      <c r="R19" s="503">
        <v>0.124</v>
      </c>
      <c r="S19" s="503">
        <v>0.22</v>
      </c>
      <c r="T19" s="503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3" t="s">
        <v>541</v>
      </c>
      <c r="P20" s="1213"/>
      <c r="Q20" s="654">
        <v>46275</v>
      </c>
      <c r="R20" s="503">
        <v>0.14499999999999999</v>
      </c>
      <c r="S20" s="503">
        <v>0.25</v>
      </c>
      <c r="T20" s="503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3" t="s">
        <v>542</v>
      </c>
      <c r="P21" s="1213"/>
      <c r="Q21" s="654">
        <v>46275</v>
      </c>
      <c r="R21" s="503">
        <v>0.13100000000000001</v>
      </c>
      <c r="S21" s="503">
        <v>0.25</v>
      </c>
      <c r="T21" s="503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3" t="s">
        <v>487</v>
      </c>
      <c r="P22" s="1213"/>
      <c r="Q22" s="654">
        <v>46275</v>
      </c>
      <c r="R22" s="503">
        <v>6.4000000000000001E-2</v>
      </c>
      <c r="S22" s="503">
        <v>0.22</v>
      </c>
      <c r="T22" s="503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3" t="s">
        <v>488</v>
      </c>
      <c r="P23" s="1213"/>
      <c r="Q23" s="654">
        <v>46275</v>
      </c>
      <c r="R23" s="503">
        <v>9.5000000000000001E-2</v>
      </c>
      <c r="S23" s="503">
        <v>0.25</v>
      </c>
      <c r="T23" s="503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3" t="s">
        <v>489</v>
      </c>
      <c r="P24" s="1213"/>
      <c r="Q24" s="654">
        <v>46275</v>
      </c>
      <c r="R24" s="503">
        <v>9.6000000000000002E-2</v>
      </c>
      <c r="S24" s="503">
        <v>0.25</v>
      </c>
      <c r="T24" s="503">
        <v>4.58</v>
      </c>
    </row>
    <row r="25" spans="2:20" x14ac:dyDescent="0.3">
      <c r="O25" s="503" t="s">
        <v>540</v>
      </c>
      <c r="P25" s="1213"/>
      <c r="Q25" s="654">
        <v>46276</v>
      </c>
      <c r="R25" s="503">
        <v>4.4999999999999998E-2</v>
      </c>
      <c r="S25" s="503">
        <v>0.21</v>
      </c>
      <c r="T25" s="503">
        <v>4.1100000000000003</v>
      </c>
    </row>
    <row r="26" spans="2:20" x14ac:dyDescent="0.3">
      <c r="O26" s="503" t="s">
        <v>541</v>
      </c>
      <c r="P26" s="1213"/>
      <c r="Q26" s="654">
        <v>46276</v>
      </c>
      <c r="R26" s="503">
        <v>4.1000000000000002E-2</v>
      </c>
      <c r="S26" s="503">
        <v>0.44</v>
      </c>
      <c r="T26" s="503">
        <v>6.67</v>
      </c>
    </row>
    <row r="27" spans="2:20" x14ac:dyDescent="0.3">
      <c r="O27" s="503" t="s">
        <v>542</v>
      </c>
      <c r="P27" s="1214"/>
      <c r="Q27" s="654">
        <v>46276</v>
      </c>
      <c r="R27" s="503">
        <v>6.3E-2</v>
      </c>
      <c r="S27" s="503">
        <v>0.48</v>
      </c>
      <c r="T27" s="503">
        <v>6.84</v>
      </c>
    </row>
    <row r="28" spans="2:20" x14ac:dyDescent="0.3">
      <c r="O28" s="595" t="s">
        <v>540</v>
      </c>
      <c r="P28" s="1211">
        <v>5</v>
      </c>
      <c r="Q28" s="632">
        <v>46277</v>
      </c>
      <c r="R28" s="595">
        <v>4.4999999999999998E-2</v>
      </c>
      <c r="S28" s="595">
        <v>0.41</v>
      </c>
      <c r="T28" s="595">
        <v>7.15</v>
      </c>
    </row>
    <row r="29" spans="2:20" x14ac:dyDescent="0.3">
      <c r="O29" s="595" t="s">
        <v>541</v>
      </c>
      <c r="P29" s="1204"/>
      <c r="Q29" s="632">
        <v>46277</v>
      </c>
      <c r="R29" s="595">
        <v>4.1000000000000002E-2</v>
      </c>
      <c r="S29" s="595">
        <v>0.6</v>
      </c>
      <c r="T29" s="595">
        <v>7.18</v>
      </c>
    </row>
    <row r="30" spans="2:20" x14ac:dyDescent="0.3">
      <c r="O30" s="595" t="s">
        <v>542</v>
      </c>
      <c r="P30" s="1204"/>
      <c r="Q30" s="632">
        <v>46277</v>
      </c>
      <c r="R30" s="595">
        <v>6.3E-2</v>
      </c>
      <c r="S30" s="595">
        <v>0.27</v>
      </c>
      <c r="T30" s="595">
        <v>7.26</v>
      </c>
    </row>
    <row r="31" spans="2:20" x14ac:dyDescent="0.3">
      <c r="O31" s="595" t="s">
        <v>487</v>
      </c>
      <c r="P31" s="1204"/>
      <c r="Q31" s="632">
        <v>46277</v>
      </c>
      <c r="R31" s="595">
        <v>0.24299999999999999</v>
      </c>
      <c r="S31" s="595">
        <v>0.39</v>
      </c>
      <c r="T31" s="595">
        <v>7.74</v>
      </c>
    </row>
    <row r="32" spans="2:20" x14ac:dyDescent="0.3">
      <c r="O32" s="595" t="s">
        <v>488</v>
      </c>
      <c r="P32" s="1204"/>
      <c r="Q32" s="632">
        <v>46277</v>
      </c>
      <c r="R32" s="595">
        <v>0.21099999999999999</v>
      </c>
      <c r="S32" s="595">
        <v>0.27</v>
      </c>
      <c r="T32" s="595">
        <v>8.23</v>
      </c>
    </row>
    <row r="33" spans="15:20" x14ac:dyDescent="0.3">
      <c r="O33" s="595" t="s">
        <v>489</v>
      </c>
      <c r="P33" s="1205"/>
      <c r="Q33" s="632">
        <v>46277</v>
      </c>
      <c r="R33" s="595">
        <v>0.14499999999999999</v>
      </c>
      <c r="S33" s="595">
        <v>0.33</v>
      </c>
      <c r="T33" s="595">
        <v>7.55</v>
      </c>
    </row>
    <row r="34" spans="15:20" x14ac:dyDescent="0.3">
      <c r="O34" s="633" t="s">
        <v>487</v>
      </c>
      <c r="P34" s="503">
        <v>6</v>
      </c>
      <c r="Q34" s="938">
        <v>46278</v>
      </c>
      <c r="R34" s="634">
        <v>8.5999999999999993E-2</v>
      </c>
      <c r="S34" s="634">
        <v>0.11</v>
      </c>
      <c r="T34" s="634">
        <v>11.708</v>
      </c>
    </row>
    <row r="35" spans="15:20" x14ac:dyDescent="0.3">
      <c r="O35" s="633" t="s">
        <v>488</v>
      </c>
      <c r="P35" s="503">
        <v>6</v>
      </c>
      <c r="Q35" s="938">
        <v>46278</v>
      </c>
      <c r="R35" s="634">
        <v>0.05</v>
      </c>
      <c r="S35" s="634">
        <v>0.20300000000000001</v>
      </c>
      <c r="T35" s="634">
        <v>13.382999999999999</v>
      </c>
    </row>
    <row r="36" spans="15:20" x14ac:dyDescent="0.3">
      <c r="O36" s="633" t="s">
        <v>489</v>
      </c>
      <c r="P36" s="503">
        <v>6</v>
      </c>
      <c r="Q36" s="938">
        <v>46278</v>
      </c>
      <c r="R36" s="634">
        <v>1.9E-2</v>
      </c>
      <c r="S36" s="634">
        <v>6.5000000000000002E-2</v>
      </c>
      <c r="T36" s="634">
        <v>12.15</v>
      </c>
    </row>
    <row r="37" spans="15:20" x14ac:dyDescent="0.3">
      <c r="O37" s="498" t="s">
        <v>540</v>
      </c>
      <c r="P37" s="498">
        <v>6</v>
      </c>
      <c r="Q37" s="653">
        <v>46279</v>
      </c>
      <c r="R37" s="498">
        <v>4.8000000000000001E-2</v>
      </c>
      <c r="S37" s="498">
        <v>0.35</v>
      </c>
      <c r="T37" s="498">
        <v>7.47</v>
      </c>
    </row>
    <row r="38" spans="15:20" x14ac:dyDescent="0.3">
      <c r="O38" s="498" t="s">
        <v>541</v>
      </c>
      <c r="P38" s="498">
        <v>6</v>
      </c>
      <c r="Q38" s="653">
        <v>46279</v>
      </c>
      <c r="R38" s="498">
        <v>3.5000000000000003E-2</v>
      </c>
      <c r="S38" s="498">
        <v>0.35</v>
      </c>
      <c r="T38" s="498">
        <v>7.36</v>
      </c>
    </row>
    <row r="39" spans="15:20" x14ac:dyDescent="0.3">
      <c r="O39" s="498" t="s">
        <v>542</v>
      </c>
      <c r="P39" s="498">
        <v>6</v>
      </c>
      <c r="Q39" s="653">
        <v>46279</v>
      </c>
      <c r="R39" s="498">
        <v>2.3E-2</v>
      </c>
      <c r="S39" s="498">
        <v>0.35</v>
      </c>
      <c r="T39" s="498">
        <v>7.37</v>
      </c>
    </row>
    <row r="40" spans="15:20" x14ac:dyDescent="0.3">
      <c r="O40" s="498" t="s">
        <v>540</v>
      </c>
      <c r="P40" s="498">
        <v>6</v>
      </c>
      <c r="Q40" s="939">
        <v>46279</v>
      </c>
      <c r="R40" s="631">
        <v>0.13200000000000001</v>
      </c>
      <c r="S40" s="631">
        <v>0.83</v>
      </c>
      <c r="T40" s="631">
        <v>8.7100000000000009</v>
      </c>
    </row>
    <row r="41" spans="15:20" x14ac:dyDescent="0.3">
      <c r="O41" s="498" t="s">
        <v>541</v>
      </c>
      <c r="P41" s="498">
        <v>6</v>
      </c>
      <c r="Q41" s="653">
        <v>46279</v>
      </c>
      <c r="R41" s="498">
        <v>0.11600000000000001</v>
      </c>
      <c r="S41" s="498">
        <v>0.83</v>
      </c>
      <c r="T41" s="498">
        <v>8.84</v>
      </c>
    </row>
    <row r="42" spans="15:20" x14ac:dyDescent="0.3">
      <c r="O42" s="498" t="s">
        <v>542</v>
      </c>
      <c r="P42" s="498">
        <v>6</v>
      </c>
      <c r="Q42" s="653">
        <v>46279</v>
      </c>
      <c r="R42" s="498">
        <v>9.4E-2</v>
      </c>
      <c r="S42" s="498">
        <v>0.83</v>
      </c>
      <c r="T42" s="498">
        <v>8.76</v>
      </c>
    </row>
    <row r="43" spans="15:20" x14ac:dyDescent="0.3">
      <c r="O43" s="705"/>
      <c r="P43" s="690"/>
      <c r="Q43" s="705"/>
      <c r="R43" s="705"/>
      <c r="S43" s="705"/>
      <c r="T43" s="705"/>
    </row>
    <row r="44" spans="15:20" x14ac:dyDescent="0.3">
      <c r="O44" s="705"/>
      <c r="P44" s="690"/>
      <c r="Q44" s="705"/>
      <c r="R44" s="705"/>
      <c r="S44" s="705"/>
      <c r="T44" s="705"/>
    </row>
    <row r="45" spans="15:20" x14ac:dyDescent="0.3">
      <c r="O45" s="705"/>
      <c r="P45" s="690"/>
      <c r="Q45" s="705"/>
      <c r="R45" s="705"/>
      <c r="S45" s="705"/>
      <c r="T45" s="705"/>
    </row>
    <row r="46" spans="15:20" x14ac:dyDescent="0.3">
      <c r="O46" s="705"/>
      <c r="P46" s="690"/>
      <c r="Q46" s="705"/>
      <c r="R46" s="705"/>
      <c r="S46" s="705"/>
      <c r="T46" s="705"/>
    </row>
    <row r="47" spans="15:20" x14ac:dyDescent="0.3">
      <c r="O47" s="705"/>
      <c r="P47" s="690"/>
      <c r="Q47" s="705"/>
      <c r="R47" s="705"/>
      <c r="S47" s="705"/>
      <c r="T47" s="705"/>
    </row>
    <row r="48" spans="15:20" x14ac:dyDescent="0.3">
      <c r="O48" s="705"/>
      <c r="P48" s="690"/>
      <c r="Q48" s="705"/>
      <c r="R48" s="705"/>
      <c r="S48" s="705"/>
      <c r="T48" s="705"/>
    </row>
    <row r="49" spans="15:20" x14ac:dyDescent="0.3">
      <c r="O49" s="705"/>
      <c r="P49" s="690"/>
      <c r="Q49" s="705"/>
      <c r="R49" s="705"/>
      <c r="S49" s="705"/>
      <c r="T49" s="705"/>
    </row>
    <row r="50" spans="15:20" x14ac:dyDescent="0.3">
      <c r="O50" s="705"/>
      <c r="P50" s="690"/>
      <c r="Q50" s="705"/>
      <c r="R50" s="705"/>
      <c r="S50" s="705"/>
      <c r="T50" s="705"/>
    </row>
    <row r="51" spans="15:20" x14ac:dyDescent="0.3">
      <c r="O51" s="705"/>
      <c r="P51" s="690"/>
      <c r="Q51" s="705"/>
      <c r="R51" s="705"/>
      <c r="S51" s="705"/>
      <c r="T51" s="705"/>
    </row>
    <row r="52" spans="15:20" x14ac:dyDescent="0.3">
      <c r="O52" s="705"/>
      <c r="P52" s="690"/>
      <c r="Q52" s="705"/>
      <c r="R52" s="705"/>
      <c r="S52" s="705"/>
      <c r="T52" s="705"/>
    </row>
    <row r="53" spans="15:20" x14ac:dyDescent="0.3">
      <c r="O53" s="705"/>
      <c r="P53" s="690"/>
      <c r="Q53" s="705"/>
      <c r="R53" s="705"/>
      <c r="S53" s="705"/>
      <c r="T53" s="705"/>
    </row>
    <row r="54" spans="15:20" x14ac:dyDescent="0.3">
      <c r="O54" s="705"/>
      <c r="P54" s="690"/>
      <c r="Q54" s="705"/>
      <c r="R54" s="705"/>
      <c r="S54" s="705"/>
      <c r="T54" s="705"/>
    </row>
    <row r="55" spans="15:20" x14ac:dyDescent="0.3">
      <c r="O55" s="705"/>
      <c r="P55" s="690"/>
      <c r="Q55" s="705"/>
      <c r="R55" s="705"/>
      <c r="S55" s="705"/>
      <c r="T55" s="705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6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topLeftCell="A3" workbookViewId="0">
      <selection activeCell="C19" sqref="C19:H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1038" t="s">
        <v>569</v>
      </c>
      <c r="C2" s="1038"/>
      <c r="D2" s="1038"/>
      <c r="E2" s="1038"/>
      <c r="F2" s="1038"/>
      <c r="G2" s="1038"/>
      <c r="H2" s="1038"/>
      <c r="J2" s="1216" t="s">
        <v>570</v>
      </c>
      <c r="K2" s="1216"/>
      <c r="L2" s="1216"/>
      <c r="M2" s="1216"/>
      <c r="N2" s="1216"/>
      <c r="O2" s="1216"/>
      <c r="P2" s="1216"/>
      <c r="R2" s="1219" t="s">
        <v>571</v>
      </c>
      <c r="S2" s="1219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475" t="s">
        <v>71</v>
      </c>
      <c r="K3" s="475" t="s">
        <v>1</v>
      </c>
      <c r="L3" s="475" t="s">
        <v>27</v>
      </c>
      <c r="M3" s="475" t="s">
        <v>565</v>
      </c>
      <c r="N3" s="659" t="s">
        <v>575</v>
      </c>
      <c r="O3" s="475" t="s">
        <v>566</v>
      </c>
      <c r="P3" s="659" t="s">
        <v>576</v>
      </c>
      <c r="R3" s="136" t="s">
        <v>572</v>
      </c>
      <c r="S3" s="136" t="s">
        <v>573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000" t="s">
        <v>574</v>
      </c>
      <c r="S10" s="1000"/>
      <c r="T10" s="1000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217">
        <f>SUM(P4:P67,H4:H67)</f>
        <v>1655.39</v>
      </c>
      <c r="S11" s="1218"/>
      <c r="T11" s="1218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4" customFormat="1" x14ac:dyDescent="0.3">
      <c r="A17" s="1215">
        <v>6</v>
      </c>
      <c r="B17" s="690">
        <v>13</v>
      </c>
      <c r="C17" s="691">
        <v>46278</v>
      </c>
      <c r="D17" s="690" t="s">
        <v>14</v>
      </c>
      <c r="E17" s="690">
        <v>10</v>
      </c>
      <c r="F17" s="690">
        <f t="shared" si="5"/>
        <v>60</v>
      </c>
      <c r="G17" s="692">
        <v>0.21</v>
      </c>
      <c r="H17" s="693">
        <f t="shared" si="6"/>
        <v>47.400000000000006</v>
      </c>
      <c r="J17" s="690">
        <v>13</v>
      </c>
      <c r="K17" s="695">
        <v>46278</v>
      </c>
      <c r="L17" s="690" t="s">
        <v>14</v>
      </c>
      <c r="M17" s="690">
        <v>10</v>
      </c>
      <c r="N17" s="690">
        <f t="shared" si="7"/>
        <v>125</v>
      </c>
      <c r="O17" s="692">
        <v>0.2</v>
      </c>
      <c r="P17" s="693">
        <f t="shared" si="4"/>
        <v>100</v>
      </c>
    </row>
    <row r="18" spans="1:16" s="694" customFormat="1" x14ac:dyDescent="0.3">
      <c r="A18" s="1215"/>
      <c r="B18" s="690">
        <v>14</v>
      </c>
      <c r="C18" s="691">
        <v>46279</v>
      </c>
      <c r="D18" s="690" t="s">
        <v>13</v>
      </c>
      <c r="E18" s="690">
        <v>9</v>
      </c>
      <c r="F18" s="690">
        <f t="shared" si="5"/>
        <v>54</v>
      </c>
      <c r="G18" s="692">
        <v>0.19</v>
      </c>
      <c r="H18" s="693">
        <f t="shared" si="6"/>
        <v>43.74</v>
      </c>
      <c r="J18" s="690">
        <v>14</v>
      </c>
      <c r="K18" s="695">
        <v>46279</v>
      </c>
      <c r="L18" s="690" t="s">
        <v>13</v>
      </c>
      <c r="M18" s="690">
        <v>7</v>
      </c>
      <c r="N18" s="690">
        <f t="shared" si="7"/>
        <v>87.5</v>
      </c>
      <c r="O18" s="692">
        <v>0.19</v>
      </c>
      <c r="P18" s="693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84"/>
    <col min="2" max="2" width="29.88671875" style="884" bestFit="1" customWidth="1"/>
    <col min="3" max="3" width="96.6640625" style="884" bestFit="1" customWidth="1"/>
    <col min="4" max="4" width="110.44140625" style="884" customWidth="1"/>
    <col min="5" max="5" width="171.33203125" style="884" customWidth="1"/>
    <col min="6" max="7" width="151" style="884" customWidth="1"/>
    <col min="8" max="8" width="35.88671875" style="884" bestFit="1" customWidth="1"/>
    <col min="9" max="9" width="133.88671875" style="884" customWidth="1"/>
    <col min="10" max="10" width="112.109375" style="884" customWidth="1"/>
    <col min="11" max="11" width="72.6640625" style="884" customWidth="1"/>
    <col min="12" max="12" width="82.109375" style="884" bestFit="1" customWidth="1"/>
    <col min="13" max="13" width="42.33203125" style="884" customWidth="1"/>
    <col min="14" max="19" width="9.109375" style="884"/>
    <col min="20" max="20" width="33.5546875" style="884" customWidth="1"/>
    <col min="21" max="21" width="17.44140625" style="884" customWidth="1"/>
    <col min="22" max="25" width="9.109375" style="884"/>
    <col min="26" max="26" width="23" style="884" customWidth="1"/>
    <col min="27" max="27" width="24.44140625" style="884" customWidth="1"/>
    <col min="28" max="28" width="39" style="884" customWidth="1"/>
    <col min="29" max="16384" width="9.109375" style="884"/>
  </cols>
  <sheetData>
    <row r="1" spans="2:28" x14ac:dyDescent="1.65">
      <c r="B1" s="881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2"/>
      <c r="P1" s="882"/>
      <c r="Q1" s="882"/>
      <c r="R1" s="882"/>
      <c r="S1" s="882"/>
      <c r="T1" s="883"/>
    </row>
    <row r="2" spans="2:28" x14ac:dyDescent="1.65">
      <c r="B2" s="1220" t="s">
        <v>608</v>
      </c>
      <c r="C2" s="1221"/>
      <c r="D2" s="1221"/>
      <c r="E2" s="1221"/>
      <c r="F2" s="1221"/>
      <c r="G2" s="1221"/>
      <c r="H2" s="1221"/>
      <c r="I2" s="1221"/>
      <c r="J2" s="1221"/>
      <c r="K2" s="1221"/>
      <c r="L2" s="1221"/>
      <c r="M2" s="1221"/>
      <c r="N2" s="1221"/>
      <c r="O2" s="1221"/>
      <c r="P2" s="1221"/>
      <c r="Q2" s="1221"/>
      <c r="R2" s="1221"/>
      <c r="S2" s="1221"/>
      <c r="T2" s="1222"/>
    </row>
    <row r="3" spans="2:28" x14ac:dyDescent="1.65">
      <c r="B3" s="886"/>
      <c r="C3" s="1221" t="s">
        <v>609</v>
      </c>
      <c r="D3" s="1221"/>
      <c r="E3" s="1221"/>
      <c r="F3" s="1221"/>
      <c r="G3" s="1221"/>
      <c r="H3" s="1221"/>
      <c r="I3" s="1221"/>
      <c r="J3" s="1221"/>
      <c r="K3" s="1221"/>
      <c r="L3" s="1221"/>
      <c r="M3" s="1221"/>
      <c r="N3" s="1221"/>
      <c r="O3" s="1221"/>
      <c r="P3" s="1221"/>
      <c r="Q3" s="1221"/>
      <c r="R3" s="1221"/>
      <c r="S3" s="1221"/>
      <c r="T3" s="1222"/>
    </row>
    <row r="4" spans="2:28" ht="92.4" thickBot="1" x14ac:dyDescent="1.7">
      <c r="B4" s="1223" t="s">
        <v>610</v>
      </c>
      <c r="C4" s="1224"/>
      <c r="D4" s="1224"/>
      <c r="E4" s="1224"/>
      <c r="F4" s="1224"/>
      <c r="G4" s="1224"/>
      <c r="H4" s="1224"/>
      <c r="I4" s="1224"/>
      <c r="J4" s="1224"/>
      <c r="K4" s="1224"/>
      <c r="L4" s="1224"/>
      <c r="M4" s="1224"/>
      <c r="N4" s="1224"/>
      <c r="O4" s="1224"/>
      <c r="P4" s="1224"/>
      <c r="Q4" s="1224"/>
      <c r="R4" s="1224"/>
      <c r="S4" s="1224"/>
      <c r="T4" s="1225"/>
    </row>
    <row r="5" spans="2:28" x14ac:dyDescent="1.65">
      <c r="B5" s="887"/>
      <c r="C5" s="888"/>
      <c r="D5" s="888"/>
      <c r="E5" s="888"/>
      <c r="F5" s="888"/>
      <c r="G5" s="888"/>
      <c r="H5" s="882"/>
      <c r="I5" s="888"/>
      <c r="J5" s="888"/>
      <c r="K5" s="888"/>
      <c r="L5" s="888"/>
      <c r="M5" s="888"/>
      <c r="N5" s="888"/>
      <c r="O5" s="888"/>
      <c r="P5" s="888"/>
      <c r="Q5" s="888"/>
      <c r="R5" s="888"/>
      <c r="S5" s="888"/>
      <c r="T5" s="889"/>
      <c r="U5" s="890"/>
    </row>
    <row r="6" spans="2:28" x14ac:dyDescent="1.65">
      <c r="B6" s="1226" t="s">
        <v>630</v>
      </c>
      <c r="C6" s="1227"/>
      <c r="D6" s="1227"/>
      <c r="E6" s="1227"/>
      <c r="F6" s="1227"/>
      <c r="G6" s="1227"/>
      <c r="H6" s="1227"/>
      <c r="I6" s="1227"/>
      <c r="J6" s="1227"/>
      <c r="K6" s="1227"/>
      <c r="L6" s="1227"/>
      <c r="M6" s="1227"/>
      <c r="N6" s="1227"/>
      <c r="O6" s="1227"/>
      <c r="P6" s="1227"/>
      <c r="Q6" s="1227"/>
      <c r="R6" s="1227"/>
      <c r="S6" s="1227"/>
      <c r="T6" s="1228"/>
    </row>
    <row r="7" spans="2:28" ht="92.4" thickBot="1" x14ac:dyDescent="1.7">
      <c r="B7" s="1229"/>
      <c r="C7" s="1230"/>
      <c r="D7" s="1230"/>
      <c r="E7" s="1230"/>
      <c r="F7" s="1230"/>
      <c r="G7" s="1230"/>
      <c r="H7" s="1230"/>
      <c r="I7" s="1230"/>
      <c r="J7" s="1230"/>
      <c r="K7" s="1230"/>
      <c r="L7" s="1230"/>
      <c r="M7" s="1230"/>
      <c r="N7" s="1230"/>
      <c r="O7" s="1230"/>
      <c r="P7" s="1230"/>
      <c r="Q7" s="1230"/>
      <c r="R7" s="1230"/>
      <c r="S7" s="1230"/>
      <c r="T7" s="1231"/>
    </row>
    <row r="8" spans="2:28" x14ac:dyDescent="1.65">
      <c r="B8" s="891"/>
      <c r="T8" s="892"/>
    </row>
    <row r="9" spans="2:28" x14ac:dyDescent="1.65">
      <c r="B9" s="891"/>
      <c r="T9" s="892"/>
    </row>
    <row r="10" spans="2:28" x14ac:dyDescent="1.65">
      <c r="B10" s="891"/>
      <c r="T10" s="892"/>
    </row>
    <row r="11" spans="2:28" x14ac:dyDescent="1.65">
      <c r="B11" s="891"/>
      <c r="T11" s="892"/>
    </row>
    <row r="12" spans="2:28" x14ac:dyDescent="1.65">
      <c r="B12" s="891"/>
      <c r="T12" s="892"/>
    </row>
    <row r="13" spans="2:28" x14ac:dyDescent="1.65">
      <c r="B13" s="885"/>
      <c r="C13" s="893" t="s">
        <v>71</v>
      </c>
      <c r="D13" s="893" t="s">
        <v>1</v>
      </c>
      <c r="E13" s="893" t="s">
        <v>611</v>
      </c>
      <c r="F13" s="893" t="s">
        <v>612</v>
      </c>
      <c r="G13" s="893" t="s">
        <v>619</v>
      </c>
      <c r="H13" s="893" t="s">
        <v>613</v>
      </c>
      <c r="I13" s="893" t="s">
        <v>614</v>
      </c>
      <c r="J13" s="893" t="s">
        <v>615</v>
      </c>
      <c r="K13" s="893" t="s">
        <v>616</v>
      </c>
      <c r="L13" s="893" t="s">
        <v>226</v>
      </c>
      <c r="M13" s="893" t="s">
        <v>617</v>
      </c>
      <c r="T13" s="892"/>
      <c r="Z13" s="1232" t="s">
        <v>628</v>
      </c>
      <c r="AA13" s="1232"/>
      <c r="AB13" s="1232"/>
    </row>
    <row r="14" spans="2:28" x14ac:dyDescent="1.65">
      <c r="B14" s="894"/>
      <c r="C14" s="895">
        <v>1</v>
      </c>
      <c r="D14" s="901">
        <v>46268</v>
      </c>
      <c r="E14" s="895" t="s">
        <v>620</v>
      </c>
      <c r="F14" s="895" t="s">
        <v>621</v>
      </c>
      <c r="G14" s="895">
        <v>1000</v>
      </c>
      <c r="H14" s="895">
        <v>1</v>
      </c>
      <c r="I14" s="895">
        <v>10</v>
      </c>
      <c r="J14" s="895">
        <v>0</v>
      </c>
      <c r="K14" s="895">
        <v>0.01</v>
      </c>
      <c r="L14" s="895" t="s">
        <v>627</v>
      </c>
      <c r="M14" s="896">
        <v>7</v>
      </c>
      <c r="T14" s="892"/>
      <c r="Z14" s="884">
        <v>1</v>
      </c>
      <c r="AA14" s="884" t="s">
        <v>629</v>
      </c>
    </row>
    <row r="15" spans="2:28" x14ac:dyDescent="1.65">
      <c r="B15" s="894"/>
      <c r="C15" s="895">
        <v>2</v>
      </c>
      <c r="D15" s="901">
        <v>46269</v>
      </c>
      <c r="E15" s="895" t="s">
        <v>620</v>
      </c>
      <c r="F15" s="895" t="s">
        <v>621</v>
      </c>
      <c r="G15" s="895">
        <v>1000</v>
      </c>
      <c r="H15" s="895">
        <v>1</v>
      </c>
      <c r="I15" s="895">
        <v>10</v>
      </c>
      <c r="J15" s="895">
        <v>0</v>
      </c>
      <c r="K15" s="895">
        <v>0.01</v>
      </c>
      <c r="L15" s="895" t="s">
        <v>627</v>
      </c>
      <c r="M15" s="896">
        <v>7</v>
      </c>
      <c r="T15" s="892"/>
      <c r="Z15" s="884">
        <v>2</v>
      </c>
      <c r="AA15" s="884" t="s">
        <v>626</v>
      </c>
    </row>
    <row r="16" spans="2:28" x14ac:dyDescent="1.65">
      <c r="B16" s="894"/>
      <c r="C16" s="895">
        <v>3</v>
      </c>
      <c r="D16" s="901">
        <v>46269</v>
      </c>
      <c r="E16" s="895" t="s">
        <v>623</v>
      </c>
      <c r="F16" s="895" t="s">
        <v>621</v>
      </c>
      <c r="G16" s="895">
        <v>1000</v>
      </c>
      <c r="H16" s="895">
        <v>1</v>
      </c>
      <c r="I16" s="895">
        <v>10</v>
      </c>
      <c r="J16" s="895">
        <v>0</v>
      </c>
      <c r="K16" s="895">
        <v>0.01</v>
      </c>
      <c r="L16" s="895" t="s">
        <v>627</v>
      </c>
      <c r="M16" s="896">
        <v>7</v>
      </c>
      <c r="T16" s="892"/>
      <c r="Z16" s="884">
        <v>3</v>
      </c>
      <c r="AA16" s="884" t="s">
        <v>618</v>
      </c>
    </row>
    <row r="17" spans="2:20" x14ac:dyDescent="1.65">
      <c r="B17" s="891"/>
      <c r="C17" s="895">
        <v>4</v>
      </c>
      <c r="D17" s="902">
        <v>46270</v>
      </c>
      <c r="E17" s="896" t="s">
        <v>624</v>
      </c>
      <c r="F17" s="895" t="s">
        <v>621</v>
      </c>
      <c r="G17" s="895">
        <v>1000</v>
      </c>
      <c r="H17" s="895">
        <v>1</v>
      </c>
      <c r="I17" s="895">
        <v>10</v>
      </c>
      <c r="J17" s="895">
        <v>0</v>
      </c>
      <c r="K17" s="895">
        <v>0.01</v>
      </c>
      <c r="L17" s="895" t="s">
        <v>627</v>
      </c>
      <c r="M17" s="896">
        <v>7</v>
      </c>
      <c r="T17" s="892"/>
    </row>
    <row r="18" spans="2:20" x14ac:dyDescent="1.65">
      <c r="B18" s="891"/>
      <c r="C18" s="895">
        <v>5</v>
      </c>
      <c r="D18" s="902">
        <v>46274</v>
      </c>
      <c r="E18" s="896" t="s">
        <v>625</v>
      </c>
      <c r="F18" s="895" t="s">
        <v>626</v>
      </c>
      <c r="G18" s="895">
        <v>1000</v>
      </c>
      <c r="H18" s="895">
        <v>1</v>
      </c>
      <c r="I18" s="895">
        <v>10</v>
      </c>
      <c r="J18" s="895">
        <v>0</v>
      </c>
      <c r="K18" s="895">
        <v>0.01</v>
      </c>
      <c r="L18" s="895" t="s">
        <v>627</v>
      </c>
      <c r="M18" s="896">
        <v>7</v>
      </c>
      <c r="T18" s="892"/>
    </row>
    <row r="19" spans="2:20" x14ac:dyDescent="1.65">
      <c r="B19" s="891"/>
      <c r="C19" s="895">
        <v>6</v>
      </c>
      <c r="D19" s="902">
        <v>46274</v>
      </c>
      <c r="E19" s="896" t="s">
        <v>622</v>
      </c>
      <c r="F19" s="895" t="s">
        <v>621</v>
      </c>
      <c r="G19" s="895">
        <v>1000</v>
      </c>
      <c r="H19" s="895">
        <v>1</v>
      </c>
      <c r="I19" s="895">
        <v>10</v>
      </c>
      <c r="J19" s="895">
        <v>0</v>
      </c>
      <c r="K19" s="895">
        <v>0.01</v>
      </c>
      <c r="L19" s="895" t="s">
        <v>627</v>
      </c>
      <c r="M19" s="896">
        <v>7</v>
      </c>
      <c r="T19" s="892"/>
    </row>
    <row r="20" spans="2:20" x14ac:dyDescent="1.65">
      <c r="B20" s="891"/>
      <c r="C20" s="895">
        <v>7</v>
      </c>
      <c r="D20" s="902">
        <v>46275</v>
      </c>
      <c r="E20" s="896" t="s">
        <v>624</v>
      </c>
      <c r="F20" s="895" t="s">
        <v>621</v>
      </c>
      <c r="G20" s="895">
        <v>1000</v>
      </c>
      <c r="H20" s="895">
        <v>1</v>
      </c>
      <c r="I20" s="895">
        <v>10</v>
      </c>
      <c r="J20" s="895">
        <v>0</v>
      </c>
      <c r="K20" s="895">
        <v>0.01</v>
      </c>
      <c r="L20" s="895" t="s">
        <v>627</v>
      </c>
      <c r="M20" s="896">
        <v>7</v>
      </c>
      <c r="T20" s="892"/>
    </row>
    <row r="21" spans="2:20" x14ac:dyDescent="1.65">
      <c r="B21" s="891"/>
      <c r="C21" s="895">
        <v>8</v>
      </c>
      <c r="D21" s="902">
        <v>46275</v>
      </c>
      <c r="E21" s="896" t="s">
        <v>622</v>
      </c>
      <c r="F21" s="895" t="s">
        <v>621</v>
      </c>
      <c r="G21" s="895">
        <v>1000</v>
      </c>
      <c r="H21" s="895">
        <v>1</v>
      </c>
      <c r="I21" s="895">
        <v>10</v>
      </c>
      <c r="J21" s="895">
        <v>0</v>
      </c>
      <c r="K21" s="895">
        <v>0.01</v>
      </c>
      <c r="L21" s="895" t="s">
        <v>627</v>
      </c>
      <c r="M21" s="896">
        <v>7</v>
      </c>
      <c r="T21" s="892"/>
    </row>
    <row r="22" spans="2:20" x14ac:dyDescent="1.65">
      <c r="B22" s="891"/>
      <c r="C22" s="895">
        <v>9</v>
      </c>
      <c r="D22" s="902">
        <v>46276</v>
      </c>
      <c r="E22" s="896" t="s">
        <v>624</v>
      </c>
      <c r="F22" s="895" t="s">
        <v>621</v>
      </c>
      <c r="G22" s="895">
        <v>1000</v>
      </c>
      <c r="H22" s="895">
        <v>1</v>
      </c>
      <c r="I22" s="895">
        <v>10</v>
      </c>
      <c r="J22" s="895">
        <v>0</v>
      </c>
      <c r="K22" s="895">
        <v>0.01</v>
      </c>
      <c r="L22" s="895" t="s">
        <v>627</v>
      </c>
      <c r="M22" s="896">
        <v>7</v>
      </c>
      <c r="T22" s="892"/>
    </row>
    <row r="23" spans="2:20" x14ac:dyDescent="1.65">
      <c r="B23" s="891"/>
      <c r="C23" s="895">
        <v>10</v>
      </c>
      <c r="D23" s="902">
        <v>46276</v>
      </c>
      <c r="E23" s="896" t="s">
        <v>622</v>
      </c>
      <c r="F23" s="895" t="s">
        <v>621</v>
      </c>
      <c r="G23" s="895">
        <v>1000</v>
      </c>
      <c r="H23" s="895">
        <v>1</v>
      </c>
      <c r="I23" s="895">
        <v>10</v>
      </c>
      <c r="J23" s="895">
        <v>0</v>
      </c>
      <c r="K23" s="895">
        <v>0.01</v>
      </c>
      <c r="L23" s="895" t="s">
        <v>627</v>
      </c>
      <c r="M23" s="896">
        <v>7</v>
      </c>
      <c r="T23" s="892"/>
    </row>
    <row r="24" spans="2:20" x14ac:dyDescent="1.65">
      <c r="B24" s="891"/>
      <c r="C24" s="895">
        <v>11</v>
      </c>
      <c r="D24" s="902">
        <v>46277</v>
      </c>
      <c r="E24" s="896" t="s">
        <v>624</v>
      </c>
      <c r="F24" s="895" t="s">
        <v>618</v>
      </c>
      <c r="G24" s="895">
        <v>1000</v>
      </c>
      <c r="H24" s="895">
        <v>1</v>
      </c>
      <c r="I24" s="895">
        <v>10</v>
      </c>
      <c r="J24" s="895">
        <v>0</v>
      </c>
      <c r="K24" s="895">
        <v>0.01</v>
      </c>
      <c r="L24" s="895" t="s">
        <v>627</v>
      </c>
      <c r="M24" s="896">
        <v>7</v>
      </c>
      <c r="T24" s="892"/>
    </row>
    <row r="25" spans="2:20" x14ac:dyDescent="1.65">
      <c r="B25" s="891"/>
      <c r="C25" s="895">
        <v>12</v>
      </c>
      <c r="D25" s="902">
        <v>46277</v>
      </c>
      <c r="E25" s="896" t="s">
        <v>622</v>
      </c>
      <c r="F25" s="895" t="s">
        <v>618</v>
      </c>
      <c r="G25" s="895">
        <v>1000</v>
      </c>
      <c r="H25" s="895">
        <v>1</v>
      </c>
      <c r="I25" s="895">
        <v>10</v>
      </c>
      <c r="J25" s="895">
        <v>0</v>
      </c>
      <c r="K25" s="895">
        <v>0.01</v>
      </c>
      <c r="L25" s="895" t="s">
        <v>627</v>
      </c>
      <c r="M25" s="896">
        <v>7</v>
      </c>
      <c r="T25" s="892"/>
    </row>
    <row r="26" spans="2:20" x14ac:dyDescent="1.65">
      <c r="B26" s="891"/>
      <c r="C26" s="895">
        <v>13</v>
      </c>
      <c r="D26" s="902">
        <v>46278</v>
      </c>
      <c r="E26" s="896" t="s">
        <v>622</v>
      </c>
      <c r="F26" s="895" t="s">
        <v>618</v>
      </c>
      <c r="G26" s="895">
        <v>1000</v>
      </c>
      <c r="H26" s="895">
        <v>1</v>
      </c>
      <c r="I26" s="895">
        <v>10</v>
      </c>
      <c r="J26" s="895">
        <v>0</v>
      </c>
      <c r="K26" s="895">
        <v>0.01</v>
      </c>
      <c r="L26" s="895" t="s">
        <v>627</v>
      </c>
      <c r="M26" s="896">
        <v>7</v>
      </c>
      <c r="T26" s="892"/>
    </row>
    <row r="27" spans="2:20" x14ac:dyDescent="1.65">
      <c r="B27" s="891"/>
      <c r="C27" s="895">
        <v>14</v>
      </c>
      <c r="D27" s="902">
        <v>46279</v>
      </c>
      <c r="E27" s="896" t="s">
        <v>624</v>
      </c>
      <c r="F27" s="895" t="s">
        <v>618</v>
      </c>
      <c r="G27" s="895">
        <v>1000</v>
      </c>
      <c r="H27" s="895">
        <v>1</v>
      </c>
      <c r="I27" s="895">
        <v>10</v>
      </c>
      <c r="J27" s="895">
        <v>0</v>
      </c>
      <c r="K27" s="895">
        <v>0.01</v>
      </c>
      <c r="L27" s="895" t="s">
        <v>627</v>
      </c>
      <c r="M27" s="896">
        <v>7</v>
      </c>
      <c r="T27" s="892"/>
    </row>
    <row r="28" spans="2:20" x14ac:dyDescent="1.65">
      <c r="B28" s="891"/>
      <c r="C28" s="895">
        <v>15</v>
      </c>
      <c r="D28" s="895"/>
      <c r="E28" s="895"/>
      <c r="F28" s="895"/>
      <c r="G28" s="895"/>
      <c r="H28" s="895"/>
      <c r="I28" s="895"/>
      <c r="J28" s="895"/>
      <c r="K28" s="895"/>
      <c r="L28" s="895"/>
      <c r="M28" s="897"/>
      <c r="T28" s="892"/>
    </row>
    <row r="29" spans="2:20" x14ac:dyDescent="1.65">
      <c r="B29" s="891"/>
      <c r="C29" s="895">
        <v>16</v>
      </c>
      <c r="D29" s="895"/>
      <c r="E29" s="895"/>
      <c r="F29" s="895"/>
      <c r="G29" s="895"/>
      <c r="H29" s="895"/>
      <c r="I29" s="895"/>
      <c r="J29" s="895"/>
      <c r="K29" s="895"/>
      <c r="L29" s="895"/>
      <c r="M29" s="897"/>
      <c r="T29" s="892"/>
    </row>
    <row r="30" spans="2:20" x14ac:dyDescent="1.65">
      <c r="B30" s="891"/>
      <c r="C30" s="895">
        <v>17</v>
      </c>
      <c r="D30" s="895"/>
      <c r="E30" s="895"/>
      <c r="F30" s="895"/>
      <c r="G30" s="895"/>
      <c r="H30" s="895"/>
      <c r="I30" s="895"/>
      <c r="J30" s="895"/>
      <c r="K30" s="895"/>
      <c r="L30" s="895"/>
      <c r="M30" s="897"/>
      <c r="T30" s="892"/>
    </row>
    <row r="31" spans="2:20" x14ac:dyDescent="1.65">
      <c r="B31" s="891"/>
      <c r="C31" s="895">
        <v>18</v>
      </c>
      <c r="D31" s="895"/>
      <c r="E31" s="895"/>
      <c r="F31" s="895"/>
      <c r="G31" s="895"/>
      <c r="H31" s="895"/>
      <c r="I31" s="895"/>
      <c r="J31" s="895"/>
      <c r="K31" s="895"/>
      <c r="L31" s="895"/>
      <c r="M31" s="897"/>
      <c r="T31" s="892"/>
    </row>
    <row r="32" spans="2:20" x14ac:dyDescent="1.65">
      <c r="B32" s="891"/>
      <c r="C32" s="895">
        <v>19</v>
      </c>
      <c r="D32" s="895"/>
      <c r="E32" s="895"/>
      <c r="F32" s="895"/>
      <c r="G32" s="895"/>
      <c r="H32" s="895"/>
      <c r="I32" s="895"/>
      <c r="J32" s="895"/>
      <c r="K32" s="895"/>
      <c r="L32" s="895"/>
      <c r="M32" s="897"/>
      <c r="T32" s="892"/>
    </row>
    <row r="33" spans="2:20" x14ac:dyDescent="1.65">
      <c r="B33" s="891"/>
      <c r="C33" s="895">
        <v>20</v>
      </c>
      <c r="D33" s="895"/>
      <c r="E33" s="895"/>
      <c r="F33" s="895"/>
      <c r="G33" s="895"/>
      <c r="H33" s="895"/>
      <c r="I33" s="895"/>
      <c r="J33" s="895"/>
      <c r="K33" s="895"/>
      <c r="L33" s="895"/>
      <c r="M33" s="897"/>
      <c r="T33" s="892"/>
    </row>
    <row r="34" spans="2:20" x14ac:dyDescent="1.65">
      <c r="B34" s="891"/>
      <c r="C34" s="895">
        <v>21</v>
      </c>
      <c r="D34" s="895"/>
      <c r="E34" s="895"/>
      <c r="F34" s="895"/>
      <c r="G34" s="895"/>
      <c r="H34" s="895"/>
      <c r="I34" s="895"/>
      <c r="J34" s="895"/>
      <c r="K34" s="895"/>
      <c r="L34" s="895"/>
      <c r="M34" s="897"/>
      <c r="T34" s="892"/>
    </row>
    <row r="35" spans="2:20" x14ac:dyDescent="1.65">
      <c r="B35" s="891"/>
      <c r="C35" s="895">
        <v>22</v>
      </c>
      <c r="D35" s="895"/>
      <c r="E35" s="895"/>
      <c r="F35" s="895"/>
      <c r="G35" s="895"/>
      <c r="H35" s="895"/>
      <c r="I35" s="895"/>
      <c r="J35" s="895"/>
      <c r="K35" s="895"/>
      <c r="L35" s="895"/>
      <c r="M35" s="897"/>
      <c r="T35" s="892"/>
    </row>
    <row r="36" spans="2:20" x14ac:dyDescent="1.65">
      <c r="B36" s="891"/>
      <c r="C36" s="895">
        <v>23</v>
      </c>
      <c r="D36" s="895"/>
      <c r="E36" s="895"/>
      <c r="F36" s="895"/>
      <c r="G36" s="895"/>
      <c r="H36" s="895"/>
      <c r="I36" s="895"/>
      <c r="J36" s="895"/>
      <c r="K36" s="895"/>
      <c r="L36" s="895"/>
      <c r="M36" s="897"/>
      <c r="T36" s="892"/>
    </row>
    <row r="37" spans="2:20" x14ac:dyDescent="1.65">
      <c r="B37" s="891"/>
      <c r="C37" s="895">
        <v>24</v>
      </c>
      <c r="D37" s="895"/>
      <c r="E37" s="895"/>
      <c r="F37" s="895"/>
      <c r="G37" s="895"/>
      <c r="H37" s="895"/>
      <c r="I37" s="895"/>
      <c r="J37" s="895"/>
      <c r="K37" s="895"/>
      <c r="L37" s="895"/>
      <c r="M37" s="897"/>
      <c r="T37" s="892"/>
    </row>
    <row r="38" spans="2:20" x14ac:dyDescent="1.65">
      <c r="B38" s="891"/>
      <c r="C38" s="895">
        <v>25</v>
      </c>
      <c r="D38" s="895"/>
      <c r="E38" s="895"/>
      <c r="F38" s="895"/>
      <c r="G38" s="895"/>
      <c r="H38" s="895"/>
      <c r="I38" s="895"/>
      <c r="J38" s="895"/>
      <c r="K38" s="895"/>
      <c r="L38" s="895"/>
      <c r="M38" s="897"/>
      <c r="T38" s="892"/>
    </row>
    <row r="39" spans="2:20" x14ac:dyDescent="1.65">
      <c r="B39" s="891"/>
      <c r="C39" s="895">
        <v>26</v>
      </c>
      <c r="D39" s="895"/>
      <c r="E39" s="895"/>
      <c r="F39" s="895"/>
      <c r="G39" s="895"/>
      <c r="H39" s="895"/>
      <c r="I39" s="895"/>
      <c r="J39" s="895"/>
      <c r="K39" s="895"/>
      <c r="L39" s="895"/>
      <c r="M39" s="897"/>
      <c r="T39" s="892"/>
    </row>
    <row r="40" spans="2:20" x14ac:dyDescent="1.65">
      <c r="B40" s="891"/>
      <c r="C40" s="895">
        <v>27</v>
      </c>
      <c r="D40" s="895"/>
      <c r="E40" s="895"/>
      <c r="F40" s="895"/>
      <c r="G40" s="895"/>
      <c r="H40" s="895"/>
      <c r="I40" s="895"/>
      <c r="J40" s="895"/>
      <c r="K40" s="895"/>
      <c r="L40" s="895"/>
      <c r="M40" s="897"/>
      <c r="T40" s="892"/>
    </row>
    <row r="41" spans="2:20" x14ac:dyDescent="1.65">
      <c r="B41" s="891"/>
      <c r="C41" s="895">
        <v>28</v>
      </c>
      <c r="D41" s="895"/>
      <c r="E41" s="895"/>
      <c r="F41" s="895"/>
      <c r="G41" s="895"/>
      <c r="H41" s="895"/>
      <c r="I41" s="895"/>
      <c r="J41" s="895"/>
      <c r="K41" s="895"/>
      <c r="L41" s="895"/>
      <c r="M41" s="897"/>
      <c r="T41" s="892"/>
    </row>
    <row r="42" spans="2:20" x14ac:dyDescent="1.65">
      <c r="B42" s="891"/>
      <c r="C42" s="895">
        <v>29</v>
      </c>
      <c r="D42" s="895"/>
      <c r="E42" s="895"/>
      <c r="F42" s="895"/>
      <c r="G42" s="895"/>
      <c r="H42" s="895"/>
      <c r="I42" s="895"/>
      <c r="J42" s="895"/>
      <c r="K42" s="895"/>
      <c r="L42" s="895"/>
      <c r="M42" s="897"/>
      <c r="T42" s="892"/>
    </row>
    <row r="43" spans="2:20" x14ac:dyDescent="1.65">
      <c r="B43" s="891"/>
      <c r="C43" s="895">
        <v>30</v>
      </c>
      <c r="D43" s="895"/>
      <c r="E43" s="895"/>
      <c r="F43" s="895"/>
      <c r="G43" s="895"/>
      <c r="H43" s="895"/>
      <c r="I43" s="895"/>
      <c r="J43" s="895"/>
      <c r="K43" s="895"/>
      <c r="L43" s="895"/>
      <c r="M43" s="897"/>
      <c r="T43" s="892"/>
    </row>
    <row r="44" spans="2:20" x14ac:dyDescent="1.65">
      <c r="B44" s="891"/>
      <c r="C44" s="895">
        <v>31</v>
      </c>
      <c r="D44" s="895"/>
      <c r="E44" s="895"/>
      <c r="F44" s="895"/>
      <c r="G44" s="895"/>
      <c r="H44" s="895"/>
      <c r="I44" s="895"/>
      <c r="J44" s="895"/>
      <c r="K44" s="895"/>
      <c r="L44" s="895"/>
      <c r="M44" s="897"/>
      <c r="T44" s="892"/>
    </row>
    <row r="45" spans="2:20" x14ac:dyDescent="1.65">
      <c r="B45" s="891"/>
      <c r="C45" s="895">
        <v>32</v>
      </c>
      <c r="D45" s="895"/>
      <c r="E45" s="895"/>
      <c r="F45" s="895"/>
      <c r="G45" s="895"/>
      <c r="H45" s="895"/>
      <c r="I45" s="895"/>
      <c r="J45" s="895"/>
      <c r="K45" s="895"/>
      <c r="L45" s="895"/>
      <c r="M45" s="897"/>
      <c r="T45" s="892"/>
    </row>
    <row r="46" spans="2:20" x14ac:dyDescent="1.65">
      <c r="B46" s="891"/>
      <c r="C46" s="895">
        <v>33</v>
      </c>
      <c r="D46" s="895"/>
      <c r="E46" s="895"/>
      <c r="F46" s="895"/>
      <c r="G46" s="895"/>
      <c r="H46" s="895"/>
      <c r="I46" s="895"/>
      <c r="J46" s="895"/>
      <c r="K46" s="895"/>
      <c r="L46" s="895"/>
      <c r="M46" s="897"/>
      <c r="T46" s="892"/>
    </row>
    <row r="47" spans="2:20" x14ac:dyDescent="1.65">
      <c r="B47" s="891"/>
      <c r="C47" s="895">
        <v>34</v>
      </c>
      <c r="D47" s="895"/>
      <c r="E47" s="895"/>
      <c r="F47" s="895"/>
      <c r="G47" s="895"/>
      <c r="H47" s="895"/>
      <c r="I47" s="895"/>
      <c r="J47" s="895"/>
      <c r="K47" s="895"/>
      <c r="L47" s="895"/>
      <c r="M47" s="897"/>
      <c r="T47" s="892"/>
    </row>
    <row r="48" spans="2:20" x14ac:dyDescent="1.65">
      <c r="B48" s="891"/>
      <c r="C48" s="895">
        <v>35</v>
      </c>
      <c r="D48" s="895"/>
      <c r="E48" s="895"/>
      <c r="F48" s="895"/>
      <c r="G48" s="895"/>
      <c r="H48" s="895"/>
      <c r="I48" s="895"/>
      <c r="J48" s="895"/>
      <c r="K48" s="895"/>
      <c r="L48" s="895"/>
      <c r="M48" s="897"/>
      <c r="T48" s="892"/>
    </row>
    <row r="49" spans="2:20" x14ac:dyDescent="1.65">
      <c r="B49" s="891"/>
      <c r="C49" s="895">
        <v>36</v>
      </c>
      <c r="D49" s="895"/>
      <c r="E49" s="895"/>
      <c r="F49" s="895"/>
      <c r="G49" s="895"/>
      <c r="H49" s="895"/>
      <c r="I49" s="895"/>
      <c r="J49" s="895"/>
      <c r="K49" s="895"/>
      <c r="L49" s="895"/>
      <c r="M49" s="897"/>
      <c r="T49" s="892"/>
    </row>
    <row r="50" spans="2:20" x14ac:dyDescent="1.65">
      <c r="B50" s="891"/>
      <c r="T50" s="892"/>
    </row>
    <row r="51" spans="2:20" x14ac:dyDescent="1.65">
      <c r="B51" s="891"/>
      <c r="T51" s="892"/>
    </row>
    <row r="52" spans="2:20" x14ac:dyDescent="1.65">
      <c r="B52" s="891"/>
      <c r="T52" s="892"/>
    </row>
    <row r="53" spans="2:20" x14ac:dyDescent="1.65">
      <c r="B53" s="891"/>
      <c r="T53" s="892"/>
    </row>
    <row r="54" spans="2:20" ht="92.4" thickBot="1" x14ac:dyDescent="1.7">
      <c r="B54" s="898"/>
      <c r="C54" s="899"/>
      <c r="D54" s="899"/>
      <c r="E54" s="899"/>
      <c r="F54" s="899"/>
      <c r="G54" s="899"/>
      <c r="H54" s="899"/>
      <c r="I54" s="899"/>
      <c r="J54" s="899"/>
      <c r="K54" s="899"/>
      <c r="L54" s="899"/>
      <c r="M54" s="899"/>
      <c r="N54" s="899"/>
      <c r="O54" s="899"/>
      <c r="P54" s="899"/>
      <c r="Q54" s="899"/>
      <c r="R54" s="899"/>
      <c r="S54" s="899"/>
      <c r="T54" s="90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92" t="s">
        <v>271</v>
      </c>
      <c r="B3" s="1093"/>
      <c r="C3" s="1093"/>
      <c r="D3" s="1093"/>
      <c r="E3" s="1093"/>
      <c r="F3" s="1093"/>
      <c r="G3" s="1094"/>
      <c r="I3" s="1">
        <f>I2/2</f>
        <v>720</v>
      </c>
    </row>
    <row r="4" spans="1:14" ht="15" thickBot="1" x14ac:dyDescent="0.35">
      <c r="A4" s="1095" t="s">
        <v>1</v>
      </c>
      <c r="B4" s="109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33">
        <v>46268</v>
      </c>
      <c r="B5" s="1088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5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33">
        <v>46269</v>
      </c>
      <c r="B6" s="1088"/>
      <c r="C6" s="162"/>
      <c r="D6" s="61">
        <v>6.9444444444444447E-4</v>
      </c>
      <c r="E6" s="61">
        <v>2.9166666666666667E-2</v>
      </c>
      <c r="F6" s="62">
        <f>(E6-D6)*720</f>
        <v>20.5</v>
      </c>
      <c r="G6" s="456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33">
        <v>46270</v>
      </c>
      <c r="B7" s="1088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33">
        <v>46271</v>
      </c>
      <c r="B8" s="1088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33">
        <v>46272</v>
      </c>
      <c r="B9" s="1088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33">
        <v>46273</v>
      </c>
      <c r="B10" s="1088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33">
        <v>46274</v>
      </c>
      <c r="B11" s="1088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33">
        <v>46275</v>
      </c>
      <c r="B12" s="108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33">
        <v>46276</v>
      </c>
      <c r="B13" s="108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33">
        <v>46277</v>
      </c>
      <c r="B14" s="108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33">
        <v>46278</v>
      </c>
      <c r="B15" s="108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33">
        <v>46279</v>
      </c>
      <c r="B16" s="108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33">
        <v>46280</v>
      </c>
      <c r="B17" s="108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33">
        <v>46281</v>
      </c>
      <c r="B18" s="108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33">
        <v>46282</v>
      </c>
      <c r="B19" s="108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33">
        <v>46283</v>
      </c>
      <c r="B20" s="108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33">
        <v>46284</v>
      </c>
      <c r="B21" s="108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33">
        <v>46285</v>
      </c>
      <c r="B22" s="108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33">
        <v>46286</v>
      </c>
      <c r="B23" s="108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33">
        <v>46287</v>
      </c>
      <c r="B24" s="108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33">
        <v>46288</v>
      </c>
      <c r="B25" s="108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33">
        <v>46289</v>
      </c>
      <c r="B26" s="108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33">
        <v>46290</v>
      </c>
      <c r="B27" s="108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33">
        <v>46291</v>
      </c>
      <c r="B28" s="108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33">
        <v>46292</v>
      </c>
      <c r="B29" s="108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33">
        <v>46293</v>
      </c>
      <c r="B30" s="108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33">
        <v>46294</v>
      </c>
      <c r="B31" s="108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33">
        <v>46295</v>
      </c>
      <c r="B32" s="108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33">
        <v>46296</v>
      </c>
      <c r="B33" s="108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33">
        <v>46297</v>
      </c>
      <c r="B34" s="108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33">
        <v>46298</v>
      </c>
      <c r="B35" s="108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33">
        <v>46299</v>
      </c>
      <c r="B36" s="108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33">
        <v>46300</v>
      </c>
      <c r="B37" s="108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33">
        <v>46301</v>
      </c>
      <c r="B38" s="108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33">
        <v>46302</v>
      </c>
      <c r="B39" s="108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33">
        <v>46303</v>
      </c>
      <c r="B40" s="108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33">
        <v>46304</v>
      </c>
      <c r="B41" s="108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33">
        <v>46305</v>
      </c>
      <c r="B42" s="108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33">
        <v>46306</v>
      </c>
      <c r="B43" s="108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33">
        <v>46307</v>
      </c>
      <c r="B44" s="108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33">
        <v>46308</v>
      </c>
      <c r="B45" s="108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33">
        <v>46309</v>
      </c>
      <c r="B46" s="108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33">
        <v>46310</v>
      </c>
      <c r="B47" s="108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33">
        <v>46311</v>
      </c>
      <c r="B48" s="108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33">
        <v>46312</v>
      </c>
      <c r="B49" s="108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33">
        <v>46313</v>
      </c>
      <c r="B50" s="108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33">
        <v>46314</v>
      </c>
      <c r="B51" s="108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33">
        <v>46315</v>
      </c>
      <c r="B52" s="108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33">
        <v>46316</v>
      </c>
      <c r="B53" s="108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33">
        <v>46317</v>
      </c>
      <c r="B54" s="108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33">
        <v>46318</v>
      </c>
      <c r="B55" s="108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33">
        <v>46319</v>
      </c>
      <c r="B56" s="108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33">
        <v>46320</v>
      </c>
      <c r="B57" s="1088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33">
        <v>46321</v>
      </c>
      <c r="B58" s="1088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33">
        <v>46322</v>
      </c>
      <c r="B59" s="1088"/>
      <c r="C59" s="65"/>
      <c r="D59" s="68"/>
      <c r="E59" s="68"/>
      <c r="F59" s="62">
        <f t="shared" si="5"/>
        <v>0</v>
      </c>
      <c r="G59" s="66"/>
    </row>
    <row r="60" spans="1:18" x14ac:dyDescent="0.3">
      <c r="A60" s="1233">
        <v>46323</v>
      </c>
      <c r="B60" s="1088"/>
      <c r="C60" s="65"/>
      <c r="D60" s="68"/>
      <c r="E60" s="68"/>
      <c r="F60" s="62">
        <f t="shared" si="5"/>
        <v>0</v>
      </c>
      <c r="G60" s="66"/>
    </row>
    <row r="61" spans="1:18" x14ac:dyDescent="0.3">
      <c r="A61" s="1233">
        <v>46324</v>
      </c>
      <c r="B61" s="1088"/>
      <c r="C61" s="65"/>
      <c r="D61" s="68"/>
      <c r="E61" s="68"/>
      <c r="F61" s="62">
        <f t="shared" si="5"/>
        <v>0</v>
      </c>
      <c r="G61" s="66"/>
    </row>
    <row r="62" spans="1:18" x14ac:dyDescent="0.3">
      <c r="A62" s="1233">
        <v>46325</v>
      </c>
      <c r="B62" s="1088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2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34" t="s">
        <v>480</v>
      </c>
      <c r="R4" s="1235"/>
      <c r="S4" s="1235"/>
      <c r="T4" s="1236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49" t="s">
        <v>476</v>
      </c>
      <c r="Q5" s="1237"/>
      <c r="R5" s="1238"/>
      <c r="S5" s="1238"/>
      <c r="T5" s="1239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49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49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60" t="s">
        <v>1</v>
      </c>
      <c r="B4" s="1262" t="s">
        <v>51</v>
      </c>
      <c r="C4" s="1262"/>
      <c r="D4" s="1262"/>
      <c r="E4" s="1262"/>
      <c r="F4" s="101"/>
      <c r="G4" s="55"/>
      <c r="H4" s="55"/>
      <c r="I4" s="106"/>
      <c r="J4" s="106"/>
      <c r="K4" s="106"/>
      <c r="L4" s="1248" t="s">
        <v>240</v>
      </c>
      <c r="M4" s="1246"/>
      <c r="N4" s="1247"/>
      <c r="O4" s="1248" t="s">
        <v>236</v>
      </c>
      <c r="P4" s="1246"/>
      <c r="Q4" s="1247"/>
      <c r="R4" s="1248" t="s">
        <v>237</v>
      </c>
      <c r="S4" s="1246"/>
      <c r="T4" s="1247"/>
      <c r="U4" s="1248" t="s">
        <v>238</v>
      </c>
      <c r="V4" s="1246"/>
      <c r="W4" s="1247"/>
      <c r="X4" s="1248" t="s">
        <v>239</v>
      </c>
      <c r="Y4" s="1246"/>
      <c r="Z4" s="1247"/>
      <c r="AA4" s="1248" t="s">
        <v>52</v>
      </c>
      <c r="AB4" s="1246"/>
      <c r="AC4" s="1247"/>
      <c r="AD4" s="1248" t="s">
        <v>53</v>
      </c>
      <c r="AE4" s="1246"/>
      <c r="AF4" s="1247"/>
      <c r="AG4" s="1240">
        <v>0.83333333333333337</v>
      </c>
      <c r="AH4" s="1246"/>
      <c r="AI4" s="1247"/>
      <c r="AJ4" s="1240">
        <v>0.91666666666666663</v>
      </c>
      <c r="AK4" s="1241"/>
      <c r="AL4" s="1242"/>
      <c r="AM4" s="1243">
        <v>0</v>
      </c>
      <c r="AN4" s="1244"/>
      <c r="AO4" s="1245"/>
      <c r="AP4" s="1240">
        <v>8.3333333333333329E-2</v>
      </c>
      <c r="AQ4" s="1241"/>
      <c r="AR4" s="1242"/>
      <c r="AS4" s="1240">
        <v>0.16666666666666666</v>
      </c>
      <c r="AT4" s="1241"/>
      <c r="AU4" s="1242"/>
      <c r="AV4" s="60" t="s">
        <v>54</v>
      </c>
      <c r="AW4" s="45"/>
    </row>
    <row r="5" spans="1:49" x14ac:dyDescent="0.3">
      <c r="A5" s="1260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66">
        <v>46147</v>
      </c>
      <c r="B6" s="1261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75" t="s">
        <v>232</v>
      </c>
      <c r="AW6" s="1276"/>
    </row>
    <row r="7" spans="1:49" x14ac:dyDescent="0.3">
      <c r="A7" s="1266"/>
      <c r="B7" s="1250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75"/>
      <c r="AW7" s="1277"/>
    </row>
    <row r="8" spans="1:49" x14ac:dyDescent="0.3">
      <c r="A8" s="1266"/>
      <c r="B8" s="1250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75"/>
      <c r="AW8" s="1277"/>
    </row>
    <row r="9" spans="1:49" ht="15" thickBot="1" x14ac:dyDescent="0.35">
      <c r="A9" s="1261"/>
      <c r="B9" s="1250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76"/>
      <c r="AW9" s="1278"/>
    </row>
    <row r="10" spans="1:49" x14ac:dyDescent="0.3">
      <c r="A10" s="1263">
        <v>46148</v>
      </c>
      <c r="B10" s="1249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79" t="s">
        <v>241</v>
      </c>
      <c r="AW10" s="1282" t="s">
        <v>231</v>
      </c>
    </row>
    <row r="11" spans="1:49" x14ac:dyDescent="0.3">
      <c r="A11" s="1264"/>
      <c r="B11" s="1250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80"/>
      <c r="AW11" s="1283"/>
    </row>
    <row r="12" spans="1:49" x14ac:dyDescent="0.3">
      <c r="A12" s="1264"/>
      <c r="B12" s="1250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80"/>
      <c r="AW12" s="1283"/>
    </row>
    <row r="13" spans="1:49" ht="15" thickBot="1" x14ac:dyDescent="0.35">
      <c r="A13" s="1265"/>
      <c r="B13" s="1250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81"/>
      <c r="AW13" s="1284"/>
    </row>
    <row r="14" spans="1:49" ht="15" thickBot="1" x14ac:dyDescent="0.35">
      <c r="A14" s="1263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79" t="s">
        <v>242</v>
      </c>
      <c r="AW14" s="1285"/>
    </row>
    <row r="15" spans="1:49" x14ac:dyDescent="0.3">
      <c r="A15" s="1264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80"/>
      <c r="AW15" s="1286"/>
    </row>
    <row r="16" spans="1:49" x14ac:dyDescent="0.3">
      <c r="A16" s="1264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80"/>
      <c r="AW16" s="1286"/>
    </row>
    <row r="17" spans="1:49" ht="15" thickBot="1" x14ac:dyDescent="0.35">
      <c r="A17" s="1265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80"/>
      <c r="AW17" s="1287"/>
    </row>
    <row r="18" spans="1:49" x14ac:dyDescent="0.3">
      <c r="A18" s="1267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74"/>
    </row>
    <row r="19" spans="1:49" x14ac:dyDescent="0.3">
      <c r="A19" s="1266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73"/>
    </row>
    <row r="20" spans="1:49" x14ac:dyDescent="0.3">
      <c r="A20" s="1266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73"/>
    </row>
    <row r="21" spans="1:49" x14ac:dyDescent="0.3">
      <c r="A21" s="1266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73"/>
    </row>
    <row r="22" spans="1:49" x14ac:dyDescent="0.3">
      <c r="A22" s="1266">
        <v>46151</v>
      </c>
      <c r="B22" s="52"/>
      <c r="C22" s="50"/>
      <c r="D22" s="1251"/>
      <c r="E22" s="1257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73"/>
    </row>
    <row r="23" spans="1:49" x14ac:dyDescent="0.3">
      <c r="A23" s="1266"/>
      <c r="B23" s="53"/>
      <c r="C23" s="50"/>
      <c r="D23" s="1252"/>
      <c r="E23" s="1258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73"/>
    </row>
    <row r="24" spans="1:49" x14ac:dyDescent="0.3">
      <c r="A24" s="1266"/>
      <c r="B24" s="53"/>
      <c r="C24" s="50"/>
      <c r="D24" s="1252"/>
      <c r="E24" s="1258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73"/>
    </row>
    <row r="25" spans="1:49" ht="15" thickBot="1" x14ac:dyDescent="0.35">
      <c r="A25" s="1266"/>
      <c r="B25" s="54"/>
      <c r="C25" s="50"/>
      <c r="D25" s="1253"/>
      <c r="E25" s="1259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71"/>
    </row>
    <row r="26" spans="1:49" x14ac:dyDescent="0.3">
      <c r="A26" s="1266">
        <v>46152</v>
      </c>
      <c r="B26" s="52"/>
      <c r="C26" s="50"/>
      <c r="D26" s="1251"/>
      <c r="E26" s="1257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74"/>
      <c r="AW26" s="1274"/>
    </row>
    <row r="27" spans="1:49" x14ac:dyDescent="0.3">
      <c r="A27" s="1266"/>
      <c r="B27" s="53"/>
      <c r="C27" s="50"/>
      <c r="D27" s="1252"/>
      <c r="E27" s="1258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73"/>
      <c r="AW27" s="1273"/>
    </row>
    <row r="28" spans="1:49" x14ac:dyDescent="0.3">
      <c r="A28" s="1266"/>
      <c r="B28" s="53"/>
      <c r="C28" s="50"/>
      <c r="D28" s="1252"/>
      <c r="E28" s="1258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73"/>
      <c r="AW28" s="1273"/>
    </row>
    <row r="29" spans="1:49" x14ac:dyDescent="0.3">
      <c r="A29" s="1266"/>
      <c r="B29" s="54"/>
      <c r="C29" s="50"/>
      <c r="D29" s="1253"/>
      <c r="E29" s="1259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73"/>
      <c r="AW29" s="1273"/>
    </row>
    <row r="30" spans="1:49" x14ac:dyDescent="0.3">
      <c r="A30" s="1266">
        <v>46153</v>
      </c>
      <c r="B30" s="52"/>
      <c r="C30" s="50"/>
      <c r="D30" s="1251"/>
      <c r="E30" s="1257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73"/>
      <c r="AW30" s="1273"/>
    </row>
    <row r="31" spans="1:49" x14ac:dyDescent="0.3">
      <c r="A31" s="1266"/>
      <c r="B31" s="53"/>
      <c r="C31" s="50"/>
      <c r="D31" s="1252"/>
      <c r="E31" s="1258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73"/>
      <c r="AW31" s="1273"/>
    </row>
    <row r="32" spans="1:49" x14ac:dyDescent="0.3">
      <c r="A32" s="1266"/>
      <c r="B32" s="53"/>
      <c r="C32" s="50"/>
      <c r="D32" s="1252"/>
      <c r="E32" s="1258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73"/>
      <c r="AW32" s="1273"/>
    </row>
    <row r="33" spans="1:49" x14ac:dyDescent="0.3">
      <c r="A33" s="1266"/>
      <c r="B33" s="54"/>
      <c r="C33" s="50"/>
      <c r="D33" s="1253"/>
      <c r="E33" s="1259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71"/>
      <c r="AW33" s="1271"/>
    </row>
    <row r="34" spans="1:49" x14ac:dyDescent="0.3">
      <c r="A34" s="1266">
        <v>46154</v>
      </c>
      <c r="B34" s="52"/>
      <c r="C34" s="50"/>
      <c r="D34" s="1251"/>
      <c r="E34" s="1257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74"/>
      <c r="AW34" s="1274"/>
    </row>
    <row r="35" spans="1:49" x14ac:dyDescent="0.3">
      <c r="A35" s="1266"/>
      <c r="B35" s="53"/>
      <c r="C35" s="50"/>
      <c r="D35" s="1252"/>
      <c r="E35" s="1258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73"/>
      <c r="AW35" s="1273"/>
    </row>
    <row r="36" spans="1:49" x14ac:dyDescent="0.3">
      <c r="A36" s="1266"/>
      <c r="B36" s="53"/>
      <c r="C36" s="50"/>
      <c r="D36" s="1252"/>
      <c r="E36" s="1258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73"/>
      <c r="AW36" s="1273"/>
    </row>
    <row r="37" spans="1:49" x14ac:dyDescent="0.3">
      <c r="A37" s="1266"/>
      <c r="B37" s="54"/>
      <c r="C37" s="50"/>
      <c r="D37" s="1253"/>
      <c r="E37" s="1259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73"/>
      <c r="AW37" s="1273"/>
    </row>
    <row r="38" spans="1:49" x14ac:dyDescent="0.3">
      <c r="A38" s="1266">
        <v>46155</v>
      </c>
      <c r="B38" s="52"/>
      <c r="C38" s="50"/>
      <c r="D38" s="1251"/>
      <c r="E38" s="1257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73"/>
      <c r="AW38" s="1273"/>
    </row>
    <row r="39" spans="1:49" x14ac:dyDescent="0.3">
      <c r="A39" s="1266"/>
      <c r="B39" s="53"/>
      <c r="C39" s="50"/>
      <c r="D39" s="1252"/>
      <c r="E39" s="1258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73"/>
      <c r="AW39" s="1273"/>
    </row>
    <row r="40" spans="1:49" x14ac:dyDescent="0.3">
      <c r="A40" s="1266"/>
      <c r="B40" s="53"/>
      <c r="C40" s="50"/>
      <c r="D40" s="1252"/>
      <c r="E40" s="1258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73"/>
      <c r="AW40" s="1273"/>
    </row>
    <row r="41" spans="1:49" x14ac:dyDescent="0.3">
      <c r="A41" s="1266"/>
      <c r="B41" s="54"/>
      <c r="C41" s="50"/>
      <c r="D41" s="1253"/>
      <c r="E41" s="1259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71"/>
      <c r="AW41" s="1271"/>
    </row>
    <row r="42" spans="1:49" x14ac:dyDescent="0.3">
      <c r="A42" s="1266">
        <v>46156</v>
      </c>
      <c r="B42" s="52"/>
      <c r="C42" s="50"/>
      <c r="D42" s="1251"/>
      <c r="E42" s="1257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74"/>
      <c r="AW42" s="1274"/>
    </row>
    <row r="43" spans="1:49" x14ac:dyDescent="0.3">
      <c r="A43" s="1266"/>
      <c r="B43" s="53"/>
      <c r="C43" s="50"/>
      <c r="D43" s="1252"/>
      <c r="E43" s="1258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73"/>
      <c r="AW43" s="1273"/>
    </row>
    <row r="44" spans="1:49" x14ac:dyDescent="0.3">
      <c r="A44" s="1266"/>
      <c r="B44" s="53"/>
      <c r="C44" s="50"/>
      <c r="D44" s="1252"/>
      <c r="E44" s="1258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73"/>
      <c r="AW44" s="1273"/>
    </row>
    <row r="45" spans="1:49" x14ac:dyDescent="0.3">
      <c r="A45" s="1266"/>
      <c r="B45" s="54"/>
      <c r="C45" s="50"/>
      <c r="D45" s="1253"/>
      <c r="E45" s="1259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73"/>
      <c r="AW45" s="1273"/>
    </row>
    <row r="46" spans="1:49" x14ac:dyDescent="0.3">
      <c r="A46" s="1266">
        <v>46157</v>
      </c>
      <c r="B46" s="52"/>
      <c r="C46" s="50"/>
      <c r="D46" s="1254" t="s">
        <v>158</v>
      </c>
      <c r="E46" s="1257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73"/>
      <c r="AW46" s="1273"/>
    </row>
    <row r="47" spans="1:49" x14ac:dyDescent="0.3">
      <c r="A47" s="1266"/>
      <c r="B47" s="53"/>
      <c r="C47" s="50"/>
      <c r="D47" s="1255"/>
      <c r="E47" s="1258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73"/>
      <c r="AW47" s="1273"/>
    </row>
    <row r="48" spans="1:49" x14ac:dyDescent="0.3">
      <c r="A48" s="1266"/>
      <c r="B48" s="53"/>
      <c r="C48" s="50"/>
      <c r="D48" s="1255"/>
      <c r="E48" s="1258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73"/>
      <c r="AW48" s="1273"/>
    </row>
    <row r="49" spans="1:49" x14ac:dyDescent="0.3">
      <c r="A49" s="1266"/>
      <c r="B49" s="54"/>
      <c r="C49" s="50"/>
      <c r="D49" s="1256"/>
      <c r="E49" s="1259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71"/>
      <c r="AW49" s="1271"/>
    </row>
    <row r="50" spans="1:49" x14ac:dyDescent="0.3">
      <c r="A50" s="1266">
        <v>46158</v>
      </c>
      <c r="B50" s="52"/>
      <c r="C50" s="50"/>
      <c r="D50" s="1251"/>
      <c r="E50" s="1257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74"/>
      <c r="AW50" s="1274"/>
    </row>
    <row r="51" spans="1:49" x14ac:dyDescent="0.3">
      <c r="A51" s="1266"/>
      <c r="B51" s="53"/>
      <c r="C51" s="50"/>
      <c r="D51" s="1252"/>
      <c r="E51" s="1258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73"/>
      <c r="AW51" s="1273"/>
    </row>
    <row r="52" spans="1:49" x14ac:dyDescent="0.3">
      <c r="A52" s="1266"/>
      <c r="B52" s="53"/>
      <c r="C52" s="50"/>
      <c r="D52" s="1252"/>
      <c r="E52" s="1258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73"/>
      <c r="AW52" s="1273"/>
    </row>
    <row r="53" spans="1:49" x14ac:dyDescent="0.3">
      <c r="A53" s="1266"/>
      <c r="B53" s="54"/>
      <c r="C53" s="50"/>
      <c r="D53" s="1253"/>
      <c r="E53" s="1259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73"/>
      <c r="AW53" s="1273"/>
    </row>
    <row r="54" spans="1:49" x14ac:dyDescent="0.3">
      <c r="A54" s="1266">
        <v>46159</v>
      </c>
      <c r="B54" s="52"/>
      <c r="C54" s="50"/>
      <c r="D54" s="99"/>
      <c r="E54" s="1268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73"/>
      <c r="AW54" s="1273"/>
    </row>
    <row r="55" spans="1:49" x14ac:dyDescent="0.3">
      <c r="A55" s="1266"/>
      <c r="B55" s="53"/>
      <c r="C55" s="50"/>
      <c r="D55" s="99"/>
      <c r="E55" s="1269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73"/>
      <c r="AW55" s="1273"/>
    </row>
    <row r="56" spans="1:49" x14ac:dyDescent="0.3">
      <c r="A56" s="1266"/>
      <c r="B56" s="53"/>
      <c r="C56" s="50"/>
      <c r="D56" s="99"/>
      <c r="E56" s="1269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73"/>
      <c r="AW56" s="1273"/>
    </row>
    <row r="57" spans="1:49" x14ac:dyDescent="0.3">
      <c r="A57" s="1266"/>
      <c r="B57" s="54"/>
      <c r="C57" s="50"/>
      <c r="D57" s="99"/>
      <c r="E57" s="1270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71"/>
      <c r="AW57" s="1271"/>
    </row>
    <row r="58" spans="1:49" x14ac:dyDescent="0.3">
      <c r="A58" s="1266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74"/>
      <c r="AW58" s="1274"/>
    </row>
    <row r="59" spans="1:49" x14ac:dyDescent="0.3">
      <c r="A59" s="1266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73"/>
      <c r="AW59" s="1273"/>
    </row>
    <row r="60" spans="1:49" x14ac:dyDescent="0.3">
      <c r="A60" s="1266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73"/>
      <c r="AW60" s="1273"/>
    </row>
    <row r="61" spans="1:49" x14ac:dyDescent="0.3">
      <c r="A61" s="1266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73"/>
      <c r="AW61" s="1273"/>
    </row>
    <row r="62" spans="1:49" x14ac:dyDescent="0.3">
      <c r="A62" s="1266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73"/>
      <c r="AW62" s="1273"/>
    </row>
    <row r="63" spans="1:49" x14ac:dyDescent="0.3">
      <c r="A63" s="1266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73"/>
      <c r="AW63" s="1273"/>
    </row>
    <row r="64" spans="1:49" x14ac:dyDescent="0.3">
      <c r="A64" s="1266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73"/>
      <c r="AW64" s="1273"/>
    </row>
    <row r="65" spans="1:49" x14ac:dyDescent="0.3">
      <c r="A65" s="1266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71"/>
      <c r="AW65" s="1271"/>
    </row>
    <row r="66" spans="1:49" x14ac:dyDescent="0.3">
      <c r="A66" s="1266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74"/>
      <c r="AW66" s="1274"/>
    </row>
    <row r="67" spans="1:49" x14ac:dyDescent="0.3">
      <c r="A67" s="1266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73"/>
      <c r="AW67" s="1273"/>
    </row>
    <row r="68" spans="1:49" x14ac:dyDescent="0.3">
      <c r="A68" s="1266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73"/>
      <c r="AW68" s="1273"/>
    </row>
    <row r="69" spans="1:49" x14ac:dyDescent="0.3">
      <c r="A69" s="1266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73"/>
      <c r="AW69" s="1273"/>
    </row>
    <row r="70" spans="1:49" x14ac:dyDescent="0.3">
      <c r="A70" s="1266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73"/>
      <c r="AW70" s="1273"/>
    </row>
    <row r="71" spans="1:49" x14ac:dyDescent="0.3">
      <c r="A71" s="1266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73"/>
      <c r="AW71" s="1273"/>
    </row>
    <row r="72" spans="1:49" x14ac:dyDescent="0.3">
      <c r="A72" s="1266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73"/>
      <c r="AW72" s="1273"/>
    </row>
    <row r="73" spans="1:49" x14ac:dyDescent="0.3">
      <c r="A73" s="1266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71"/>
      <c r="AW73" s="1271"/>
    </row>
    <row r="74" spans="1:49" x14ac:dyDescent="0.3">
      <c r="A74" s="1266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74"/>
      <c r="AW74" s="1274"/>
    </row>
    <row r="75" spans="1:49" x14ac:dyDescent="0.3">
      <c r="A75" s="1266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73"/>
      <c r="AW75" s="1273"/>
    </row>
    <row r="76" spans="1:49" x14ac:dyDescent="0.3">
      <c r="A76" s="1266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73"/>
      <c r="AW76" s="1273"/>
    </row>
    <row r="77" spans="1:49" x14ac:dyDescent="0.3">
      <c r="A77" s="1266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73"/>
      <c r="AW77" s="1273"/>
    </row>
    <row r="78" spans="1:49" x14ac:dyDescent="0.3">
      <c r="A78" s="1266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73"/>
      <c r="AW78" s="1273"/>
    </row>
    <row r="79" spans="1:49" x14ac:dyDescent="0.3">
      <c r="A79" s="1266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73"/>
      <c r="AW79" s="1273"/>
    </row>
    <row r="80" spans="1:49" x14ac:dyDescent="0.3">
      <c r="A80" s="1266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73"/>
      <c r="AW80" s="1273"/>
    </row>
    <row r="81" spans="1:49" x14ac:dyDescent="0.3">
      <c r="A81" s="1266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71"/>
      <c r="AW81" s="1271"/>
    </row>
    <row r="82" spans="1:49" x14ac:dyDescent="0.3">
      <c r="A82" s="1266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74"/>
      <c r="AW82" s="1274"/>
    </row>
    <row r="83" spans="1:49" x14ac:dyDescent="0.3">
      <c r="A83" s="1266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73"/>
      <c r="AW83" s="1273"/>
    </row>
    <row r="84" spans="1:49" x14ac:dyDescent="0.3">
      <c r="A84" s="1266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73"/>
      <c r="AW84" s="1273"/>
    </row>
    <row r="85" spans="1:49" x14ac:dyDescent="0.3">
      <c r="A85" s="1266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73"/>
      <c r="AW85" s="1273"/>
    </row>
    <row r="86" spans="1:49" x14ac:dyDescent="0.3">
      <c r="A86" s="1266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73"/>
      <c r="AW86" s="1273"/>
    </row>
    <row r="87" spans="1:49" x14ac:dyDescent="0.3">
      <c r="A87" s="1266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73"/>
      <c r="AW87" s="1273"/>
    </row>
    <row r="88" spans="1:49" x14ac:dyDescent="0.3">
      <c r="A88" s="1266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73"/>
      <c r="AW88" s="1273"/>
    </row>
    <row r="89" spans="1:49" x14ac:dyDescent="0.3">
      <c r="A89" s="1266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71"/>
      <c r="AW89" s="1271"/>
    </row>
    <row r="90" spans="1:49" x14ac:dyDescent="0.3">
      <c r="A90" s="1266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74"/>
      <c r="AW90" s="1274"/>
    </row>
    <row r="91" spans="1:49" x14ac:dyDescent="0.3">
      <c r="A91" s="1266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73"/>
      <c r="AW91" s="1273"/>
    </row>
    <row r="92" spans="1:49" x14ac:dyDescent="0.3">
      <c r="A92" s="1266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73"/>
      <c r="AW92" s="1273"/>
    </row>
    <row r="93" spans="1:49" x14ac:dyDescent="0.3">
      <c r="A93" s="1266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73"/>
      <c r="AW93" s="1273"/>
    </row>
    <row r="94" spans="1:49" x14ac:dyDescent="0.3">
      <c r="A94" s="1266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73"/>
      <c r="AW94" s="1273"/>
    </row>
    <row r="95" spans="1:49" x14ac:dyDescent="0.3">
      <c r="A95" s="1266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73"/>
      <c r="AW95" s="1273"/>
    </row>
    <row r="96" spans="1:49" x14ac:dyDescent="0.3">
      <c r="A96" s="1266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73"/>
      <c r="AW96" s="1273"/>
    </row>
    <row r="97" spans="1:49" x14ac:dyDescent="0.3">
      <c r="A97" s="1266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71"/>
      <c r="AW97" s="1271"/>
    </row>
    <row r="98" spans="1:49" x14ac:dyDescent="0.3">
      <c r="A98" s="1266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74"/>
      <c r="AW98" s="1274"/>
    </row>
    <row r="99" spans="1:49" x14ac:dyDescent="0.3">
      <c r="A99" s="1266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73"/>
      <c r="AW99" s="1273"/>
    </row>
    <row r="100" spans="1:49" x14ac:dyDescent="0.3">
      <c r="A100" s="1266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73"/>
      <c r="AW100" s="1273"/>
    </row>
    <row r="101" spans="1:49" x14ac:dyDescent="0.3">
      <c r="A101" s="1266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73"/>
      <c r="AW101" s="1273"/>
    </row>
    <row r="102" spans="1:49" x14ac:dyDescent="0.3">
      <c r="A102" s="1266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73"/>
      <c r="AW102" s="1273"/>
    </row>
    <row r="103" spans="1:49" x14ac:dyDescent="0.3">
      <c r="A103" s="1266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73"/>
      <c r="AW103" s="1273"/>
    </row>
    <row r="104" spans="1:49" x14ac:dyDescent="0.3">
      <c r="A104" s="1266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73"/>
      <c r="AW104" s="1273"/>
    </row>
    <row r="105" spans="1:49" x14ac:dyDescent="0.3">
      <c r="A105" s="1266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71"/>
      <c r="AW105" s="1271"/>
    </row>
    <row r="106" spans="1:49" x14ac:dyDescent="0.3">
      <c r="A106" s="1266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74"/>
      <c r="AW106" s="1274"/>
    </row>
    <row r="107" spans="1:49" x14ac:dyDescent="0.3">
      <c r="A107" s="1266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73"/>
      <c r="AW107" s="1273"/>
    </row>
    <row r="108" spans="1:49" x14ac:dyDescent="0.3">
      <c r="A108" s="1266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73"/>
      <c r="AW108" s="1273"/>
    </row>
    <row r="109" spans="1:49" x14ac:dyDescent="0.3">
      <c r="A109" s="1266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73"/>
      <c r="AW109" s="1273"/>
    </row>
    <row r="110" spans="1:49" x14ac:dyDescent="0.3">
      <c r="A110" s="1266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73"/>
      <c r="AW110" s="1273"/>
    </row>
    <row r="111" spans="1:49" x14ac:dyDescent="0.3">
      <c r="A111" s="1266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73"/>
      <c r="AW111" s="1273"/>
    </row>
    <row r="112" spans="1:49" x14ac:dyDescent="0.3">
      <c r="A112" s="1266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73"/>
      <c r="AW112" s="1273"/>
    </row>
    <row r="113" spans="1:49" x14ac:dyDescent="0.3">
      <c r="A113" s="1266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71"/>
      <c r="AW113" s="1271"/>
    </row>
    <row r="114" spans="1:49" x14ac:dyDescent="0.3">
      <c r="A114" s="1266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74"/>
      <c r="AW114" s="1274"/>
    </row>
    <row r="115" spans="1:49" x14ac:dyDescent="0.3">
      <c r="A115" s="1266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73"/>
      <c r="AW115" s="1273"/>
    </row>
    <row r="116" spans="1:49" x14ac:dyDescent="0.3">
      <c r="A116" s="1266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73"/>
      <c r="AW116" s="1273"/>
    </row>
    <row r="117" spans="1:49" x14ac:dyDescent="0.3">
      <c r="A117" s="1266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73"/>
      <c r="AW117" s="1273"/>
    </row>
    <row r="118" spans="1:49" x14ac:dyDescent="0.3">
      <c r="A118" s="1266">
        <v>46175</v>
      </c>
      <c r="B118" s="52"/>
      <c r="C118" s="50"/>
      <c r="D118" s="1251"/>
      <c r="E118" s="1257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73"/>
      <c r="AW118" s="1273"/>
    </row>
    <row r="119" spans="1:49" x14ac:dyDescent="0.3">
      <c r="A119" s="1266"/>
      <c r="B119" s="53"/>
      <c r="C119" s="50"/>
      <c r="D119" s="1252"/>
      <c r="E119" s="1258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73"/>
      <c r="AW119" s="1273"/>
    </row>
    <row r="120" spans="1:49" x14ac:dyDescent="0.3">
      <c r="A120" s="1266"/>
      <c r="B120" s="53"/>
      <c r="C120" s="50"/>
      <c r="D120" s="1252"/>
      <c r="E120" s="1258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73"/>
      <c r="AW120" s="1273"/>
    </row>
    <row r="121" spans="1:49" x14ac:dyDescent="0.3">
      <c r="A121" s="1266"/>
      <c r="B121" s="54"/>
      <c r="C121" s="50"/>
      <c r="D121" s="1253"/>
      <c r="E121" s="1259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71"/>
      <c r="AW121" s="1271"/>
    </row>
    <row r="122" spans="1:49" x14ac:dyDescent="0.3">
      <c r="A122" s="1266">
        <v>46176</v>
      </c>
      <c r="B122" s="52"/>
      <c r="C122" s="50"/>
      <c r="D122" s="1251"/>
      <c r="E122" s="1257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74"/>
      <c r="AW122" s="1274"/>
    </row>
    <row r="123" spans="1:49" x14ac:dyDescent="0.3">
      <c r="A123" s="1266"/>
      <c r="B123" s="53"/>
      <c r="C123" s="50"/>
      <c r="D123" s="1252"/>
      <c r="E123" s="1258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73"/>
      <c r="AW123" s="1273"/>
    </row>
    <row r="124" spans="1:49" x14ac:dyDescent="0.3">
      <c r="A124" s="1266"/>
      <c r="B124" s="53"/>
      <c r="C124" s="50"/>
      <c r="D124" s="1252"/>
      <c r="E124" s="1258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73"/>
      <c r="AW124" s="1273"/>
    </row>
    <row r="125" spans="1:49" x14ac:dyDescent="0.3">
      <c r="A125" s="1266"/>
      <c r="B125" s="54"/>
      <c r="C125" s="50"/>
      <c r="D125" s="1253"/>
      <c r="E125" s="1259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73"/>
      <c r="AW125" s="1273"/>
    </row>
    <row r="126" spans="1:49" x14ac:dyDescent="0.3">
      <c r="A126" s="1266">
        <v>46177</v>
      </c>
      <c r="B126" s="52"/>
      <c r="C126" s="50"/>
      <c r="D126" s="1251"/>
      <c r="E126" s="1257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73"/>
      <c r="AW126" s="1273"/>
    </row>
    <row r="127" spans="1:49" x14ac:dyDescent="0.3">
      <c r="A127" s="1266"/>
      <c r="B127" s="53"/>
      <c r="C127" s="50"/>
      <c r="D127" s="1252"/>
      <c r="E127" s="1258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73"/>
      <c r="AW127" s="1273"/>
    </row>
    <row r="128" spans="1:49" x14ac:dyDescent="0.3">
      <c r="A128" s="1266"/>
      <c r="B128" s="53"/>
      <c r="C128" s="50"/>
      <c r="D128" s="1252"/>
      <c r="E128" s="1258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73"/>
      <c r="AW128" s="1273"/>
    </row>
    <row r="129" spans="1:49" x14ac:dyDescent="0.3">
      <c r="A129" s="1266"/>
      <c r="B129" s="54"/>
      <c r="C129" s="50"/>
      <c r="D129" s="1253"/>
      <c r="E129" s="1259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71"/>
      <c r="AW129" s="1271"/>
    </row>
    <row r="130" spans="1:49" x14ac:dyDescent="0.3">
      <c r="A130" s="19"/>
      <c r="B130" s="19"/>
      <c r="C130" s="19"/>
      <c r="D130" s="1266"/>
      <c r="E130" s="1272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74"/>
      <c r="AW130" s="1274"/>
    </row>
    <row r="131" spans="1:49" x14ac:dyDescent="0.3">
      <c r="A131" s="19"/>
      <c r="B131" s="19"/>
      <c r="C131" s="19"/>
      <c r="D131" s="1271"/>
      <c r="E131" s="1273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73"/>
      <c r="AW131" s="1273"/>
    </row>
    <row r="132" spans="1:49" x14ac:dyDescent="0.3">
      <c r="A132" s="19"/>
      <c r="B132" s="19"/>
      <c r="C132" s="19"/>
      <c r="D132" s="1271"/>
      <c r="E132" s="1273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73"/>
      <c r="AW132" s="1273"/>
    </row>
    <row r="133" spans="1:49" x14ac:dyDescent="0.3">
      <c r="A133" s="19"/>
      <c r="B133" s="19"/>
      <c r="C133" s="19"/>
      <c r="D133" s="1271"/>
      <c r="E133" s="1273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73"/>
      <c r="AW133" s="1273"/>
    </row>
    <row r="134" spans="1:49" x14ac:dyDescent="0.3">
      <c r="A134" s="19"/>
      <c r="B134" s="19"/>
      <c r="C134" s="19"/>
      <c r="D134" s="1271"/>
      <c r="E134" s="1273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73"/>
      <c r="AW134" s="1273"/>
    </row>
    <row r="135" spans="1:49" x14ac:dyDescent="0.3">
      <c r="A135" s="19"/>
      <c r="B135" s="19"/>
      <c r="C135" s="19"/>
      <c r="D135" s="1271"/>
      <c r="E135" s="1273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73"/>
      <c r="AW135" s="1273"/>
    </row>
    <row r="136" spans="1:49" x14ac:dyDescent="0.3">
      <c r="A136" s="19"/>
      <c r="B136" s="19"/>
      <c r="C136" s="19"/>
      <c r="D136" s="1271"/>
      <c r="E136" s="1273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73"/>
      <c r="AW136" s="1273"/>
    </row>
    <row r="137" spans="1:49" x14ac:dyDescent="0.3">
      <c r="A137" s="19"/>
      <c r="B137" s="19"/>
      <c r="C137" s="19"/>
      <c r="D137" s="1271"/>
      <c r="E137" s="1271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71"/>
      <c r="AW137" s="1271"/>
    </row>
    <row r="138" spans="1:49" x14ac:dyDescent="0.3">
      <c r="A138" s="19"/>
      <c r="B138" s="19"/>
      <c r="C138" s="19"/>
      <c r="D138" s="1266"/>
      <c r="E138" s="1272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74"/>
      <c r="AW138" s="1274"/>
    </row>
    <row r="139" spans="1:49" x14ac:dyDescent="0.3">
      <c r="A139" s="19"/>
      <c r="B139" s="19"/>
      <c r="C139" s="19"/>
      <c r="D139" s="1271"/>
      <c r="E139" s="1273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73"/>
      <c r="AW139" s="1273"/>
    </row>
    <row r="140" spans="1:49" x14ac:dyDescent="0.3">
      <c r="A140" s="19"/>
      <c r="B140" s="19"/>
      <c r="C140" s="19"/>
      <c r="D140" s="1271"/>
      <c r="E140" s="1273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73"/>
      <c r="AW140" s="1273"/>
    </row>
    <row r="141" spans="1:49" x14ac:dyDescent="0.3">
      <c r="A141" s="19"/>
      <c r="B141" s="19"/>
      <c r="C141" s="19"/>
      <c r="D141" s="1271"/>
      <c r="E141" s="1273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73"/>
      <c r="AW141" s="1273"/>
    </row>
    <row r="142" spans="1:49" x14ac:dyDescent="0.3">
      <c r="A142" s="19"/>
      <c r="B142" s="19"/>
      <c r="C142" s="19"/>
      <c r="D142" s="1271"/>
      <c r="E142" s="1273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73"/>
      <c r="AW142" s="1273"/>
    </row>
    <row r="143" spans="1:49" x14ac:dyDescent="0.3">
      <c r="A143" s="19"/>
      <c r="B143" s="19"/>
      <c r="C143" s="19"/>
      <c r="D143" s="1271"/>
      <c r="E143" s="1273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73"/>
      <c r="AW143" s="1273"/>
    </row>
    <row r="144" spans="1:49" x14ac:dyDescent="0.3">
      <c r="A144" s="19"/>
      <c r="B144" s="19"/>
      <c r="C144" s="19"/>
      <c r="D144" s="1271"/>
      <c r="E144" s="1273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73"/>
      <c r="AW144" s="1273"/>
    </row>
    <row r="145" spans="1:49" x14ac:dyDescent="0.3">
      <c r="A145" s="19"/>
      <c r="B145" s="19"/>
      <c r="C145" s="19"/>
      <c r="D145" s="1271"/>
      <c r="E145" s="1271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71"/>
      <c r="AW145" s="1271"/>
    </row>
    <row r="146" spans="1:49" x14ac:dyDescent="0.3">
      <c r="A146" s="19"/>
      <c r="B146" s="19"/>
      <c r="C146" s="19"/>
      <c r="D146" s="1266"/>
      <c r="E146" s="1272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74"/>
      <c r="AW146" s="1274"/>
    </row>
    <row r="147" spans="1:49" x14ac:dyDescent="0.3">
      <c r="A147" s="19"/>
      <c r="B147" s="19"/>
      <c r="C147" s="19"/>
      <c r="D147" s="1271"/>
      <c r="E147" s="1273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73"/>
      <c r="AW147" s="1273"/>
    </row>
    <row r="148" spans="1:49" x14ac:dyDescent="0.3">
      <c r="A148" s="19"/>
      <c r="B148" s="19"/>
      <c r="C148" s="19"/>
      <c r="D148" s="1271"/>
      <c r="E148" s="1273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73"/>
      <c r="AW148" s="1273"/>
    </row>
    <row r="149" spans="1:49" x14ac:dyDescent="0.3">
      <c r="A149" s="19"/>
      <c r="B149" s="19"/>
      <c r="C149" s="19"/>
      <c r="D149" s="1271"/>
      <c r="E149" s="1273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73"/>
      <c r="AW149" s="1273"/>
    </row>
    <row r="150" spans="1:49" x14ac:dyDescent="0.3">
      <c r="A150" s="19"/>
      <c r="B150" s="19"/>
      <c r="C150" s="19"/>
      <c r="D150" s="1271"/>
      <c r="E150" s="1273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73"/>
      <c r="AW150" s="1273"/>
    </row>
    <row r="151" spans="1:49" x14ac:dyDescent="0.3">
      <c r="A151" s="19"/>
      <c r="B151" s="19"/>
      <c r="C151" s="19"/>
      <c r="D151" s="1271"/>
      <c r="E151" s="1273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73"/>
      <c r="AW151" s="1273"/>
    </row>
    <row r="152" spans="1:49" x14ac:dyDescent="0.3">
      <c r="A152" s="19"/>
      <c r="B152" s="19"/>
      <c r="C152" s="19"/>
      <c r="D152" s="1271"/>
      <c r="E152" s="1273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73"/>
      <c r="AW152" s="1273"/>
    </row>
    <row r="153" spans="1:49" x14ac:dyDescent="0.3">
      <c r="A153" s="19"/>
      <c r="B153" s="19"/>
      <c r="C153" s="19"/>
      <c r="D153" s="1271"/>
      <c r="E153" s="1271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71"/>
      <c r="AW153" s="1271"/>
    </row>
    <row r="154" spans="1:49" x14ac:dyDescent="0.3">
      <c r="A154" s="19"/>
      <c r="B154" s="19"/>
      <c r="C154" s="19"/>
      <c r="D154" s="1266"/>
      <c r="E154" s="1272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74"/>
      <c r="AW154" s="1274"/>
    </row>
    <row r="155" spans="1:49" x14ac:dyDescent="0.3">
      <c r="A155" s="19"/>
      <c r="B155" s="19"/>
      <c r="C155" s="19"/>
      <c r="D155" s="1271"/>
      <c r="E155" s="1273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73"/>
      <c r="AW155" s="1273"/>
    </row>
    <row r="156" spans="1:49" x14ac:dyDescent="0.3">
      <c r="A156" s="19"/>
      <c r="B156" s="19"/>
      <c r="C156" s="19"/>
      <c r="D156" s="1271"/>
      <c r="E156" s="1273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73"/>
      <c r="AW156" s="1273"/>
    </row>
    <row r="157" spans="1:49" x14ac:dyDescent="0.3">
      <c r="A157" s="19"/>
      <c r="B157" s="19"/>
      <c r="C157" s="19"/>
      <c r="D157" s="1271"/>
      <c r="E157" s="1273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73"/>
      <c r="AW157" s="1273"/>
    </row>
    <row r="158" spans="1:49" x14ac:dyDescent="0.3">
      <c r="A158" s="19"/>
      <c r="B158" s="19"/>
      <c r="C158" s="19"/>
      <c r="D158" s="1271"/>
      <c r="E158" s="1273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73"/>
      <c r="AW158" s="1273"/>
    </row>
    <row r="159" spans="1:49" x14ac:dyDescent="0.3">
      <c r="A159" s="19"/>
      <c r="B159" s="19"/>
      <c r="C159" s="19"/>
      <c r="D159" s="1271"/>
      <c r="E159" s="1273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73"/>
      <c r="AW159" s="1273"/>
    </row>
    <row r="160" spans="1:49" x14ac:dyDescent="0.3">
      <c r="A160" s="19"/>
      <c r="B160" s="19"/>
      <c r="C160" s="19"/>
      <c r="D160" s="1271"/>
      <c r="E160" s="1273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73"/>
      <c r="AW160" s="1273"/>
    </row>
    <row r="161" spans="1:49" x14ac:dyDescent="0.3">
      <c r="A161" s="19"/>
      <c r="B161" s="19"/>
      <c r="C161" s="19"/>
      <c r="D161" s="1271"/>
      <c r="E161" s="1271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71"/>
      <c r="AW161" s="1271"/>
    </row>
    <row r="162" spans="1:49" x14ac:dyDescent="0.3">
      <c r="A162" s="19"/>
      <c r="B162" s="19"/>
      <c r="C162" s="19"/>
      <c r="D162" s="1266"/>
      <c r="E162" s="1272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74"/>
      <c r="AW162" s="1274"/>
    </row>
    <row r="163" spans="1:49" x14ac:dyDescent="0.3">
      <c r="A163" s="19"/>
      <c r="B163" s="19"/>
      <c r="C163" s="19"/>
      <c r="D163" s="1271"/>
      <c r="E163" s="1273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73"/>
      <c r="AW163" s="1273"/>
    </row>
    <row r="164" spans="1:49" x14ac:dyDescent="0.3">
      <c r="A164" s="19"/>
      <c r="B164" s="19"/>
      <c r="C164" s="19"/>
      <c r="D164" s="1271"/>
      <c r="E164" s="1273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73"/>
      <c r="AW164" s="1273"/>
    </row>
    <row r="165" spans="1:49" x14ac:dyDescent="0.3">
      <c r="A165" s="19"/>
      <c r="B165" s="19"/>
      <c r="C165" s="19"/>
      <c r="D165" s="1271"/>
      <c r="E165" s="1273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73"/>
      <c r="AW165" s="1273"/>
    </row>
    <row r="166" spans="1:49" x14ac:dyDescent="0.3">
      <c r="A166" s="19"/>
      <c r="B166" s="19"/>
      <c r="C166" s="19"/>
      <c r="D166" s="1271"/>
      <c r="E166" s="1273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73"/>
      <c r="AW166" s="1273"/>
    </row>
    <row r="167" spans="1:49" x14ac:dyDescent="0.3">
      <c r="A167" s="19"/>
      <c r="B167" s="19"/>
      <c r="C167" s="19"/>
      <c r="D167" s="1271"/>
      <c r="E167" s="1273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73"/>
      <c r="AW167" s="1273"/>
    </row>
    <row r="168" spans="1:49" x14ac:dyDescent="0.3">
      <c r="A168" s="19"/>
      <c r="B168" s="19"/>
      <c r="C168" s="19"/>
      <c r="D168" s="1271"/>
      <c r="E168" s="1273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73"/>
      <c r="AW168" s="1273"/>
    </row>
    <row r="169" spans="1:49" x14ac:dyDescent="0.3">
      <c r="A169" s="19"/>
      <c r="B169" s="19"/>
      <c r="C169" s="19"/>
      <c r="D169" s="1271"/>
      <c r="E169" s="1271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71"/>
      <c r="AW169" s="1271"/>
    </row>
    <row r="170" spans="1:49" x14ac:dyDescent="0.3">
      <c r="A170" s="19"/>
      <c r="B170" s="19"/>
      <c r="C170" s="19"/>
      <c r="D170" s="1266"/>
      <c r="E170" s="1272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74"/>
      <c r="AW170" s="1274"/>
    </row>
    <row r="171" spans="1:49" x14ac:dyDescent="0.3">
      <c r="A171" s="19"/>
      <c r="B171" s="19"/>
      <c r="C171" s="19"/>
      <c r="D171" s="1271"/>
      <c r="E171" s="1273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73"/>
      <c r="AW171" s="1273"/>
    </row>
    <row r="172" spans="1:49" x14ac:dyDescent="0.3">
      <c r="A172" s="19"/>
      <c r="B172" s="19"/>
      <c r="C172" s="19"/>
      <c r="D172" s="1271"/>
      <c r="E172" s="1273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73"/>
      <c r="AW172" s="1273"/>
    </row>
    <row r="173" spans="1:49" x14ac:dyDescent="0.3">
      <c r="A173" s="19"/>
      <c r="B173" s="19"/>
      <c r="C173" s="19"/>
      <c r="D173" s="1271"/>
      <c r="E173" s="1273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73"/>
      <c r="AW173" s="1273"/>
    </row>
    <row r="174" spans="1:49" x14ac:dyDescent="0.3">
      <c r="A174" s="19"/>
      <c r="B174" s="19"/>
      <c r="C174" s="19"/>
      <c r="D174" s="1271"/>
      <c r="E174" s="1273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73"/>
      <c r="AW174" s="1273"/>
    </row>
    <row r="175" spans="1:49" x14ac:dyDescent="0.3">
      <c r="A175" s="19"/>
      <c r="B175" s="19"/>
      <c r="C175" s="19"/>
      <c r="D175" s="1271"/>
      <c r="E175" s="1273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73"/>
      <c r="AW175" s="1273"/>
    </row>
    <row r="176" spans="1:49" x14ac:dyDescent="0.3">
      <c r="A176" s="19"/>
      <c r="B176" s="19"/>
      <c r="C176" s="19"/>
      <c r="D176" s="1271"/>
      <c r="E176" s="1273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73"/>
      <c r="AW176" s="1273"/>
    </row>
    <row r="177" spans="1:49" x14ac:dyDescent="0.3">
      <c r="A177" s="19"/>
      <c r="B177" s="19"/>
      <c r="C177" s="19"/>
      <c r="D177" s="1271"/>
      <c r="E177" s="1271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71"/>
      <c r="AW177" s="1271"/>
    </row>
    <row r="178" spans="1:49" x14ac:dyDescent="0.3">
      <c r="A178" s="19"/>
      <c r="B178" s="19"/>
      <c r="C178" s="19"/>
      <c r="D178" s="1266"/>
      <c r="E178" s="1272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74"/>
      <c r="AW178" s="1274"/>
    </row>
    <row r="179" spans="1:49" x14ac:dyDescent="0.3">
      <c r="A179" s="19"/>
      <c r="B179" s="19"/>
      <c r="C179" s="19"/>
      <c r="D179" s="1271"/>
      <c r="E179" s="1273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73"/>
      <c r="AW179" s="1273"/>
    </row>
    <row r="180" spans="1:49" x14ac:dyDescent="0.3">
      <c r="A180" s="19"/>
      <c r="B180" s="19"/>
      <c r="C180" s="19"/>
      <c r="D180" s="1271"/>
      <c r="E180" s="1273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73"/>
      <c r="AW180" s="1273"/>
    </row>
    <row r="181" spans="1:49" x14ac:dyDescent="0.3">
      <c r="A181" s="19"/>
      <c r="B181" s="19"/>
      <c r="C181" s="19"/>
      <c r="D181" s="1271"/>
      <c r="E181" s="1273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73"/>
      <c r="AW181" s="1273"/>
    </row>
    <row r="182" spans="1:49" x14ac:dyDescent="0.3">
      <c r="A182" s="19"/>
      <c r="B182" s="19"/>
      <c r="C182" s="19"/>
      <c r="D182" s="1271"/>
      <c r="E182" s="1273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73"/>
      <c r="AW182" s="1273"/>
    </row>
    <row r="183" spans="1:49" x14ac:dyDescent="0.3">
      <c r="A183" s="19"/>
      <c r="B183" s="19"/>
      <c r="C183" s="19"/>
      <c r="D183" s="1271"/>
      <c r="E183" s="1273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73"/>
      <c r="AW183" s="1273"/>
    </row>
    <row r="184" spans="1:49" x14ac:dyDescent="0.3">
      <c r="A184" s="19"/>
      <c r="B184" s="19"/>
      <c r="C184" s="19"/>
      <c r="D184" s="1271"/>
      <c r="E184" s="1273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73"/>
      <c r="AW184" s="1273"/>
    </row>
    <row r="185" spans="1:49" x14ac:dyDescent="0.3">
      <c r="A185" s="19"/>
      <c r="B185" s="19"/>
      <c r="C185" s="19"/>
      <c r="D185" s="1271"/>
      <c r="E185" s="1271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71"/>
      <c r="AW185" s="1271"/>
    </row>
    <row r="186" spans="1:49" x14ac:dyDescent="0.3">
      <c r="A186" s="19"/>
      <c r="B186" s="19"/>
      <c r="C186" s="19"/>
      <c r="D186" s="1266"/>
      <c r="E186" s="1272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74"/>
      <c r="AW186" s="1274"/>
    </row>
    <row r="187" spans="1:49" x14ac:dyDescent="0.3">
      <c r="A187" s="19"/>
      <c r="B187" s="19"/>
      <c r="C187" s="19"/>
      <c r="D187" s="1271"/>
      <c r="E187" s="1273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73"/>
      <c r="AW187" s="1273"/>
    </row>
    <row r="188" spans="1:49" x14ac:dyDescent="0.3">
      <c r="A188" s="19"/>
      <c r="B188" s="19"/>
      <c r="C188" s="19"/>
      <c r="D188" s="1271"/>
      <c r="E188" s="1273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73"/>
      <c r="AW188" s="1273"/>
    </row>
    <row r="189" spans="1:49" x14ac:dyDescent="0.3">
      <c r="A189" s="19"/>
      <c r="B189" s="19"/>
      <c r="C189" s="19"/>
      <c r="D189" s="1271"/>
      <c r="E189" s="1273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73"/>
      <c r="AW189" s="1273"/>
    </row>
    <row r="190" spans="1:49" x14ac:dyDescent="0.3">
      <c r="A190" s="19"/>
      <c r="B190" s="19"/>
      <c r="C190" s="19"/>
      <c r="D190" s="1271"/>
      <c r="E190" s="1273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73"/>
      <c r="AW190" s="1273"/>
    </row>
    <row r="191" spans="1:49" x14ac:dyDescent="0.3">
      <c r="A191" s="19"/>
      <c r="B191" s="19"/>
      <c r="C191" s="19"/>
      <c r="D191" s="1271"/>
      <c r="E191" s="1273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73"/>
      <c r="AW191" s="1273"/>
    </row>
    <row r="192" spans="1:49" x14ac:dyDescent="0.3">
      <c r="A192" s="19"/>
      <c r="B192" s="19"/>
      <c r="C192" s="19"/>
      <c r="D192" s="1271"/>
      <c r="E192" s="1273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73"/>
      <c r="AW192" s="1273"/>
    </row>
    <row r="193" spans="1:49" x14ac:dyDescent="0.3">
      <c r="A193" s="19"/>
      <c r="B193" s="19"/>
      <c r="C193" s="19"/>
      <c r="D193" s="1271"/>
      <c r="E193" s="1271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71"/>
      <c r="AW193" s="1271"/>
    </row>
    <row r="194" spans="1:49" x14ac:dyDescent="0.3">
      <c r="A194" s="19"/>
      <c r="B194" s="19"/>
      <c r="C194" s="19"/>
      <c r="D194" s="1266"/>
      <c r="E194" s="1272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74"/>
      <c r="AW194" s="1274"/>
    </row>
    <row r="195" spans="1:49" x14ac:dyDescent="0.3">
      <c r="A195" s="19"/>
      <c r="B195" s="19"/>
      <c r="C195" s="19"/>
      <c r="D195" s="1271"/>
      <c r="E195" s="1273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73"/>
      <c r="AW195" s="1273"/>
    </row>
    <row r="196" spans="1:49" x14ac:dyDescent="0.3">
      <c r="A196" s="19"/>
      <c r="B196" s="19"/>
      <c r="C196" s="19"/>
      <c r="D196" s="1271"/>
      <c r="E196" s="1273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73"/>
      <c r="AW196" s="1273"/>
    </row>
    <row r="197" spans="1:49" x14ac:dyDescent="0.3">
      <c r="A197" s="19"/>
      <c r="B197" s="19"/>
      <c r="C197" s="19"/>
      <c r="D197" s="1271"/>
      <c r="E197" s="1273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73"/>
      <c r="AW197" s="1273"/>
    </row>
    <row r="198" spans="1:49" x14ac:dyDescent="0.3">
      <c r="A198" s="19"/>
      <c r="B198" s="19"/>
      <c r="C198" s="19"/>
      <c r="D198" s="1271"/>
      <c r="E198" s="1273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73"/>
      <c r="AW198" s="1273"/>
    </row>
    <row r="199" spans="1:49" x14ac:dyDescent="0.3">
      <c r="A199" s="19"/>
      <c r="B199" s="19"/>
      <c r="C199" s="19"/>
      <c r="D199" s="1271"/>
      <c r="E199" s="1273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73"/>
      <c r="AW199" s="1273"/>
    </row>
    <row r="200" spans="1:49" x14ac:dyDescent="0.3">
      <c r="A200" s="19"/>
      <c r="B200" s="19"/>
      <c r="C200" s="19"/>
      <c r="D200" s="1271"/>
      <c r="E200" s="1273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73"/>
      <c r="AW200" s="1273"/>
    </row>
    <row r="201" spans="1:49" x14ac:dyDescent="0.3">
      <c r="A201" s="19"/>
      <c r="B201" s="19"/>
      <c r="C201" s="19"/>
      <c r="D201" s="1271"/>
      <c r="E201" s="1271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71"/>
      <c r="AW201" s="1271"/>
    </row>
    <row r="202" spans="1:49" x14ac:dyDescent="0.3">
      <c r="A202" s="19"/>
      <c r="B202" s="19"/>
      <c r="C202" s="19"/>
      <c r="D202" s="1266"/>
      <c r="E202" s="1272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74"/>
      <c r="AW202" s="1274"/>
    </row>
    <row r="203" spans="1:49" x14ac:dyDescent="0.3">
      <c r="A203" s="19"/>
      <c r="B203" s="19"/>
      <c r="C203" s="19"/>
      <c r="D203" s="1271"/>
      <c r="E203" s="1273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73"/>
      <c r="AW203" s="1273"/>
    </row>
    <row r="204" spans="1:49" x14ac:dyDescent="0.3">
      <c r="A204" s="19"/>
      <c r="B204" s="19"/>
      <c r="C204" s="19"/>
      <c r="D204" s="1271"/>
      <c r="E204" s="1273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73"/>
      <c r="AW204" s="1273"/>
    </row>
    <row r="205" spans="1:49" x14ac:dyDescent="0.3">
      <c r="A205" s="19"/>
      <c r="B205" s="19"/>
      <c r="C205" s="19"/>
      <c r="D205" s="1271"/>
      <c r="E205" s="1273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73"/>
      <c r="AW205" s="1273"/>
    </row>
    <row r="206" spans="1:49" x14ac:dyDescent="0.3">
      <c r="A206" s="19"/>
      <c r="B206" s="19"/>
      <c r="C206" s="19"/>
      <c r="D206" s="1271"/>
      <c r="E206" s="1273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73"/>
      <c r="AW206" s="1273"/>
    </row>
    <row r="207" spans="1:49" x14ac:dyDescent="0.3">
      <c r="A207" s="19"/>
      <c r="B207" s="19"/>
      <c r="C207" s="19"/>
      <c r="D207" s="1271"/>
      <c r="E207" s="1273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73"/>
      <c r="AW207" s="1273"/>
    </row>
    <row r="208" spans="1:49" x14ac:dyDescent="0.3">
      <c r="A208" s="19"/>
      <c r="B208" s="19"/>
      <c r="C208" s="19"/>
      <c r="D208" s="1271"/>
      <c r="E208" s="1273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73"/>
      <c r="AW208" s="1273"/>
    </row>
    <row r="209" spans="1:49" x14ac:dyDescent="0.3">
      <c r="A209" s="19"/>
      <c r="B209" s="19"/>
      <c r="C209" s="19"/>
      <c r="D209" s="1271"/>
      <c r="E209" s="1271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71"/>
      <c r="AW209" s="1271"/>
    </row>
    <row r="210" spans="1:49" x14ac:dyDescent="0.3">
      <c r="A210" s="19"/>
      <c r="B210" s="19"/>
      <c r="C210" s="19"/>
      <c r="D210" s="1266"/>
      <c r="E210" s="1272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74"/>
      <c r="AW210" s="1274"/>
    </row>
    <row r="211" spans="1:49" x14ac:dyDescent="0.3">
      <c r="A211" s="19"/>
      <c r="B211" s="19"/>
      <c r="C211" s="19"/>
      <c r="D211" s="1271"/>
      <c r="E211" s="1273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73"/>
      <c r="AW211" s="1273"/>
    </row>
    <row r="212" spans="1:49" x14ac:dyDescent="0.3">
      <c r="A212" s="19"/>
      <c r="B212" s="19"/>
      <c r="C212" s="19"/>
      <c r="D212" s="1271"/>
      <c r="E212" s="1273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73"/>
      <c r="AW212" s="1273"/>
    </row>
    <row r="213" spans="1:49" x14ac:dyDescent="0.3">
      <c r="A213" s="19"/>
      <c r="B213" s="19"/>
      <c r="C213" s="19"/>
      <c r="D213" s="1271"/>
      <c r="E213" s="1273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73"/>
      <c r="AW213" s="1273"/>
    </row>
    <row r="214" spans="1:49" x14ac:dyDescent="0.3">
      <c r="A214" s="19"/>
      <c r="B214" s="19"/>
      <c r="C214" s="19"/>
      <c r="D214" s="1271"/>
      <c r="E214" s="1273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73"/>
      <c r="AW214" s="1273"/>
    </row>
    <row r="215" spans="1:49" x14ac:dyDescent="0.3">
      <c r="A215" s="19"/>
      <c r="B215" s="19"/>
      <c r="C215" s="19"/>
      <c r="D215" s="1271"/>
      <c r="E215" s="1273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73"/>
      <c r="AW215" s="1273"/>
    </row>
    <row r="216" spans="1:49" x14ac:dyDescent="0.3">
      <c r="A216" s="19"/>
      <c r="B216" s="19"/>
      <c r="C216" s="19"/>
      <c r="D216" s="1271"/>
      <c r="E216" s="1273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73"/>
      <c r="AW216" s="1273"/>
    </row>
    <row r="217" spans="1:49" x14ac:dyDescent="0.3">
      <c r="A217" s="19"/>
      <c r="B217" s="19"/>
      <c r="C217" s="19"/>
      <c r="D217" s="1271"/>
      <c r="E217" s="1271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71"/>
      <c r="AW217" s="1271"/>
    </row>
    <row r="218" spans="1:49" x14ac:dyDescent="0.3">
      <c r="A218" s="19"/>
      <c r="B218" s="19"/>
      <c r="C218" s="19"/>
      <c r="D218" s="1266"/>
      <c r="E218" s="1272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74"/>
      <c r="AW218" s="1274"/>
    </row>
    <row r="219" spans="1:49" x14ac:dyDescent="0.3">
      <c r="A219" s="19"/>
      <c r="B219" s="19"/>
      <c r="C219" s="19"/>
      <c r="D219" s="1271"/>
      <c r="E219" s="1273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73"/>
      <c r="AW219" s="1273"/>
    </row>
    <row r="220" spans="1:49" x14ac:dyDescent="0.3">
      <c r="A220" s="19"/>
      <c r="B220" s="19"/>
      <c r="C220" s="19"/>
      <c r="D220" s="1271"/>
      <c r="E220" s="1273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73"/>
      <c r="AW220" s="1273"/>
    </row>
    <row r="221" spans="1:49" x14ac:dyDescent="0.3">
      <c r="A221" s="19"/>
      <c r="B221" s="19"/>
      <c r="C221" s="19"/>
      <c r="D221" s="1271"/>
      <c r="E221" s="1273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73"/>
      <c r="AW221" s="1273"/>
    </row>
    <row r="222" spans="1:49" x14ac:dyDescent="0.3">
      <c r="A222" s="19"/>
      <c r="B222" s="19"/>
      <c r="C222" s="19"/>
      <c r="D222" s="1271"/>
      <c r="E222" s="1273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73"/>
      <c r="AW222" s="1273"/>
    </row>
    <row r="223" spans="1:49" x14ac:dyDescent="0.3">
      <c r="A223" s="19"/>
      <c r="B223" s="19"/>
      <c r="C223" s="19"/>
      <c r="D223" s="1271"/>
      <c r="E223" s="1273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73"/>
      <c r="AW223" s="1273"/>
    </row>
    <row r="224" spans="1:49" x14ac:dyDescent="0.3">
      <c r="A224" s="19"/>
      <c r="B224" s="19"/>
      <c r="C224" s="19"/>
      <c r="D224" s="1271"/>
      <c r="E224" s="1273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73"/>
      <c r="AW224" s="1273"/>
    </row>
    <row r="225" spans="1:49" x14ac:dyDescent="0.3">
      <c r="A225" s="19"/>
      <c r="B225" s="19"/>
      <c r="C225" s="19"/>
      <c r="D225" s="1271"/>
      <c r="E225" s="1271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71"/>
      <c r="AW225" s="1271"/>
    </row>
    <row r="226" spans="1:49" x14ac:dyDescent="0.3">
      <c r="A226" s="19"/>
      <c r="B226" s="19"/>
      <c r="C226" s="19"/>
      <c r="D226" s="1266"/>
      <c r="E226" s="1272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74"/>
      <c r="AW226" s="1274"/>
    </row>
    <row r="227" spans="1:49" x14ac:dyDescent="0.3">
      <c r="A227" s="19"/>
      <c r="B227" s="19"/>
      <c r="C227" s="19"/>
      <c r="D227" s="1271"/>
      <c r="E227" s="1273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73"/>
      <c r="AW227" s="1273"/>
    </row>
    <row r="228" spans="1:49" x14ac:dyDescent="0.3">
      <c r="A228" s="19"/>
      <c r="B228" s="19"/>
      <c r="C228" s="19"/>
      <c r="D228" s="1271"/>
      <c r="E228" s="1273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73"/>
      <c r="AW228" s="1273"/>
    </row>
    <row r="229" spans="1:49" x14ac:dyDescent="0.3">
      <c r="A229" s="19"/>
      <c r="B229" s="19"/>
      <c r="C229" s="19"/>
      <c r="D229" s="1271"/>
      <c r="E229" s="1273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73"/>
      <c r="AW229" s="1273"/>
    </row>
    <row r="230" spans="1:49" x14ac:dyDescent="0.3">
      <c r="A230" s="19"/>
      <c r="B230" s="19"/>
      <c r="C230" s="19"/>
      <c r="D230" s="1271"/>
      <c r="E230" s="1273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73"/>
      <c r="AW230" s="1273"/>
    </row>
    <row r="231" spans="1:49" x14ac:dyDescent="0.3">
      <c r="A231" s="19"/>
      <c r="B231" s="19"/>
      <c r="C231" s="19"/>
      <c r="D231" s="1271"/>
      <c r="E231" s="1273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73"/>
      <c r="AW231" s="1273"/>
    </row>
    <row r="232" spans="1:49" x14ac:dyDescent="0.3">
      <c r="A232" s="19"/>
      <c r="B232" s="19"/>
      <c r="C232" s="19"/>
      <c r="D232" s="1271"/>
      <c r="E232" s="1273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73"/>
      <c r="AW232" s="1273"/>
    </row>
    <row r="233" spans="1:49" x14ac:dyDescent="0.3">
      <c r="A233" s="19"/>
      <c r="B233" s="19"/>
      <c r="C233" s="19"/>
      <c r="D233" s="1271"/>
      <c r="E233" s="1271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71"/>
      <c r="AW233" s="1271"/>
    </row>
    <row r="234" spans="1:49" x14ac:dyDescent="0.3">
      <c r="A234" s="19"/>
      <c r="B234" s="19"/>
      <c r="C234" s="19"/>
      <c r="D234" s="1266"/>
      <c r="E234" s="1272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74"/>
      <c r="AW234" s="1274"/>
    </row>
    <row r="235" spans="1:49" x14ac:dyDescent="0.3">
      <c r="A235" s="19"/>
      <c r="B235" s="19"/>
      <c r="C235" s="19"/>
      <c r="D235" s="1271"/>
      <c r="E235" s="1273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73"/>
      <c r="AW235" s="1273"/>
    </row>
    <row r="236" spans="1:49" x14ac:dyDescent="0.3">
      <c r="A236" s="19"/>
      <c r="B236" s="19"/>
      <c r="C236" s="19"/>
      <c r="D236" s="1271"/>
      <c r="E236" s="1273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73"/>
      <c r="AW236" s="1273"/>
    </row>
    <row r="237" spans="1:49" x14ac:dyDescent="0.3">
      <c r="A237" s="19"/>
      <c r="B237" s="19"/>
      <c r="C237" s="19"/>
      <c r="D237" s="1271"/>
      <c r="E237" s="1273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73"/>
      <c r="AW237" s="1273"/>
    </row>
    <row r="238" spans="1:49" x14ac:dyDescent="0.3">
      <c r="A238" s="19"/>
      <c r="B238" s="19"/>
      <c r="C238" s="19"/>
      <c r="D238" s="1271"/>
      <c r="E238" s="1273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73"/>
      <c r="AW238" s="1273"/>
    </row>
    <row r="239" spans="1:49" x14ac:dyDescent="0.3">
      <c r="A239" s="19"/>
      <c r="B239" s="19"/>
      <c r="C239" s="19"/>
      <c r="D239" s="1271"/>
      <c r="E239" s="1273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73"/>
      <c r="AW239" s="1273"/>
    </row>
    <row r="240" spans="1:49" x14ac:dyDescent="0.3">
      <c r="A240" s="19"/>
      <c r="B240" s="19"/>
      <c r="C240" s="19"/>
      <c r="D240" s="1271"/>
      <c r="E240" s="1273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73"/>
      <c r="AW240" s="1273"/>
    </row>
    <row r="241" spans="1:49" x14ac:dyDescent="0.3">
      <c r="A241" s="19"/>
      <c r="B241" s="19"/>
      <c r="C241" s="19"/>
      <c r="D241" s="1271"/>
      <c r="E241" s="1271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71"/>
      <c r="AW241" s="1271"/>
    </row>
    <row r="242" spans="1:49" x14ac:dyDescent="0.3">
      <c r="A242" s="19"/>
      <c r="B242" s="19"/>
      <c r="C242" s="19"/>
      <c r="D242" s="1266"/>
      <c r="E242" s="1272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74"/>
      <c r="AW242" s="1274"/>
    </row>
    <row r="243" spans="1:49" x14ac:dyDescent="0.3">
      <c r="A243" s="19"/>
      <c r="B243" s="19"/>
      <c r="C243" s="19"/>
      <c r="D243" s="1271"/>
      <c r="E243" s="1273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73"/>
      <c r="AW243" s="1273"/>
    </row>
    <row r="244" spans="1:49" x14ac:dyDescent="0.3">
      <c r="A244" s="19"/>
      <c r="B244" s="19"/>
      <c r="C244" s="19"/>
      <c r="D244" s="1271"/>
      <c r="E244" s="1273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73"/>
      <c r="AW244" s="1273"/>
    </row>
    <row r="245" spans="1:49" x14ac:dyDescent="0.3">
      <c r="A245" s="19"/>
      <c r="B245" s="19"/>
      <c r="C245" s="19"/>
      <c r="D245" s="1271"/>
      <c r="E245" s="1273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73"/>
      <c r="AW245" s="1273"/>
    </row>
    <row r="246" spans="1:49" x14ac:dyDescent="0.3">
      <c r="A246" s="19"/>
      <c r="B246" s="19"/>
      <c r="C246" s="19"/>
      <c r="D246" s="1271"/>
      <c r="E246" s="1273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73"/>
      <c r="AW246" s="1273"/>
    </row>
    <row r="247" spans="1:49" x14ac:dyDescent="0.3">
      <c r="A247" s="19"/>
      <c r="B247" s="19"/>
      <c r="C247" s="19"/>
      <c r="D247" s="1271"/>
      <c r="E247" s="1273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73"/>
      <c r="AW247" s="1273"/>
    </row>
    <row r="248" spans="1:49" x14ac:dyDescent="0.3">
      <c r="A248" s="19"/>
      <c r="B248" s="19"/>
      <c r="C248" s="19"/>
      <c r="D248" s="1271"/>
      <c r="E248" s="1273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73"/>
      <c r="AW248" s="1273"/>
    </row>
    <row r="249" spans="1:49" x14ac:dyDescent="0.3">
      <c r="A249" s="19"/>
      <c r="B249" s="19"/>
      <c r="C249" s="19"/>
      <c r="D249" s="1271"/>
      <c r="E249" s="1271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71"/>
      <c r="AW249" s="1271"/>
    </row>
    <row r="250" spans="1:49" x14ac:dyDescent="0.3">
      <c r="A250" s="19"/>
      <c r="B250" s="19"/>
      <c r="C250" s="19"/>
      <c r="D250" s="1266"/>
      <c r="E250" s="1272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74"/>
      <c r="AW250" s="1274"/>
    </row>
    <row r="251" spans="1:49" x14ac:dyDescent="0.3">
      <c r="A251" s="19"/>
      <c r="B251" s="19"/>
      <c r="C251" s="19"/>
      <c r="D251" s="1271"/>
      <c r="E251" s="1273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73"/>
      <c r="AW251" s="1273"/>
    </row>
    <row r="252" spans="1:49" x14ac:dyDescent="0.3">
      <c r="A252" s="19"/>
      <c r="B252" s="19"/>
      <c r="C252" s="19"/>
      <c r="D252" s="1271"/>
      <c r="E252" s="1273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73"/>
      <c r="AW252" s="1273"/>
    </row>
    <row r="253" spans="1:49" x14ac:dyDescent="0.3">
      <c r="A253" s="19"/>
      <c r="B253" s="19"/>
      <c r="C253" s="19"/>
      <c r="D253" s="1271"/>
      <c r="E253" s="1273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73"/>
      <c r="AW253" s="1273"/>
    </row>
    <row r="254" spans="1:49" x14ac:dyDescent="0.3">
      <c r="A254" s="19"/>
      <c r="B254" s="19"/>
      <c r="C254" s="19"/>
      <c r="D254" s="1271"/>
      <c r="E254" s="1273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73"/>
      <c r="AW254" s="1273"/>
    </row>
    <row r="255" spans="1:49" x14ac:dyDescent="0.3">
      <c r="A255" s="19"/>
      <c r="B255" s="19"/>
      <c r="C255" s="19"/>
      <c r="D255" s="1271"/>
      <c r="E255" s="1273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73"/>
      <c r="AW255" s="1273"/>
    </row>
    <row r="256" spans="1:49" x14ac:dyDescent="0.3">
      <c r="A256" s="19"/>
      <c r="B256" s="19"/>
      <c r="C256" s="19"/>
      <c r="D256" s="1271"/>
      <c r="E256" s="1273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73"/>
      <c r="AW256" s="1273"/>
    </row>
    <row r="257" spans="1:49" x14ac:dyDescent="0.3">
      <c r="A257" s="19"/>
      <c r="B257" s="19"/>
      <c r="C257" s="19"/>
      <c r="D257" s="1271"/>
      <c r="E257" s="1271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71"/>
      <c r="AW257" s="1271"/>
    </row>
    <row r="258" spans="1:49" x14ac:dyDescent="0.3">
      <c r="A258" s="19"/>
      <c r="B258" s="19"/>
      <c r="C258" s="19"/>
      <c r="D258" s="1266"/>
      <c r="E258" s="1272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74"/>
      <c r="AW258" s="1274"/>
    </row>
    <row r="259" spans="1:49" x14ac:dyDescent="0.3">
      <c r="A259" s="19"/>
      <c r="B259" s="19"/>
      <c r="C259" s="19"/>
      <c r="D259" s="1271"/>
      <c r="E259" s="1273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73"/>
      <c r="AW259" s="1273"/>
    </row>
    <row r="260" spans="1:49" x14ac:dyDescent="0.3">
      <c r="A260" s="19"/>
      <c r="B260" s="19"/>
      <c r="C260" s="19"/>
      <c r="D260" s="1271"/>
      <c r="E260" s="1273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73"/>
      <c r="AW260" s="1273"/>
    </row>
    <row r="261" spans="1:49" x14ac:dyDescent="0.3">
      <c r="A261" s="19"/>
      <c r="B261" s="19"/>
      <c r="C261" s="19"/>
      <c r="D261" s="1271"/>
      <c r="E261" s="1273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73"/>
      <c r="AW261" s="1273"/>
    </row>
    <row r="262" spans="1:49" x14ac:dyDescent="0.3">
      <c r="A262" s="19"/>
      <c r="B262" s="19"/>
      <c r="C262" s="19"/>
      <c r="D262" s="1271"/>
      <c r="E262" s="1273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73"/>
      <c r="AW262" s="1273"/>
    </row>
    <row r="263" spans="1:49" x14ac:dyDescent="0.3">
      <c r="A263" s="19"/>
      <c r="B263" s="19"/>
      <c r="C263" s="19"/>
      <c r="D263" s="1271"/>
      <c r="E263" s="1273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73"/>
      <c r="AW263" s="1273"/>
    </row>
    <row r="264" spans="1:49" x14ac:dyDescent="0.3">
      <c r="A264" s="19"/>
      <c r="B264" s="19"/>
      <c r="C264" s="19"/>
      <c r="D264" s="1271"/>
      <c r="E264" s="1273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73"/>
      <c r="AW264" s="1273"/>
    </row>
    <row r="265" spans="1:49" x14ac:dyDescent="0.3">
      <c r="A265" s="19"/>
      <c r="B265" s="19"/>
      <c r="C265" s="19"/>
      <c r="D265" s="1271"/>
      <c r="E265" s="1271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71"/>
      <c r="AW265" s="1271"/>
    </row>
    <row r="266" spans="1:49" x14ac:dyDescent="0.3">
      <c r="A266" s="19"/>
      <c r="B266" s="19"/>
      <c r="C266" s="19"/>
      <c r="D266" s="1266"/>
      <c r="E266" s="1272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74"/>
      <c r="AW266" s="1274"/>
    </row>
    <row r="267" spans="1:49" x14ac:dyDescent="0.3">
      <c r="A267" s="19"/>
      <c r="B267" s="19"/>
      <c r="C267" s="19"/>
      <c r="D267" s="1271"/>
      <c r="E267" s="1273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73"/>
      <c r="AW267" s="1273"/>
    </row>
    <row r="268" spans="1:49" x14ac:dyDescent="0.3">
      <c r="A268" s="19"/>
      <c r="B268" s="19"/>
      <c r="C268" s="19"/>
      <c r="D268" s="1271"/>
      <c r="E268" s="1273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73"/>
      <c r="AW268" s="1273"/>
    </row>
    <row r="269" spans="1:49" x14ac:dyDescent="0.3">
      <c r="A269" s="19"/>
      <c r="B269" s="19"/>
      <c r="C269" s="19"/>
      <c r="D269" s="1271"/>
      <c r="E269" s="1273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73"/>
      <c r="AW269" s="1273"/>
    </row>
    <row r="270" spans="1:49" x14ac:dyDescent="0.3">
      <c r="A270" s="19"/>
      <c r="B270" s="19"/>
      <c r="C270" s="19"/>
      <c r="D270" s="1271"/>
      <c r="E270" s="1273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73"/>
      <c r="AW270" s="1273"/>
    </row>
    <row r="271" spans="1:49" x14ac:dyDescent="0.3">
      <c r="A271" s="19"/>
      <c r="B271" s="19"/>
      <c r="C271" s="19"/>
      <c r="D271" s="1271"/>
      <c r="E271" s="1273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73"/>
      <c r="AW271" s="1273"/>
    </row>
    <row r="272" spans="1:49" x14ac:dyDescent="0.3">
      <c r="A272" s="19"/>
      <c r="B272" s="19"/>
      <c r="C272" s="19"/>
      <c r="D272" s="1271"/>
      <c r="E272" s="1273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73"/>
      <c r="AW272" s="1273"/>
    </row>
    <row r="273" spans="1:49" x14ac:dyDescent="0.3">
      <c r="A273" s="19"/>
      <c r="B273" s="19"/>
      <c r="C273" s="19"/>
      <c r="D273" s="1271"/>
      <c r="E273" s="1271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71"/>
      <c r="AW273" s="1271"/>
    </row>
    <row r="274" spans="1:49" x14ac:dyDescent="0.3">
      <c r="A274" s="19"/>
      <c r="B274" s="19"/>
      <c r="C274" s="19"/>
      <c r="D274" s="1266"/>
      <c r="E274" s="1272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74"/>
      <c r="AW274" s="1274"/>
    </row>
    <row r="275" spans="1:49" x14ac:dyDescent="0.3">
      <c r="A275" s="19"/>
      <c r="B275" s="19"/>
      <c r="C275" s="19"/>
      <c r="D275" s="1271"/>
      <c r="E275" s="1273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73"/>
      <c r="AW275" s="1273"/>
    </row>
    <row r="276" spans="1:49" x14ac:dyDescent="0.3">
      <c r="A276" s="19"/>
      <c r="B276" s="19"/>
      <c r="C276" s="19"/>
      <c r="D276" s="1271"/>
      <c r="E276" s="1273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73"/>
      <c r="AW276" s="1273"/>
    </row>
    <row r="277" spans="1:49" x14ac:dyDescent="0.3">
      <c r="A277" s="19"/>
      <c r="B277" s="19"/>
      <c r="C277" s="19"/>
      <c r="D277" s="1271"/>
      <c r="E277" s="1273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73"/>
      <c r="AW277" s="1273"/>
    </row>
    <row r="278" spans="1:49" x14ac:dyDescent="0.3">
      <c r="A278" s="19"/>
      <c r="B278" s="19"/>
      <c r="C278" s="19"/>
      <c r="D278" s="1271"/>
      <c r="E278" s="1273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73"/>
      <c r="AW278" s="1273"/>
    </row>
    <row r="279" spans="1:49" x14ac:dyDescent="0.3">
      <c r="A279" s="19"/>
      <c r="B279" s="19"/>
      <c r="C279" s="19"/>
      <c r="D279" s="1271"/>
      <c r="E279" s="1273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73"/>
      <c r="AW279" s="1273"/>
    </row>
    <row r="280" spans="1:49" x14ac:dyDescent="0.3">
      <c r="A280" s="19"/>
      <c r="B280" s="19"/>
      <c r="C280" s="19"/>
      <c r="D280" s="1271"/>
      <c r="E280" s="1273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73"/>
      <c r="AW280" s="1273"/>
    </row>
    <row r="281" spans="1:49" x14ac:dyDescent="0.3">
      <c r="A281" s="19"/>
      <c r="B281" s="19"/>
      <c r="C281" s="19"/>
      <c r="D281" s="1271"/>
      <c r="E281" s="1271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71"/>
      <c r="AW281" s="1271"/>
    </row>
    <row r="282" spans="1:49" x14ac:dyDescent="0.3">
      <c r="A282" s="19"/>
      <c r="B282" s="19"/>
      <c r="C282" s="19"/>
      <c r="D282" s="1266"/>
      <c r="E282" s="1272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74"/>
      <c r="AW282" s="1274"/>
    </row>
    <row r="283" spans="1:49" x14ac:dyDescent="0.3">
      <c r="A283" s="19"/>
      <c r="B283" s="19"/>
      <c r="C283" s="19"/>
      <c r="D283" s="1271"/>
      <c r="E283" s="1273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73"/>
      <c r="AW283" s="1273"/>
    </row>
    <row r="284" spans="1:49" x14ac:dyDescent="0.3">
      <c r="A284" s="19"/>
      <c r="B284" s="19"/>
      <c r="C284" s="19"/>
      <c r="D284" s="1271"/>
      <c r="E284" s="1273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73"/>
      <c r="AW284" s="1273"/>
    </row>
    <row r="285" spans="1:49" x14ac:dyDescent="0.3">
      <c r="A285" s="19"/>
      <c r="B285" s="19"/>
      <c r="C285" s="19"/>
      <c r="D285" s="1271"/>
      <c r="E285" s="1273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73"/>
      <c r="AW285" s="1273"/>
    </row>
    <row r="286" spans="1:49" x14ac:dyDescent="0.3">
      <c r="A286" s="19"/>
      <c r="B286" s="19"/>
      <c r="C286" s="19"/>
      <c r="D286" s="1271"/>
      <c r="E286" s="1273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73"/>
      <c r="AW286" s="1273"/>
    </row>
    <row r="287" spans="1:49" x14ac:dyDescent="0.3">
      <c r="A287" s="19"/>
      <c r="B287" s="19"/>
      <c r="C287" s="19"/>
      <c r="D287" s="1271"/>
      <c r="E287" s="1273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73"/>
      <c r="AW287" s="1273"/>
    </row>
    <row r="288" spans="1:49" x14ac:dyDescent="0.3">
      <c r="A288" s="19"/>
      <c r="B288" s="19"/>
      <c r="C288" s="19"/>
      <c r="D288" s="1271"/>
      <c r="E288" s="1273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73"/>
      <c r="AW288" s="1273"/>
    </row>
    <row r="289" spans="1:49" x14ac:dyDescent="0.3">
      <c r="A289" s="19"/>
      <c r="B289" s="19"/>
      <c r="C289" s="19"/>
      <c r="D289" s="1271"/>
      <c r="E289" s="1271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71"/>
      <c r="AW289" s="127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88" t="s">
        <v>72</v>
      </c>
      <c r="G1" s="1288"/>
      <c r="H1" s="1288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4"/>
      <c r="E2" s="524"/>
      <c r="H2" s="1056" t="s">
        <v>594</v>
      </c>
      <c r="I2" s="1056"/>
      <c r="J2" s="1056"/>
      <c r="K2" s="1056"/>
      <c r="O2" s="1">
        <f>720+180</f>
        <v>900</v>
      </c>
    </row>
    <row r="4" spans="1:33" ht="29.4" thickBot="1" x14ac:dyDescent="0.35">
      <c r="A4" s="601" t="s">
        <v>551</v>
      </c>
      <c r="B4" s="1092" t="s">
        <v>1</v>
      </c>
      <c r="C4" s="1094"/>
      <c r="D4" s="23" t="s">
        <v>2</v>
      </c>
      <c r="E4" s="23" t="s">
        <v>177</v>
      </c>
      <c r="F4" s="24" t="s">
        <v>27</v>
      </c>
      <c r="G4" s="24" t="s">
        <v>34</v>
      </c>
      <c r="H4" s="434" t="s">
        <v>279</v>
      </c>
      <c r="I4" s="434" t="s">
        <v>445</v>
      </c>
      <c r="J4" s="434" t="s">
        <v>450</v>
      </c>
      <c r="K4" s="24" t="s">
        <v>35</v>
      </c>
      <c r="L4" s="434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5" t="s">
        <v>519</v>
      </c>
    </row>
    <row r="5" spans="1:33" ht="16.2" thickBot="1" x14ac:dyDescent="0.35">
      <c r="A5" s="1200">
        <v>1</v>
      </c>
      <c r="B5" s="1174">
        <v>46265</v>
      </c>
      <c r="C5" s="1175"/>
      <c r="D5" s="533" t="s">
        <v>447</v>
      </c>
      <c r="E5" s="533" t="s">
        <v>446</v>
      </c>
      <c r="F5" s="575" t="s">
        <v>13</v>
      </c>
      <c r="G5" s="534">
        <v>0.2271</v>
      </c>
      <c r="H5" s="535">
        <v>116.84</v>
      </c>
      <c r="I5" s="477">
        <f t="shared" ref="I5:I11" si="0">H5/((720-R5)/60)</f>
        <v>11.198722044728434</v>
      </c>
      <c r="J5" s="477">
        <f>H5</f>
        <v>116.84</v>
      </c>
      <c r="K5" s="536">
        <v>1.135</v>
      </c>
      <c r="L5" s="476">
        <v>0.68</v>
      </c>
      <c r="M5" s="477">
        <f>H5*K5*G5</f>
        <v>30.116503140000003</v>
      </c>
      <c r="N5" s="1291">
        <f>SUM(M5:M6)</f>
        <v>74.069659139999999</v>
      </c>
      <c r="O5" s="477">
        <f t="shared" ref="O5:O11" si="1">M5/((720-R5)/60)</f>
        <v>2.8865657961661344</v>
      </c>
      <c r="P5" s="1203">
        <f>'Milling Down Time Hours'!Q5</f>
        <v>22.433333333333334</v>
      </c>
      <c r="Q5" s="499"/>
      <c r="R5" s="482">
        <f>'Milling Down Time Hours'!P5</f>
        <v>94</v>
      </c>
      <c r="S5" s="1291">
        <f>SUM(M5:M8)</f>
        <v>292.31360000000001</v>
      </c>
      <c r="T5" s="484">
        <f>AVERAGE('LT Ball Mill'!F4:F6)</f>
        <v>0.96699999999999997</v>
      </c>
      <c r="U5" s="484">
        <f>AVERAGE('LT Ball Mill'!G4:G6)</f>
        <v>0.41</v>
      </c>
      <c r="V5" s="484">
        <f>AVERAGE('LT Ball Mill'!H4:H6)</f>
        <v>6.1096666666666666</v>
      </c>
      <c r="W5" s="485">
        <f t="shared" ref="W5:W46" si="2">T5*M5</f>
        <v>29.122658536380001</v>
      </c>
      <c r="X5" s="569">
        <f t="shared" ref="X5:X46" si="3">M5*U5</f>
        <v>12.347766287400001</v>
      </c>
      <c r="Y5" s="569">
        <f t="shared" ref="Y5:Y46" si="4">M5*V5</f>
        <v>184.00179535102001</v>
      </c>
      <c r="Z5" s="461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200"/>
      <c r="B6" s="1176"/>
      <c r="C6" s="1177"/>
      <c r="D6" s="537" t="s">
        <v>448</v>
      </c>
      <c r="E6" s="533" t="s">
        <v>446</v>
      </c>
      <c r="F6" s="576" t="s">
        <v>14</v>
      </c>
      <c r="G6" s="521">
        <v>0.36</v>
      </c>
      <c r="H6" s="538">
        <f>J6-H5</f>
        <v>98.859999999999985</v>
      </c>
      <c r="I6" s="477">
        <f t="shared" si="0"/>
        <v>8.2383333333333315</v>
      </c>
      <c r="J6" s="520">
        <v>215.7</v>
      </c>
      <c r="K6" s="539">
        <v>1.2350000000000001</v>
      </c>
      <c r="L6" s="479">
        <v>0.68</v>
      </c>
      <c r="M6" s="477">
        <f>H6*K6*G6</f>
        <v>43.953155999999993</v>
      </c>
      <c r="N6" s="1292"/>
      <c r="O6" s="477">
        <f t="shared" si="1"/>
        <v>3.6627629999999995</v>
      </c>
      <c r="P6" s="1309"/>
      <c r="Q6" s="540"/>
      <c r="R6" s="482">
        <v>0</v>
      </c>
      <c r="S6" s="1295"/>
      <c r="T6" s="486">
        <f>AVERAGE('LT Ball Mill'!F7:F9)</f>
        <v>0.60899999999999999</v>
      </c>
      <c r="U6" s="486">
        <f>AVERAGE('LT Ball Mill'!G7:G9)</f>
        <v>0.52833333333333343</v>
      </c>
      <c r="V6" s="486">
        <f>AVERAGE('LT Ball Mill'!H7:H9)</f>
        <v>7.623333333333334</v>
      </c>
      <c r="W6" s="485">
        <f t="shared" si="2"/>
        <v>26.767472003999995</v>
      </c>
      <c r="X6" s="569">
        <f t="shared" si="3"/>
        <v>23.22191742</v>
      </c>
      <c r="Y6" s="569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9" customFormat="1" ht="16.2" thickBot="1" x14ac:dyDescent="0.35">
      <c r="A7" s="1200"/>
      <c r="B7" s="1174">
        <v>46266</v>
      </c>
      <c r="C7" s="1175"/>
      <c r="D7" s="533" t="s">
        <v>447</v>
      </c>
      <c r="E7" s="533" t="s">
        <v>446</v>
      </c>
      <c r="F7" s="575" t="s">
        <v>13</v>
      </c>
      <c r="G7" s="476">
        <v>0.38790000000000002</v>
      </c>
      <c r="H7" s="541">
        <f>J7-SUM(H5:H6)</f>
        <v>143.30000000000001</v>
      </c>
      <c r="I7" s="477">
        <f t="shared" si="0"/>
        <v>12.371223021582734</v>
      </c>
      <c r="J7" s="477">
        <v>359</v>
      </c>
      <c r="K7" s="478">
        <v>1.2549999999999999</v>
      </c>
      <c r="L7" s="476">
        <v>0.7</v>
      </c>
      <c r="M7" s="477">
        <f>(K7*J7*G7)-(SUM(M5:M6))</f>
        <v>100.69674635999999</v>
      </c>
      <c r="N7" s="1291">
        <f>SUM(M7:M8)</f>
        <v>218.24394086000001</v>
      </c>
      <c r="O7" s="477">
        <f t="shared" si="1"/>
        <v>8.6932442900719415</v>
      </c>
      <c r="P7" s="1307">
        <f>'Milling Down Time Hours'!Q6</f>
        <v>22.9</v>
      </c>
      <c r="Q7" s="520"/>
      <c r="R7" s="482">
        <v>25</v>
      </c>
      <c r="S7" s="1295"/>
      <c r="T7" s="484">
        <f>AVERAGE('LT Ball Mill'!F10:F12)</f>
        <v>0.64699999999999991</v>
      </c>
      <c r="U7" s="484">
        <f>AVERAGE('LT Ball Mill'!G10:G12)</f>
        <v>0.67433333333333334</v>
      </c>
      <c r="V7" s="484">
        <f>AVERAGE('LT Ball Mill'!H10:H12)</f>
        <v>7.5333333333333341</v>
      </c>
      <c r="W7" s="485">
        <f t="shared" si="2"/>
        <v>65.150794894919983</v>
      </c>
      <c r="X7" s="569">
        <f t="shared" si="3"/>
        <v>67.903172628759989</v>
      </c>
      <c r="Y7" s="569">
        <f t="shared" si="4"/>
        <v>758.58215591199996</v>
      </c>
      <c r="Z7" s="159">
        <f>W7*$AF$6</f>
        <v>162876987.23729995</v>
      </c>
      <c r="AA7" s="438"/>
      <c r="AB7" s="438"/>
      <c r="AC7" s="438"/>
      <c r="AD7" s="438"/>
    </row>
    <row r="8" spans="1:33" s="439" customFormat="1" ht="16.2" thickBot="1" x14ac:dyDescent="0.35">
      <c r="A8" s="1200"/>
      <c r="B8" s="1176"/>
      <c r="C8" s="1177"/>
      <c r="D8" s="526" t="s">
        <v>448</v>
      </c>
      <c r="E8" s="525" t="s">
        <v>449</v>
      </c>
      <c r="F8" s="576" t="s">
        <v>14</v>
      </c>
      <c r="G8" s="479">
        <v>0.41</v>
      </c>
      <c r="H8" s="542">
        <f>J8-SUM(H5:H7)</f>
        <v>198</v>
      </c>
      <c r="I8" s="477">
        <f t="shared" si="0"/>
        <v>17.496318114874818</v>
      </c>
      <c r="J8" s="520">
        <v>557</v>
      </c>
      <c r="K8" s="480">
        <v>1.28</v>
      </c>
      <c r="L8" s="479">
        <v>0.7</v>
      </c>
      <c r="M8" s="477">
        <f>(K8*J8*G8)-(SUM(M5:M7))</f>
        <v>117.54719450000002</v>
      </c>
      <c r="N8" s="1292"/>
      <c r="O8" s="477">
        <f t="shared" si="1"/>
        <v>10.387086406480119</v>
      </c>
      <c r="P8" s="1308"/>
      <c r="Q8" s="520"/>
      <c r="R8" s="482">
        <v>41</v>
      </c>
      <c r="S8" s="1292"/>
      <c r="T8" s="486">
        <f>AVERAGE('LT Ball Mill'!F13:F15)</f>
        <v>0.60899999999999999</v>
      </c>
      <c r="U8" s="486">
        <f>AVERAGE('LT Ball Mill'!G13:G15)</f>
        <v>0.52833333333333343</v>
      </c>
      <c r="V8" s="486">
        <f>AVERAGE('LT Ball Mill'!H13:H15)</f>
        <v>7.623333333333334</v>
      </c>
      <c r="W8" s="485">
        <f t="shared" si="2"/>
        <v>71.586241450500012</v>
      </c>
      <c r="X8" s="569">
        <f t="shared" si="3"/>
        <v>62.104101094166687</v>
      </c>
      <c r="Y8" s="569">
        <f t="shared" si="4"/>
        <v>896.10144607166683</v>
      </c>
      <c r="Z8" s="159">
        <f>W8*$AF$6</f>
        <v>178965603.62625003</v>
      </c>
      <c r="AA8" s="438"/>
      <c r="AB8" s="438" t="s">
        <v>40</v>
      </c>
      <c r="AC8" s="440">
        <v>1250</v>
      </c>
      <c r="AD8" s="438" t="s">
        <v>41</v>
      </c>
      <c r="AF8" s="453"/>
    </row>
    <row r="9" spans="1:33" ht="16.2" thickBot="1" x14ac:dyDescent="0.35">
      <c r="A9" s="1199">
        <v>2</v>
      </c>
      <c r="B9" s="1169">
        <v>46267</v>
      </c>
      <c r="C9" s="1170"/>
      <c r="D9" s="529" t="s">
        <v>447</v>
      </c>
      <c r="E9" s="529" t="s">
        <v>452</v>
      </c>
      <c r="F9" s="577" t="s">
        <v>13</v>
      </c>
      <c r="G9" s="495">
        <v>0.39</v>
      </c>
      <c r="H9" s="496">
        <f>J9</f>
        <v>215</v>
      </c>
      <c r="I9" s="493">
        <f t="shared" si="0"/>
        <v>21.5</v>
      </c>
      <c r="J9" s="496">
        <v>215</v>
      </c>
      <c r="K9" s="496">
        <v>1.26</v>
      </c>
      <c r="L9" s="495">
        <v>0.72</v>
      </c>
      <c r="M9" s="492">
        <f>H9*K9*G9</f>
        <v>105.651</v>
      </c>
      <c r="N9" s="1300">
        <f>SUM(M9:M10)</f>
        <v>209.804</v>
      </c>
      <c r="O9" s="493">
        <f t="shared" si="1"/>
        <v>10.565099999999999</v>
      </c>
      <c r="P9" s="1293">
        <f>'Milling Down Time Hours'!Q7</f>
        <v>22</v>
      </c>
      <c r="Q9" s="508"/>
      <c r="R9" s="487">
        <f>'Milling Down Time Hours'!P7</f>
        <v>120.00000000000001</v>
      </c>
      <c r="S9" s="1300">
        <f>SUM(M9:M11)</f>
        <v>300.14215000000002</v>
      </c>
      <c r="T9" s="543">
        <f>AVERAGE('LT Ball Mill'!F16:F18)</f>
        <v>0.7446666666666667</v>
      </c>
      <c r="U9" s="543">
        <f>AVERAGE('LT Ball Mill'!G16:G18)</f>
        <v>0.59</v>
      </c>
      <c r="V9" s="543">
        <f>AVERAGE('LT Ball Mill'!H16:H18)</f>
        <v>9.8400000000000016</v>
      </c>
      <c r="W9" s="488">
        <f t="shared" si="2"/>
        <v>78.674778000000003</v>
      </c>
      <c r="X9" s="501">
        <f t="shared" si="3"/>
        <v>62.334089999999996</v>
      </c>
      <c r="Y9" s="501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99"/>
      <c r="B10" s="1171"/>
      <c r="C10" s="1172"/>
      <c r="D10" s="531" t="s">
        <v>451</v>
      </c>
      <c r="E10" s="532"/>
      <c r="F10" s="578" t="s">
        <v>14</v>
      </c>
      <c r="G10" s="491">
        <v>0.4</v>
      </c>
      <c r="H10" s="494">
        <f>J10-H9</f>
        <v>198</v>
      </c>
      <c r="I10" s="493">
        <f t="shared" si="0"/>
        <v>16.5</v>
      </c>
      <c r="J10" s="494">
        <v>413</v>
      </c>
      <c r="K10" s="494">
        <v>1.27</v>
      </c>
      <c r="L10" s="495">
        <v>0.72</v>
      </c>
      <c r="M10" s="492">
        <f>K10*J10*G10-SUM(M9)</f>
        <v>104.15300000000001</v>
      </c>
      <c r="N10" s="1302"/>
      <c r="O10" s="493">
        <f t="shared" si="1"/>
        <v>8.6794166666666666</v>
      </c>
      <c r="P10" s="1294"/>
      <c r="Q10" s="508"/>
      <c r="R10" s="487">
        <v>0</v>
      </c>
      <c r="S10" s="1301"/>
      <c r="T10" s="490">
        <f>AVERAGE('LT Ball Mill'!F19:F21)</f>
        <v>0.64600000000000002</v>
      </c>
      <c r="U10" s="490">
        <f>AVERAGE('LT Ball Mill'!G19:G21)</f>
        <v>1.0666666666666667</v>
      </c>
      <c r="V10" s="490">
        <f>AVERAGE('LT Ball Mill'!H19:H21)</f>
        <v>9.2566666666666659</v>
      </c>
      <c r="W10" s="488">
        <f t="shared" si="2"/>
        <v>67.282838000000012</v>
      </c>
      <c r="X10" s="501">
        <f t="shared" si="3"/>
        <v>111.09653333333334</v>
      </c>
      <c r="Y10" s="501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9" customFormat="1" ht="16.2" thickBot="1" x14ac:dyDescent="0.35">
      <c r="A11" s="1199"/>
      <c r="B11" s="1169">
        <v>46268</v>
      </c>
      <c r="C11" s="1170"/>
      <c r="D11" s="529" t="s">
        <v>447</v>
      </c>
      <c r="E11" s="544" t="s">
        <v>478</v>
      </c>
      <c r="F11" s="577" t="s">
        <v>13</v>
      </c>
      <c r="G11" s="495">
        <v>0.43</v>
      </c>
      <c r="H11" s="494">
        <f>J11-H10-H9</f>
        <v>126</v>
      </c>
      <c r="I11" s="493">
        <f t="shared" si="0"/>
        <v>11.454545454545455</v>
      </c>
      <c r="J11" s="496">
        <v>539</v>
      </c>
      <c r="K11" s="496">
        <v>1.2949999999999999</v>
      </c>
      <c r="L11" s="495">
        <v>0.71</v>
      </c>
      <c r="M11" s="492">
        <f>J11*K11*G11-SUM(M9:M10)</f>
        <v>90.338150000000013</v>
      </c>
      <c r="N11" s="1300">
        <f>SUM(M11:M12)</f>
        <v>90.338150000000013</v>
      </c>
      <c r="O11" s="493">
        <f t="shared" si="1"/>
        <v>8.2125590909090924</v>
      </c>
      <c r="P11" s="1303">
        <f>'Milling Down Time Hours'!Q8</f>
        <v>23</v>
      </c>
      <c r="Q11" s="545"/>
      <c r="R11" s="508">
        <v>60</v>
      </c>
      <c r="S11" s="1301"/>
      <c r="T11" s="543">
        <f>AVERAGE('LT Ball Mill'!F22:F24)</f>
        <v>0.66133333333333333</v>
      </c>
      <c r="U11" s="543">
        <f>AVERAGE('LT Ball Mill'!G22:G24)</f>
        <v>0.72333333333333327</v>
      </c>
      <c r="V11" s="543">
        <f>AVERAGE('LT Ball Mill'!H22:H24)</f>
        <v>8.0566666666666666</v>
      </c>
      <c r="W11" s="488">
        <f t="shared" si="2"/>
        <v>59.743629866666673</v>
      </c>
      <c r="X11" s="501">
        <f t="shared" si="3"/>
        <v>65.344595166666664</v>
      </c>
      <c r="Y11" s="501">
        <f t="shared" si="4"/>
        <v>727.82436183333346</v>
      </c>
      <c r="Z11" s="159">
        <f t="shared" si="5"/>
        <v>149359074.66666669</v>
      </c>
      <c r="AA11" s="438"/>
      <c r="AB11" s="438" t="s">
        <v>46</v>
      </c>
      <c r="AC11" s="448">
        <f>2.1</f>
        <v>2.1</v>
      </c>
      <c r="AD11" s="438" t="s">
        <v>45</v>
      </c>
    </row>
    <row r="12" spans="1:33" s="439" customFormat="1" ht="16.2" thickBot="1" x14ac:dyDescent="0.35">
      <c r="A12" s="1199"/>
      <c r="B12" s="1171"/>
      <c r="C12" s="1172"/>
      <c r="D12" s="531" t="s">
        <v>451</v>
      </c>
      <c r="E12" s="546" t="s">
        <v>474</v>
      </c>
      <c r="F12" s="578" t="s">
        <v>14</v>
      </c>
      <c r="G12" s="507"/>
      <c r="H12" s="494"/>
      <c r="I12" s="493"/>
      <c r="J12" s="494"/>
      <c r="K12" s="494"/>
      <c r="L12" s="491"/>
      <c r="M12" s="492">
        <f t="shared" ref="M12:M41" si="6">H12*K12*G12</f>
        <v>0</v>
      </c>
      <c r="N12" s="1302"/>
      <c r="O12" s="493"/>
      <c r="P12" s="1304"/>
      <c r="Q12" s="547"/>
      <c r="R12" s="506">
        <v>720</v>
      </c>
      <c r="S12" s="1183"/>
      <c r="T12" s="549"/>
      <c r="U12" s="549"/>
      <c r="V12" s="550"/>
      <c r="W12" s="488">
        <f t="shared" si="2"/>
        <v>0</v>
      </c>
      <c r="X12" s="501">
        <f t="shared" si="3"/>
        <v>0</v>
      </c>
      <c r="Y12" s="501">
        <f t="shared" si="4"/>
        <v>0</v>
      </c>
      <c r="Z12" s="159">
        <f t="shared" si="5"/>
        <v>0</v>
      </c>
      <c r="AA12" s="438"/>
      <c r="AB12" s="438" t="s">
        <v>47</v>
      </c>
      <c r="AC12" s="448">
        <v>1</v>
      </c>
      <c r="AD12" s="438" t="s">
        <v>45</v>
      </c>
    </row>
    <row r="13" spans="1:33" ht="16.2" thickBot="1" x14ac:dyDescent="0.35">
      <c r="A13" s="1199"/>
      <c r="B13" s="1169">
        <v>46269</v>
      </c>
      <c r="C13" s="1170"/>
      <c r="D13" s="1310" t="s">
        <v>491</v>
      </c>
      <c r="E13" s="551"/>
      <c r="F13" s="579" t="s">
        <v>13</v>
      </c>
      <c r="G13" s="504"/>
      <c r="H13" s="505"/>
      <c r="I13" s="493"/>
      <c r="J13" s="505"/>
      <c r="K13" s="505"/>
      <c r="L13" s="505"/>
      <c r="M13" s="492">
        <f t="shared" si="6"/>
        <v>0</v>
      </c>
      <c r="N13" s="492"/>
      <c r="O13" s="505"/>
      <c r="P13" s="1293">
        <f>'Milling Down Time Hours'!Q9</f>
        <v>0</v>
      </c>
      <c r="Q13" s="530"/>
      <c r="R13" s="1293">
        <f>'Milling Down Time Hours'!P9</f>
        <v>1440</v>
      </c>
      <c r="S13" s="487"/>
      <c r="T13" s="543"/>
      <c r="U13" s="543"/>
      <c r="V13" s="552"/>
      <c r="W13" s="488">
        <f t="shared" si="2"/>
        <v>0</v>
      </c>
      <c r="X13" s="501">
        <f t="shared" si="3"/>
        <v>0</v>
      </c>
      <c r="Y13" s="501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99"/>
      <c r="B14" s="1289"/>
      <c r="C14" s="1290"/>
      <c r="D14" s="1311"/>
      <c r="E14" s="553"/>
      <c r="F14" s="580" t="s">
        <v>14</v>
      </c>
      <c r="G14" s="554"/>
      <c r="H14" s="555"/>
      <c r="I14" s="530"/>
      <c r="J14" s="555"/>
      <c r="K14" s="555"/>
      <c r="L14" s="554"/>
      <c r="M14" s="509">
        <f t="shared" si="6"/>
        <v>0</v>
      </c>
      <c r="N14" s="509"/>
      <c r="O14" s="509">
        <f>(N14/SUM(P5:P14))</f>
        <v>0</v>
      </c>
      <c r="P14" s="1305"/>
      <c r="Q14" s="508"/>
      <c r="R14" s="1306"/>
      <c r="S14" s="555"/>
      <c r="T14" s="557"/>
      <c r="U14" s="557"/>
      <c r="V14" s="558"/>
      <c r="W14" s="559">
        <f t="shared" si="2"/>
        <v>0</v>
      </c>
      <c r="X14" s="570">
        <f t="shared" si="3"/>
        <v>0</v>
      </c>
      <c r="Y14" s="570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98">
        <v>46270</v>
      </c>
      <c r="C15" s="1299"/>
      <c r="D15" s="527"/>
      <c r="E15" s="527" t="s">
        <v>492</v>
      </c>
      <c r="F15" s="430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0"/>
      <c r="U15" s="460"/>
      <c r="V15" s="460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317">
        <v>3</v>
      </c>
      <c r="B16" s="1112">
        <v>46270</v>
      </c>
      <c r="C16" s="1112"/>
      <c r="D16" s="560" t="s">
        <v>448</v>
      </c>
      <c r="E16" s="586" t="s">
        <v>493</v>
      </c>
      <c r="F16" s="581" t="s">
        <v>14</v>
      </c>
      <c r="G16" s="497">
        <v>0.38</v>
      </c>
      <c r="H16" s="482">
        <f>J16-'Au Cal Leaching Tank'!$U$10</f>
        <v>62.150000000000006</v>
      </c>
      <c r="I16" s="482">
        <v>5.57</v>
      </c>
      <c r="J16" s="498">
        <v>170</v>
      </c>
      <c r="K16" s="498">
        <v>1.25</v>
      </c>
      <c r="L16" s="497"/>
      <c r="M16" s="482">
        <f>(J16*K16*G16)-'Au Cal Leaching Tank'!$V$10</f>
        <v>26.314330250000005</v>
      </c>
      <c r="N16" s="500">
        <f>SUM(M15:M16)</f>
        <v>26.314330250000005</v>
      </c>
      <c r="O16" s="482">
        <f t="shared" ref="O16:O23" si="7">M16/P16</f>
        <v>2.325272187039765</v>
      </c>
      <c r="P16" s="569">
        <f>Q16/60</f>
        <v>11.316666666666666</v>
      </c>
      <c r="Q16" s="569">
        <f>720-R16</f>
        <v>679</v>
      </c>
      <c r="R16" s="482">
        <v>41</v>
      </c>
      <c r="S16" s="1203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ref="W16:W24" si="8">T16*M16</f>
        <v>28.603676981750006</v>
      </c>
      <c r="X16" s="569">
        <f t="shared" ref="X16:X24" si="9">M16*U16</f>
        <v>20.349748726666668</v>
      </c>
      <c r="Y16" s="569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317"/>
      <c r="B17" s="1112">
        <v>46271</v>
      </c>
      <c r="C17" s="1112"/>
      <c r="D17" s="615" t="s">
        <v>448</v>
      </c>
      <c r="E17" s="615" t="s">
        <v>513</v>
      </c>
      <c r="F17" s="582" t="s">
        <v>13</v>
      </c>
      <c r="G17" s="522">
        <v>0.47</v>
      </c>
      <c r="H17" s="482">
        <f>J17-SUM(H16)-'Au Cal Leaching Tank'!$U$10</f>
        <v>45</v>
      </c>
      <c r="I17" s="562">
        <f t="shared" ref="I17:I22" si="11">H17/((720-R17)/60)</f>
        <v>4.5762711864406773</v>
      </c>
      <c r="J17" s="523">
        <v>215</v>
      </c>
      <c r="K17" s="523">
        <v>1.33</v>
      </c>
      <c r="L17" s="522">
        <v>0.65</v>
      </c>
      <c r="M17" s="483">
        <f>J17*K17*G17-SUM(M16)-'Au Cal Leaching Tank'!$V$10</f>
        <v>53.646499999999968</v>
      </c>
      <c r="N17" s="1312">
        <f>SUM(M17:M18)</f>
        <v>173.32450000000003</v>
      </c>
      <c r="O17" s="482">
        <f t="shared" si="7"/>
        <v>5.4555762711864366</v>
      </c>
      <c r="P17" s="482">
        <f>(720-R17)/60</f>
        <v>9.8333333333333339</v>
      </c>
      <c r="Q17" s="569">
        <f t="shared" ref="Q17" si="12">720-R17</f>
        <v>590</v>
      </c>
      <c r="R17" s="482">
        <f>'Milling Down Time Hours'!P11</f>
        <v>130</v>
      </c>
      <c r="S17" s="1204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573">
        <f t="shared" si="8"/>
        <v>48.407025166666635</v>
      </c>
      <c r="X17" s="540">
        <f t="shared" si="9"/>
        <v>30.578504999999979</v>
      </c>
      <c r="Y17" s="540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317"/>
      <c r="B18" s="1112"/>
      <c r="C18" s="1112"/>
      <c r="D18" s="615" t="s">
        <v>447</v>
      </c>
      <c r="E18" s="616"/>
      <c r="F18" s="576" t="s">
        <v>14</v>
      </c>
      <c r="G18" s="521">
        <v>0.45</v>
      </c>
      <c r="H18" s="482">
        <f>J18-SUM(H16:H17)-'Au Cal Leaching Tank'!$U$10</f>
        <v>216.00000000000003</v>
      </c>
      <c r="I18" s="477">
        <f t="shared" si="11"/>
        <v>18.000000000000004</v>
      </c>
      <c r="J18" s="480">
        <v>431</v>
      </c>
      <c r="K18" s="480">
        <v>1.31</v>
      </c>
      <c r="L18" s="479">
        <v>0.65</v>
      </c>
      <c r="M18" s="483">
        <f>J18*K18*G18-SUM(M16:M17)-'Au Cal Leaching Tank'!$V$10</f>
        <v>119.67800000000005</v>
      </c>
      <c r="N18" s="1312"/>
      <c r="O18" s="482">
        <f t="shared" si="7"/>
        <v>9.9731666666666712</v>
      </c>
      <c r="P18" s="482">
        <f>(720-R18)/60</f>
        <v>12</v>
      </c>
      <c r="Q18" s="569">
        <f>720-R18</f>
        <v>720</v>
      </c>
      <c r="R18" s="482">
        <v>0</v>
      </c>
      <c r="S18" s="1204"/>
      <c r="T18" s="486">
        <f>AVERAGE('LT Ball Mill'!F31:F33)</f>
        <v>0.81433333333333335</v>
      </c>
      <c r="U18" s="486">
        <f>AVERAGE('LT Ball Mill'!G31:G33)</f>
        <v>0.6333333333333333</v>
      </c>
      <c r="V18" s="486">
        <f>AVERAGE('LT Ball Mill'!H31:H33)</f>
        <v>9.4366666666666674</v>
      </c>
      <c r="W18" s="485">
        <f t="shared" si="8"/>
        <v>97.457784666666711</v>
      </c>
      <c r="X18" s="569">
        <f t="shared" si="9"/>
        <v>75.796066666666704</v>
      </c>
      <c r="Y18" s="569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317"/>
      <c r="B19" s="1176">
        <v>46272</v>
      </c>
      <c r="C19" s="1177"/>
      <c r="D19" s="561" t="s">
        <v>170</v>
      </c>
      <c r="E19" s="563" t="s">
        <v>525</v>
      </c>
      <c r="F19" s="582" t="s">
        <v>13</v>
      </c>
      <c r="G19" s="522">
        <v>0.45</v>
      </c>
      <c r="H19" s="482">
        <f>J19-SUM(H16:H18)-'Au Cal Leaching Tank'!$U$10</f>
        <v>215.99999999999997</v>
      </c>
      <c r="I19" s="477">
        <f t="shared" si="11"/>
        <v>19.31445603576751</v>
      </c>
      <c r="J19" s="523">
        <v>647</v>
      </c>
      <c r="K19" s="523">
        <v>1.31</v>
      </c>
      <c r="L19" s="522">
        <v>0.73</v>
      </c>
      <c r="M19" s="483">
        <f>J19*K19*G19-SUM(M16:M18)-'Au Cal Leaching Tank'!$V$10</f>
        <v>127.33200000000005</v>
      </c>
      <c r="N19" s="1148">
        <f>SUM(M19:M20)</f>
        <v>185.59190000000007</v>
      </c>
      <c r="O19" s="482">
        <f t="shared" si="7"/>
        <v>8.9775793184488872</v>
      </c>
      <c r="P19" s="482">
        <f>(900-R19)/60</f>
        <v>14.183333333333334</v>
      </c>
      <c r="Q19" s="482">
        <f>900-R19</f>
        <v>851</v>
      </c>
      <c r="R19" s="482">
        <f>'Milling Down Time Hours'!G19+30</f>
        <v>49</v>
      </c>
      <c r="S19" s="1205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5">
        <f t="shared" si="8"/>
        <v>116.12678400000003</v>
      </c>
      <c r="X19" s="569">
        <f t="shared" si="9"/>
        <v>121.38984000000004</v>
      </c>
      <c r="Y19" s="569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99">
        <v>4</v>
      </c>
      <c r="B20" s="1296">
        <v>46272</v>
      </c>
      <c r="C20" s="1297"/>
      <c r="D20" s="564" t="s">
        <v>516</v>
      </c>
      <c r="E20" s="639" t="s">
        <v>556</v>
      </c>
      <c r="F20" s="583" t="s">
        <v>14</v>
      </c>
      <c r="G20" s="502">
        <v>0.41</v>
      </c>
      <c r="H20" s="487">
        <f>J20-'Au Cal Leaching Tank'!$U$11</f>
        <v>107.15</v>
      </c>
      <c r="I20" s="493">
        <f>H20/((720-R20)/60)</f>
        <v>9.5103550295857993</v>
      </c>
      <c r="J20" s="503">
        <v>215</v>
      </c>
      <c r="K20" s="503">
        <v>1.28</v>
      </c>
      <c r="L20" s="502">
        <v>0.73</v>
      </c>
      <c r="M20" s="492">
        <f>J20*K20*G20-'Au Cal Leaching Tank'!$V$11</f>
        <v>58.259900000000002</v>
      </c>
      <c r="N20" s="1205"/>
      <c r="O20" s="487">
        <f t="shared" si="7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191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8"/>
        <v>30.897166966666674</v>
      </c>
      <c r="X20" s="501">
        <f t="shared" si="9"/>
        <v>62.338093000000008</v>
      </c>
      <c r="Y20" s="501">
        <f t="shared" si="10"/>
        <v>520.0667073333334</v>
      </c>
    </row>
    <row r="21" spans="1:32" ht="15" thickBot="1" x14ac:dyDescent="0.35">
      <c r="A21" s="1199"/>
      <c r="B21" s="1169">
        <v>46273</v>
      </c>
      <c r="C21" s="1170"/>
      <c r="D21" s="565" t="s">
        <v>170</v>
      </c>
      <c r="E21" s="565" t="s">
        <v>526</v>
      </c>
      <c r="F21" s="583" t="s">
        <v>13</v>
      </c>
      <c r="G21" s="502">
        <v>0.42</v>
      </c>
      <c r="H21" s="487">
        <f>J21-'Au Cal Leaching Tank'!$U$11-SUM(H20)</f>
        <v>188.99999999999997</v>
      </c>
      <c r="I21" s="493">
        <f t="shared" si="11"/>
        <v>18.290322580645157</v>
      </c>
      <c r="J21" s="503">
        <v>404</v>
      </c>
      <c r="K21" s="503">
        <v>1.29</v>
      </c>
      <c r="L21" s="502">
        <v>0.75</v>
      </c>
      <c r="M21" s="492">
        <f>J21*K21*G21-'Au Cal Leaching Tank'!$V$11-SUM(M20)</f>
        <v>106.05519999999997</v>
      </c>
      <c r="N21" s="1300">
        <f>SUM(M21:M22)</f>
        <v>193.82679999999999</v>
      </c>
      <c r="O21" s="487">
        <f t="shared" si="7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191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8"/>
        <v>68.582362666666654</v>
      </c>
      <c r="X21" s="501">
        <f t="shared" si="9"/>
        <v>102.16650933333329</v>
      </c>
      <c r="Y21" s="50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99"/>
      <c r="B22" s="1171"/>
      <c r="C22" s="1172"/>
      <c r="D22" s="566" t="s">
        <v>530</v>
      </c>
      <c r="E22" s="567" t="s">
        <v>536</v>
      </c>
      <c r="F22" s="580" t="s">
        <v>14</v>
      </c>
      <c r="G22" s="554">
        <v>0.42</v>
      </c>
      <c r="H22" s="487">
        <f>J22-'Au Cal Leaching Tank'!$U$11-SUM(H20:H21)</f>
        <v>162</v>
      </c>
      <c r="I22" s="493">
        <f t="shared" si="11"/>
        <v>17.142857142857146</v>
      </c>
      <c r="J22" s="555">
        <v>566</v>
      </c>
      <c r="K22" s="555">
        <v>1.29</v>
      </c>
      <c r="L22" s="554">
        <v>0.75</v>
      </c>
      <c r="M22" s="492">
        <f>J22*K22*G22-'Au Cal Leaching Tank'!$V$11-SUM(M20:M21)</f>
        <v>87.771600000000035</v>
      </c>
      <c r="N22" s="1213"/>
      <c r="O22" s="487">
        <f t="shared" si="7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191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8"/>
        <v>55.734966000000014</v>
      </c>
      <c r="X22" s="501">
        <f t="shared" si="9"/>
        <v>90.697320000000047</v>
      </c>
      <c r="Y22" s="50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99"/>
      <c r="B23" s="1169">
        <v>46274</v>
      </c>
      <c r="C23" s="1170"/>
      <c r="D23" s="568" t="s">
        <v>170</v>
      </c>
      <c r="E23" s="587" t="s">
        <v>528</v>
      </c>
      <c r="F23" s="577" t="s">
        <v>13</v>
      </c>
      <c r="G23" s="495">
        <v>0.44</v>
      </c>
      <c r="H23" s="487">
        <f>J23-'Au Cal Leaching Tank'!$U$11-SUM(H20:H22)</f>
        <v>81</v>
      </c>
      <c r="I23" s="493">
        <f>H23/((720-R23)/60)</f>
        <v>27</v>
      </c>
      <c r="J23" s="496">
        <v>647</v>
      </c>
      <c r="K23" s="496">
        <v>1.3049999999999999</v>
      </c>
      <c r="L23" s="495">
        <v>0.75</v>
      </c>
      <c r="M23" s="492">
        <f>J23*K23*G23-'Au Cal Leaching Tank'!$V$11-SUM(M20:M22)</f>
        <v>64.848599999999976</v>
      </c>
      <c r="N23" s="501">
        <f>SUM(M23:M24)</f>
        <v>64.848599999999976</v>
      </c>
      <c r="O23" s="487">
        <f t="shared" si="7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191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8"/>
        <v>38.41198739999998</v>
      </c>
      <c r="X23" s="501">
        <f t="shared" si="9"/>
        <v>43.232399999999984</v>
      </c>
      <c r="Y23" s="50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59">
        <v>46274</v>
      </c>
      <c r="C24" s="1160"/>
      <c r="D24" s="470" t="s">
        <v>530</v>
      </c>
      <c r="E24" s="638" t="s">
        <v>555</v>
      </c>
      <c r="F24" s="584" t="s">
        <v>14</v>
      </c>
      <c r="G24" s="211"/>
      <c r="H24" s="97"/>
      <c r="I24" s="239"/>
      <c r="J24" s="97"/>
      <c r="K24" s="97"/>
      <c r="L24" s="211"/>
      <c r="M24" s="212">
        <f>H24*K24*G24</f>
        <v>0</v>
      </c>
      <c r="N24" s="588"/>
      <c r="O24" s="436" t="str">
        <f>IFERROR(M24/P24,"")</f>
        <v/>
      </c>
      <c r="P24" s="436">
        <f>(720-R24)/60</f>
        <v>0</v>
      </c>
      <c r="Q24" s="436">
        <f>720-R24</f>
        <v>0</v>
      </c>
      <c r="R24" s="436">
        <f>'Milling Down Time Hours'!G24</f>
        <v>720</v>
      </c>
      <c r="S24" s="473"/>
      <c r="T24" s="596"/>
      <c r="U24" s="596"/>
      <c r="V24" s="597"/>
      <c r="W24" s="598">
        <f t="shared" si="8"/>
        <v>0</v>
      </c>
      <c r="X24" s="473">
        <f t="shared" si="9"/>
        <v>0</v>
      </c>
      <c r="Y24" s="473">
        <f t="shared" si="10"/>
        <v>0</v>
      </c>
      <c r="AA24" s="14" t="s">
        <v>219</v>
      </c>
      <c r="AB24" s="432">
        <f>3.14*AB23*AB23*AB22</f>
        <v>287.59887999999995</v>
      </c>
      <c r="AC24" s="6"/>
    </row>
    <row r="25" spans="1:32" x14ac:dyDescent="0.3">
      <c r="A25" s="1200">
        <v>5</v>
      </c>
      <c r="B25" s="1174">
        <v>46275</v>
      </c>
      <c r="C25" s="1175"/>
      <c r="D25" s="591" t="s">
        <v>170</v>
      </c>
      <c r="E25" s="592" t="s">
        <v>529</v>
      </c>
      <c r="F25" s="581" t="s">
        <v>13</v>
      </c>
      <c r="G25" s="497">
        <v>0.44</v>
      </c>
      <c r="H25" s="482">
        <f>J25-'Au Cal Leaching Tank'!$U$14</f>
        <v>215.15</v>
      </c>
      <c r="I25" s="482">
        <f t="shared" ref="I25:I42" si="13">H25/((720-R25)/60)</f>
        <v>20.361198738170348</v>
      </c>
      <c r="J25" s="498">
        <v>323</v>
      </c>
      <c r="K25" s="498">
        <v>1.3</v>
      </c>
      <c r="L25" s="497">
        <v>0.75</v>
      </c>
      <c r="M25" s="482">
        <f>J25*K25*G25-'Au Cal Leaching Tank'!$V$12</f>
        <v>123.06580000000004</v>
      </c>
      <c r="N25" s="1184">
        <f>SUM(M25:M26)</f>
        <v>262.08779999999996</v>
      </c>
      <c r="O25" s="482">
        <f t="shared" ref="O25:O26" si="14">M25/P25</f>
        <v>11.646605678233442</v>
      </c>
      <c r="P25" s="482">
        <f t="shared" ref="P25:P26" si="15">(720-R25)/60</f>
        <v>10.566666666666666</v>
      </c>
      <c r="Q25" s="482">
        <f t="shared" ref="Q25:Q26" si="16">720-R25</f>
        <v>634</v>
      </c>
      <c r="R25" s="482">
        <f>'Milling Down Time Hours'!G25</f>
        <v>86</v>
      </c>
      <c r="S25" s="1184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2"/>
        <v>89.838034000000022</v>
      </c>
      <c r="X25" s="569">
        <f t="shared" si="3"/>
        <v>77.531454000000025</v>
      </c>
      <c r="Y25" s="569">
        <f t="shared" si="4"/>
        <v>1054.6739060000004</v>
      </c>
      <c r="AA25" s="13" t="s">
        <v>443</v>
      </c>
      <c r="AB25" s="226">
        <f>AB24*AC10*AC13</f>
        <v>137.26310181818181</v>
      </c>
    </row>
    <row r="26" spans="1:32" ht="15" thickBot="1" x14ac:dyDescent="0.35">
      <c r="A26" s="1200"/>
      <c r="B26" s="1176"/>
      <c r="C26" s="1177"/>
      <c r="D26" s="593" t="s">
        <v>548</v>
      </c>
      <c r="E26" s="594"/>
      <c r="F26" s="581" t="s">
        <v>14</v>
      </c>
      <c r="G26" s="497">
        <v>0.42</v>
      </c>
      <c r="H26" s="482">
        <f>J26-'Au Cal Leaching Tank'!$U$14-SUM(H25)</f>
        <v>270</v>
      </c>
      <c r="I26" s="482">
        <f t="shared" si="13"/>
        <v>25.796178343949045</v>
      </c>
      <c r="J26" s="498">
        <v>593</v>
      </c>
      <c r="K26" s="498">
        <v>1.3</v>
      </c>
      <c r="L26" s="497">
        <v>0.75</v>
      </c>
      <c r="M26" s="482">
        <f>(J26*K26*G26-'Au Cal Leaching Tank'!$V$12)-M25</f>
        <v>139.02199999999993</v>
      </c>
      <c r="N26" s="1188"/>
      <c r="O26" s="482">
        <f t="shared" si="14"/>
        <v>13.282356687898083</v>
      </c>
      <c r="P26" s="482">
        <f t="shared" si="15"/>
        <v>10.466666666666667</v>
      </c>
      <c r="Q26" s="482">
        <f t="shared" si="16"/>
        <v>628</v>
      </c>
      <c r="R26" s="482">
        <f>'Milling Down Time Hours'!G26</f>
        <v>92.000000000000014</v>
      </c>
      <c r="S26" s="1184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2"/>
        <v>71.735351999999963</v>
      </c>
      <c r="X26" s="569">
        <f t="shared" si="3"/>
        <v>59.779459999999972</v>
      </c>
      <c r="Y26" s="569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200"/>
      <c r="B27" s="1174">
        <v>46276</v>
      </c>
      <c r="C27" s="1175"/>
      <c r="D27" s="703" t="s">
        <v>547</v>
      </c>
      <c r="E27" s="655" t="s">
        <v>561</v>
      </c>
      <c r="F27" s="581" t="s">
        <v>13</v>
      </c>
      <c r="G27" s="497">
        <v>0.4</v>
      </c>
      <c r="H27" s="482">
        <f>J27-'Au Cal Leaching Tank'!$U$14-SUM(H25:H26)</f>
        <v>54</v>
      </c>
      <c r="I27" s="482">
        <f t="shared" si="13"/>
        <v>4.9165402124430964</v>
      </c>
      <c r="J27" s="482">
        <v>647</v>
      </c>
      <c r="K27" s="498">
        <v>1.27</v>
      </c>
      <c r="L27" s="497">
        <v>0.75</v>
      </c>
      <c r="M27" s="482">
        <f>(J27*K27*G27-'Au Cal Leaching Tank'!$V$12)-SUM(M25:M26)</f>
        <v>4.8980000000000814</v>
      </c>
      <c r="N27" s="1203">
        <f>SUM(M27:M28)</f>
        <v>65.006412500000096</v>
      </c>
      <c r="O27" s="482">
        <f>M27/P27</f>
        <v>0.9828762541806183</v>
      </c>
      <c r="P27" s="482">
        <f>(360-R27)/60</f>
        <v>4.9833333333333334</v>
      </c>
      <c r="Q27" s="482">
        <f>360-R27</f>
        <v>299</v>
      </c>
      <c r="R27" s="482">
        <f>'Milling Down Time Hours'!G27</f>
        <v>61</v>
      </c>
      <c r="S27" s="1184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AD27" s="459"/>
    </row>
    <row r="28" spans="1:32" x14ac:dyDescent="0.3">
      <c r="A28" s="702"/>
      <c r="B28" s="1119">
        <v>46276</v>
      </c>
      <c r="C28" s="1119"/>
      <c r="D28" s="704" t="s">
        <v>547</v>
      </c>
      <c r="E28" s="722" t="s">
        <v>589</v>
      </c>
      <c r="F28" s="696" t="s">
        <v>13</v>
      </c>
      <c r="G28" s="697">
        <v>0.42</v>
      </c>
      <c r="H28" s="698">
        <f>J28-'Au Cal Leaching Tank'!$U$15</f>
        <v>107.15</v>
      </c>
      <c r="I28" s="699">
        <f>H28/((360-R28)/60)</f>
        <v>17.858333333333334</v>
      </c>
      <c r="J28" s="698">
        <v>215</v>
      </c>
      <c r="K28" s="700">
        <v>1.29</v>
      </c>
      <c r="L28" s="697">
        <v>0.75</v>
      </c>
      <c r="M28" s="699">
        <f>(J28*K28*G28)-'Au Cal Leaching Tank'!$V$13</f>
        <v>60.108412500000014</v>
      </c>
      <c r="N28" s="1295"/>
      <c r="O28" s="699">
        <f>M28/P28</f>
        <v>10.018068750000003</v>
      </c>
      <c r="P28" s="699">
        <f>(360-R28)/60</f>
        <v>6</v>
      </c>
      <c r="Q28" s="698">
        <v>360</v>
      </c>
      <c r="R28" s="698">
        <v>0</v>
      </c>
      <c r="S28" s="1182">
        <f>SUM(M28:M31)</f>
        <v>277.03691250000003</v>
      </c>
      <c r="T28" s="721">
        <f>AVERAGE('LT Ball Mill'!F58:F60)</f>
        <v>1.4286666666666665</v>
      </c>
      <c r="U28" s="721">
        <f>AVERAGE('LT Ball Mill'!G58:G60)</f>
        <v>0.99333333333333329</v>
      </c>
      <c r="V28" s="721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AD28" s="459"/>
    </row>
    <row r="29" spans="1:32" ht="43.8" thickBot="1" x14ac:dyDescent="0.35">
      <c r="A29" s="1199">
        <v>6</v>
      </c>
      <c r="B29" s="1289">
        <v>46276</v>
      </c>
      <c r="C29" s="1290"/>
      <c r="D29" s="715" t="s">
        <v>557</v>
      </c>
      <c r="E29" s="716" t="s">
        <v>554</v>
      </c>
      <c r="F29" s="717" t="s">
        <v>14</v>
      </c>
      <c r="G29" s="504">
        <v>0.45</v>
      </c>
      <c r="H29" s="556">
        <f>J29-'Au Cal Leaching Tank'!$U$15-SUM(H28)</f>
        <v>72</v>
      </c>
      <c r="I29" s="556">
        <f t="shared" si="13"/>
        <v>36</v>
      </c>
      <c r="J29" s="505">
        <v>287</v>
      </c>
      <c r="K29" s="505">
        <v>1.29</v>
      </c>
      <c r="L29" s="504">
        <v>0.75</v>
      </c>
      <c r="M29" s="487">
        <f>(J29*K29*G29)-'Au Cal Leaching Tank'!$V$13-SUM(M28)</f>
        <v>50.116500000000016</v>
      </c>
      <c r="N29" s="489">
        <f>M29</f>
        <v>50.116500000000016</v>
      </c>
      <c r="O29" s="556">
        <f>M29/P29</f>
        <v>25.058250000000008</v>
      </c>
      <c r="P29" s="556">
        <f>(720-R29)/60</f>
        <v>2</v>
      </c>
      <c r="Q29" s="556">
        <f>720-R29</f>
        <v>120</v>
      </c>
      <c r="R29" s="556">
        <f>'Milling Down Time Hours'!G28</f>
        <v>600</v>
      </c>
      <c r="S29" s="1301"/>
      <c r="T29" s="589">
        <f>AVERAGE('LT Ball Mill'!F61:F63)</f>
        <v>0.26499999999999996</v>
      </c>
      <c r="U29" s="589">
        <f>AVERAGE('LT Ball Mill'!G61:G63)</f>
        <v>0.57333333333333336</v>
      </c>
      <c r="V29" s="589">
        <f>AVERAGE('LT Ball Mill'!H61:H63)</f>
        <v>7.5933333333333337</v>
      </c>
      <c r="W29" s="590">
        <f>T29*M29</f>
        <v>13.280872500000003</v>
      </c>
      <c r="X29" s="548">
        <f>M29*U29</f>
        <v>28.733460000000012</v>
      </c>
      <c r="Y29" s="548">
        <f>M29*V29</f>
        <v>380.55129000000017</v>
      </c>
      <c r="AB29" s="30">
        <f>AB25-62</f>
        <v>75.263101818181809</v>
      </c>
    </row>
    <row r="30" spans="1:32" ht="29.4" thickBot="1" x14ac:dyDescent="0.35">
      <c r="A30" s="1199"/>
      <c r="B30" s="1169">
        <v>46277</v>
      </c>
      <c r="C30" s="1170"/>
      <c r="D30" s="718" t="s">
        <v>558</v>
      </c>
      <c r="E30" s="719" t="s">
        <v>559</v>
      </c>
      <c r="F30" s="577" t="s">
        <v>13</v>
      </c>
      <c r="G30" s="491">
        <v>0.33</v>
      </c>
      <c r="H30" s="556">
        <f>J30-'Au Cal Leaching Tank'!$U$15-SUM(H28:H29)</f>
        <v>432</v>
      </c>
      <c r="I30" s="556" t="str">
        <f>IFERROR(H30/((720-R30)/60),"")</f>
        <v/>
      </c>
      <c r="J30" s="494">
        <v>719</v>
      </c>
      <c r="K30" s="494">
        <v>1.21</v>
      </c>
      <c r="L30" s="491">
        <v>0.75</v>
      </c>
      <c r="M30" s="487">
        <f>(J30*K30*G30)-'Au Cal Leaching Tank'!$V$13-SUM(M28:M29)</f>
        <v>120.49319999999999</v>
      </c>
      <c r="N30" s="1300">
        <f>SUM(M30:M31)</f>
        <v>166.81200000000001</v>
      </c>
      <c r="O30" s="556" t="str">
        <f>IFERROR(M30/P30,"")</f>
        <v/>
      </c>
      <c r="P30" s="556">
        <f t="shared" ref="P30:P33" si="17">(720-R30)/60</f>
        <v>0</v>
      </c>
      <c r="Q30" s="508">
        <f>720-R30</f>
        <v>0</v>
      </c>
      <c r="R30" s="556">
        <f>'Milling Down Time Hours'!G29</f>
        <v>720</v>
      </c>
      <c r="S30" s="1301"/>
      <c r="T30" s="490">
        <f>AVERAGE('LT Ball Mill'!F64:F66)</f>
        <v>0.30533333333333329</v>
      </c>
      <c r="U30" s="490">
        <f>AVERAGE('LT Ball Mill'!G64:G66)</f>
        <v>0.55333333333333334</v>
      </c>
      <c r="V30" s="490">
        <f>AVERAGE('LT Ball Mill'!H64:H66)</f>
        <v>6.7966666666666669</v>
      </c>
      <c r="W30" s="488">
        <f t="shared" si="2"/>
        <v>36.790590399999992</v>
      </c>
      <c r="X30" s="501">
        <f t="shared" si="3"/>
        <v>66.672903999999988</v>
      </c>
      <c r="Y30" s="501">
        <f t="shared" si="4"/>
        <v>818.95211599999993</v>
      </c>
    </row>
    <row r="31" spans="1:32" ht="29.4" thickBot="1" x14ac:dyDescent="0.35">
      <c r="A31" s="1199"/>
      <c r="B31" s="1171"/>
      <c r="C31" s="1172"/>
      <c r="D31" s="720" t="s">
        <v>577</v>
      </c>
      <c r="E31" s="809" t="s">
        <v>593</v>
      </c>
      <c r="F31" s="580" t="s">
        <v>14</v>
      </c>
      <c r="G31" s="495">
        <v>0.33</v>
      </c>
      <c r="H31" s="556">
        <f>J31-'Au Cal Leaching Tank'!$U$15-SUM(H28:H30)</f>
        <v>116</v>
      </c>
      <c r="I31" s="556" t="str">
        <f>IFERROR(H31/((720-R31)/60),"")</f>
        <v/>
      </c>
      <c r="J31" s="496">
        <v>835</v>
      </c>
      <c r="K31" s="496">
        <v>1.21</v>
      </c>
      <c r="L31" s="495">
        <v>0.75</v>
      </c>
      <c r="M31" s="487">
        <f>(J31*K31*G31)-'Au Cal Leaching Tank'!$V$13-SUM(M28:M30)</f>
        <v>46.31880000000001</v>
      </c>
      <c r="N31" s="1302"/>
      <c r="O31" s="556" t="str">
        <f t="shared" ref="O31:O43" si="18">IFERROR(M31/P31,"")</f>
        <v/>
      </c>
      <c r="P31" s="556">
        <f t="shared" si="17"/>
        <v>0</v>
      </c>
      <c r="Q31" s="508">
        <f>720-R31</f>
        <v>0</v>
      </c>
      <c r="R31" s="556">
        <f>'Milling Down Time Hours'!G30</f>
        <v>720</v>
      </c>
      <c r="S31" s="1183"/>
      <c r="T31" s="589">
        <f>AVERAGE('LT Ball Mill'!F64:F66)</f>
        <v>0.30533333333333329</v>
      </c>
      <c r="U31" s="589">
        <f>AVERAGE('LT Ball Mill'!G64:G66)</f>
        <v>0.55333333333333334</v>
      </c>
      <c r="V31" s="589">
        <f>AVERAGE('LT Ball Mill'!H64:H66)</f>
        <v>6.7966666666666669</v>
      </c>
      <c r="W31" s="488">
        <f t="shared" si="2"/>
        <v>14.142673600000002</v>
      </c>
      <c r="X31" s="501">
        <f t="shared" si="3"/>
        <v>25.629736000000005</v>
      </c>
      <c r="Y31" s="501">
        <f t="shared" si="4"/>
        <v>314.81344400000006</v>
      </c>
      <c r="AA31" s="138"/>
      <c r="AB31" s="30"/>
    </row>
    <row r="32" spans="1:32" ht="15" thickBot="1" x14ac:dyDescent="0.35">
      <c r="B32" s="1157">
        <v>46278</v>
      </c>
      <c r="C32" s="1158"/>
      <c r="D32" s="701" t="s">
        <v>579</v>
      </c>
      <c r="E32" s="701" t="s">
        <v>578</v>
      </c>
      <c r="F32" s="585" t="s">
        <v>13</v>
      </c>
      <c r="G32" s="32"/>
      <c r="H32" s="29"/>
      <c r="I32" s="630"/>
      <c r="J32" s="29"/>
      <c r="K32" s="29"/>
      <c r="L32" s="32"/>
      <c r="M32" s="28">
        <f t="shared" si="6"/>
        <v>0</v>
      </c>
      <c r="N32" s="1142">
        <f>SUM(M32:M33)</f>
        <v>28.496569999999998</v>
      </c>
      <c r="O32" s="630" t="str">
        <f t="shared" si="18"/>
        <v/>
      </c>
      <c r="P32" s="630">
        <f>(720-R32)/60</f>
        <v>0</v>
      </c>
      <c r="Q32" s="436">
        <f t="shared" ref="Q32:Q33" si="19">720-R32</f>
        <v>0</v>
      </c>
      <c r="R32" s="436">
        <f>'Milling Down Time Hours'!G31</f>
        <v>720</v>
      </c>
      <c r="S32" s="510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4" customFormat="1" ht="15" thickBot="1" x14ac:dyDescent="0.35">
      <c r="A33" s="714">
        <v>7</v>
      </c>
      <c r="B33" s="1159"/>
      <c r="C33" s="1160"/>
      <c r="D33" s="723" t="s">
        <v>170</v>
      </c>
      <c r="E33" s="810" t="s">
        <v>595</v>
      </c>
      <c r="F33" s="724" t="s">
        <v>14</v>
      </c>
      <c r="G33" s="522">
        <v>0.38</v>
      </c>
      <c r="H33" s="562">
        <f>J33-'Au Cal Leaching Tank'!$U$14</f>
        <v>179.15</v>
      </c>
      <c r="I33" s="562">
        <f t="shared" si="13"/>
        <v>17.914999999999999</v>
      </c>
      <c r="J33" s="523">
        <v>287</v>
      </c>
      <c r="K33" s="523">
        <v>1.25</v>
      </c>
      <c r="L33" s="479">
        <v>0.75</v>
      </c>
      <c r="M33" s="725">
        <f>(H33*K33*G33)-'Au Cal Leaching Tank'!$V$14</f>
        <v>28.496569999999998</v>
      </c>
      <c r="N33" s="1143"/>
      <c r="O33" s="790">
        <f t="shared" si="18"/>
        <v>2.8496569999999997</v>
      </c>
      <c r="P33" s="562">
        <f t="shared" si="17"/>
        <v>10</v>
      </c>
      <c r="Q33" s="520">
        <f t="shared" si="19"/>
        <v>600</v>
      </c>
      <c r="R33" s="520">
        <f>'Milling Down Time Hours'!G34</f>
        <v>120.00000000000001</v>
      </c>
      <c r="S33" s="792"/>
      <c r="T33" s="484"/>
      <c r="U33" s="484"/>
      <c r="V33" s="793"/>
      <c r="W33" s="485">
        <f t="shared" si="2"/>
        <v>0</v>
      </c>
      <c r="X33" s="569">
        <f t="shared" si="3"/>
        <v>0</v>
      </c>
      <c r="Y33" s="569">
        <f t="shared" si="4"/>
        <v>0</v>
      </c>
      <c r="AA33" s="794">
        <f>125.82*1.28*41.76%</f>
        <v>67.254312959999993</v>
      </c>
      <c r="AC33" s="794">
        <f>215.7*1.29*42.92%</f>
        <v>119.42618760000001</v>
      </c>
    </row>
    <row r="34" spans="1:32" s="794" customFormat="1" ht="15" thickBot="1" x14ac:dyDescent="0.35">
      <c r="A34" s="714"/>
      <c r="B34" s="1174">
        <v>46279</v>
      </c>
      <c r="C34" s="1175"/>
      <c r="D34" s="516"/>
      <c r="E34" s="516"/>
      <c r="F34" s="575" t="s">
        <v>13</v>
      </c>
      <c r="G34" s="497"/>
      <c r="H34" s="562">
        <f>J34-'Au Cal Leaching Tank'!$U$14-SUM(H33)</f>
        <v>-287</v>
      </c>
      <c r="I34" s="562">
        <f t="shared" si="13"/>
        <v>-23.916666666666668</v>
      </c>
      <c r="J34" s="498"/>
      <c r="K34" s="498"/>
      <c r="L34" s="479"/>
      <c r="M34" s="725">
        <f>(H34*K34*G34)-'Au Cal Leaching Tank'!$V$14-SUM(M33)</f>
        <v>-85.096249999999998</v>
      </c>
      <c r="N34" s="1291">
        <f>SUM(M34:M35)</f>
        <v>-85.096249999999998</v>
      </c>
      <c r="O34" s="790" t="str">
        <f t="shared" si="18"/>
        <v/>
      </c>
      <c r="P34" s="791"/>
      <c r="Q34" s="791"/>
      <c r="R34" s="520">
        <f>'Milling Down Time Hours'!G35</f>
        <v>0</v>
      </c>
      <c r="S34" s="795"/>
      <c r="T34" s="486"/>
      <c r="U34" s="486"/>
      <c r="V34" s="796"/>
      <c r="W34" s="485">
        <f t="shared" si="2"/>
        <v>0</v>
      </c>
      <c r="X34" s="569">
        <f t="shared" si="3"/>
        <v>0</v>
      </c>
      <c r="Y34" s="569">
        <f t="shared" si="4"/>
        <v>0</v>
      </c>
      <c r="AA34" s="794">
        <f>170.76*1.27*40.59%</f>
        <v>88.025584680000009</v>
      </c>
      <c r="AC34" s="794">
        <f>AC33-AC32</f>
        <v>80.307698400000007</v>
      </c>
    </row>
    <row r="35" spans="1:32" s="794" customFormat="1" ht="15" thickBot="1" x14ac:dyDescent="0.35">
      <c r="A35" s="714"/>
      <c r="B35" s="1176"/>
      <c r="C35" s="1177"/>
      <c r="D35" s="516"/>
      <c r="E35" s="516"/>
      <c r="F35" s="724" t="s">
        <v>14</v>
      </c>
      <c r="G35" s="497"/>
      <c r="H35" s="562">
        <f>J35-'Au Cal Leaching Tank'!$U$14-SUM(H33:H34)</f>
        <v>0</v>
      </c>
      <c r="I35" s="562">
        <f t="shared" si="13"/>
        <v>0</v>
      </c>
      <c r="J35" s="498"/>
      <c r="K35" s="498"/>
      <c r="L35" s="479"/>
      <c r="M35" s="725">
        <f t="shared" si="6"/>
        <v>0</v>
      </c>
      <c r="N35" s="1292"/>
      <c r="O35" s="562">
        <f t="shared" si="18"/>
        <v>0</v>
      </c>
      <c r="P35" s="482">
        <f>'Milling Down Time Hours'!Q21</f>
        <v>22.933333333333334</v>
      </c>
      <c r="Q35" s="482"/>
      <c r="R35" s="482">
        <f>'Milling Down Time Hours'!P21</f>
        <v>64</v>
      </c>
      <c r="S35" s="498"/>
      <c r="T35" s="484"/>
      <c r="U35" s="484"/>
      <c r="V35" s="793"/>
      <c r="W35" s="485">
        <f t="shared" si="2"/>
        <v>0</v>
      </c>
      <c r="X35" s="569">
        <f t="shared" si="3"/>
        <v>0</v>
      </c>
      <c r="Y35" s="569">
        <f t="shared" si="4"/>
        <v>0</v>
      </c>
      <c r="AA35" s="797">
        <f>AA34-AA33</f>
        <v>20.771271720000016</v>
      </c>
    </row>
    <row r="36" spans="1:32" s="794" customFormat="1" ht="15" thickBot="1" x14ac:dyDescent="0.35">
      <c r="A36" s="714"/>
      <c r="B36" s="1174">
        <v>46280</v>
      </c>
      <c r="C36" s="1175"/>
      <c r="D36" s="516"/>
      <c r="E36" s="798"/>
      <c r="F36" s="575" t="s">
        <v>13</v>
      </c>
      <c r="G36" s="497"/>
      <c r="H36" s="498"/>
      <c r="I36" s="562">
        <f t="shared" si="13"/>
        <v>0</v>
      </c>
      <c r="J36" s="498"/>
      <c r="K36" s="498"/>
      <c r="L36" s="497"/>
      <c r="M36" s="725">
        <f t="shared" si="6"/>
        <v>0</v>
      </c>
      <c r="N36" s="726"/>
      <c r="O36" s="562" t="str">
        <f t="shared" si="18"/>
        <v/>
      </c>
      <c r="P36" s="482"/>
      <c r="Q36" s="482"/>
      <c r="R36" s="482"/>
      <c r="S36" s="498"/>
      <c r="T36" s="486"/>
      <c r="U36" s="486"/>
      <c r="V36" s="796"/>
      <c r="W36" s="485">
        <f t="shared" si="2"/>
        <v>0</v>
      </c>
      <c r="X36" s="569">
        <f t="shared" si="3"/>
        <v>0</v>
      </c>
      <c r="Y36" s="569">
        <f t="shared" si="4"/>
        <v>0</v>
      </c>
      <c r="AA36" s="797"/>
    </row>
    <row r="37" spans="1:32" s="794" customFormat="1" ht="15" thickBot="1" x14ac:dyDescent="0.35">
      <c r="A37" s="714"/>
      <c r="B37" s="1176"/>
      <c r="C37" s="1177"/>
      <c r="D37" s="799"/>
      <c r="E37" s="799"/>
      <c r="F37" s="724" t="s">
        <v>14</v>
      </c>
      <c r="G37" s="800"/>
      <c r="H37" s="581"/>
      <c r="I37" s="562">
        <f t="shared" si="13"/>
        <v>0</v>
      </c>
      <c r="J37" s="581"/>
      <c r="K37" s="581"/>
      <c r="L37" s="800"/>
      <c r="M37" s="725">
        <f t="shared" si="6"/>
        <v>0</v>
      </c>
      <c r="N37" s="801"/>
      <c r="O37" s="562">
        <f t="shared" si="18"/>
        <v>0</v>
      </c>
      <c r="P37" s="802">
        <f>'Milling Down Time Hours'!Q22</f>
        <v>24</v>
      </c>
      <c r="Q37" s="802"/>
      <c r="R37" s="802">
        <f>'Milling Down Time Hours'!P22</f>
        <v>0</v>
      </c>
      <c r="S37" s="581"/>
      <c r="T37" s="803"/>
      <c r="U37" s="803"/>
      <c r="V37" s="804"/>
      <c r="W37" s="485">
        <f t="shared" si="2"/>
        <v>0</v>
      </c>
      <c r="X37" s="569">
        <f t="shared" si="3"/>
        <v>0</v>
      </c>
      <c r="Y37" s="569">
        <f t="shared" si="4"/>
        <v>0</v>
      </c>
      <c r="AA37" s="794">
        <f>269.92*1.28*41.76%</f>
        <v>144.27979776000001</v>
      </c>
    </row>
    <row r="38" spans="1:32" s="794" customFormat="1" ht="15" thickBot="1" x14ac:dyDescent="0.35">
      <c r="A38" s="714"/>
      <c r="B38" s="1174">
        <v>46281</v>
      </c>
      <c r="C38" s="1175"/>
      <c r="D38" s="799"/>
      <c r="E38" s="799"/>
      <c r="F38" s="575" t="s">
        <v>13</v>
      </c>
      <c r="G38" s="800"/>
      <c r="H38" s="581"/>
      <c r="I38" s="562">
        <f t="shared" si="13"/>
        <v>0</v>
      </c>
      <c r="J38" s="581"/>
      <c r="K38" s="581"/>
      <c r="L38" s="800"/>
      <c r="M38" s="725">
        <f t="shared" si="6"/>
        <v>0</v>
      </c>
      <c r="N38" s="801"/>
      <c r="O38" s="562" t="str">
        <f t="shared" si="18"/>
        <v/>
      </c>
      <c r="P38" s="802"/>
      <c r="Q38" s="802"/>
      <c r="R38" s="802"/>
      <c r="S38" s="581"/>
      <c r="T38" s="805"/>
      <c r="U38" s="805"/>
      <c r="V38" s="806"/>
      <c r="W38" s="485">
        <f t="shared" si="2"/>
        <v>0</v>
      </c>
      <c r="X38" s="569">
        <f t="shared" si="3"/>
        <v>0</v>
      </c>
      <c r="Y38" s="569">
        <f t="shared" si="4"/>
        <v>0</v>
      </c>
      <c r="AA38" s="794">
        <f>323.55*1.29*42.92%</f>
        <v>179.13928140000002</v>
      </c>
    </row>
    <row r="39" spans="1:32" s="794" customFormat="1" ht="15" thickBot="1" x14ac:dyDescent="0.35">
      <c r="A39" s="714"/>
      <c r="B39" s="1176"/>
      <c r="C39" s="1177"/>
      <c r="D39" s="516"/>
      <c r="E39" s="807"/>
      <c r="F39" s="724" t="s">
        <v>14</v>
      </c>
      <c r="G39" s="631"/>
      <c r="H39" s="631"/>
      <c r="I39" s="562">
        <f t="shared" si="13"/>
        <v>0</v>
      </c>
      <c r="J39" s="631"/>
      <c r="K39" s="631"/>
      <c r="L39" s="498"/>
      <c r="M39" s="725">
        <f t="shared" si="6"/>
        <v>0</v>
      </c>
      <c r="N39" s="498"/>
      <c r="O39" s="562" t="str">
        <f t="shared" si="18"/>
        <v/>
      </c>
      <c r="P39" s="482">
        <f>'Milling Down Time Hours'!Q23</f>
        <v>0</v>
      </c>
      <c r="Q39" s="482"/>
      <c r="R39" s="482">
        <f>'Milling Down Time Hours'!P23</f>
        <v>0</v>
      </c>
      <c r="S39" s="498"/>
      <c r="T39" s="1313"/>
      <c r="U39" s="1313"/>
      <c r="V39" s="1315"/>
      <c r="W39" s="485">
        <f t="shared" si="2"/>
        <v>0</v>
      </c>
      <c r="X39" s="569">
        <f t="shared" si="3"/>
        <v>0</v>
      </c>
      <c r="Y39" s="569">
        <f t="shared" si="4"/>
        <v>0</v>
      </c>
      <c r="AA39" s="794">
        <f>AA38-AA37</f>
        <v>34.859483640000008</v>
      </c>
    </row>
    <row r="40" spans="1:32" s="794" customFormat="1" ht="15" thickBot="1" x14ac:dyDescent="0.35">
      <c r="A40" s="714"/>
      <c r="B40" s="1157">
        <v>46282</v>
      </c>
      <c r="C40" s="1158"/>
      <c r="D40" s="498"/>
      <c r="E40" s="498"/>
      <c r="F40" s="575" t="s">
        <v>13</v>
      </c>
      <c r="G40" s="631"/>
      <c r="H40" s="631"/>
      <c r="I40" s="562">
        <f t="shared" si="13"/>
        <v>0</v>
      </c>
      <c r="J40" s="631"/>
      <c r="K40" s="631"/>
      <c r="L40" s="498"/>
      <c r="M40" s="725">
        <f t="shared" si="6"/>
        <v>0</v>
      </c>
      <c r="N40" s="498"/>
      <c r="O40" s="562" t="str">
        <f t="shared" si="18"/>
        <v/>
      </c>
      <c r="P40" s="482"/>
      <c r="Q40" s="482"/>
      <c r="R40" s="482"/>
      <c r="S40" s="498"/>
      <c r="T40" s="1314"/>
      <c r="U40" s="1314"/>
      <c r="V40" s="1316"/>
      <c r="W40" s="485">
        <f t="shared" si="2"/>
        <v>0</v>
      </c>
      <c r="X40" s="569">
        <f t="shared" si="3"/>
        <v>0</v>
      </c>
      <c r="Y40" s="569">
        <f t="shared" si="4"/>
        <v>0</v>
      </c>
      <c r="AA40" s="808" t="s">
        <v>514</v>
      </c>
      <c r="AF40" s="794">
        <f>53-6-17</f>
        <v>30</v>
      </c>
    </row>
    <row r="41" spans="1:32" s="794" customFormat="1" ht="15" thickBot="1" x14ac:dyDescent="0.35">
      <c r="A41" s="714"/>
      <c r="B41" s="1159"/>
      <c r="C41" s="1160"/>
      <c r="D41" s="516"/>
      <c r="E41" s="807"/>
      <c r="F41" s="724" t="s">
        <v>14</v>
      </c>
      <c r="G41" s="497"/>
      <c r="H41" s="482"/>
      <c r="I41" s="562">
        <f t="shared" si="13"/>
        <v>0</v>
      </c>
      <c r="J41" s="482"/>
      <c r="K41" s="498"/>
      <c r="L41" s="497"/>
      <c r="M41" s="725">
        <f t="shared" si="6"/>
        <v>0</v>
      </c>
      <c r="N41" s="482"/>
      <c r="O41" s="562" t="str">
        <f t="shared" si="18"/>
        <v/>
      </c>
      <c r="P41" s="482">
        <f>'Milling Down Time Hours'!Q24</f>
        <v>0</v>
      </c>
      <c r="Q41" s="482"/>
      <c r="R41" s="482">
        <f>'Milling Down Time Hours'!P24</f>
        <v>0</v>
      </c>
      <c r="S41" s="498"/>
      <c r="T41" s="484"/>
      <c r="U41" s="484"/>
      <c r="V41" s="793"/>
      <c r="W41" s="485">
        <f t="shared" si="2"/>
        <v>0</v>
      </c>
      <c r="X41" s="569">
        <f t="shared" si="3"/>
        <v>0</v>
      </c>
      <c r="Y41" s="569">
        <f t="shared" si="4"/>
        <v>0</v>
      </c>
      <c r="AA41" s="808"/>
      <c r="AD41" s="808"/>
      <c r="AE41" s="808"/>
    </row>
    <row r="42" spans="1:32" ht="15" thickBot="1" x14ac:dyDescent="0.35">
      <c r="B42" s="1157">
        <v>46283</v>
      </c>
      <c r="C42" s="1158"/>
      <c r="D42" s="14"/>
      <c r="E42" s="14"/>
      <c r="F42" s="585" t="s">
        <v>13</v>
      </c>
      <c r="G42" s="41"/>
      <c r="H42" s="14"/>
      <c r="I42" s="630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0" t="str">
        <f t="shared" si="18"/>
        <v/>
      </c>
      <c r="P42" s="40"/>
      <c r="Q42" s="40"/>
      <c r="R42" s="40"/>
      <c r="S42" s="14"/>
      <c r="T42" s="177"/>
      <c r="U42" s="177"/>
      <c r="V42" s="240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59"/>
      <c r="C43" s="1160"/>
      <c r="D43" s="37"/>
      <c r="E43" s="37"/>
      <c r="F43" s="584" t="s">
        <v>14</v>
      </c>
      <c r="G43" s="41"/>
      <c r="H43" s="14"/>
      <c r="I43" s="630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0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57">
        <v>46284</v>
      </c>
      <c r="C44" s="1158"/>
      <c r="D44" s="14"/>
      <c r="E44" s="14"/>
      <c r="F44" s="585" t="s">
        <v>13</v>
      </c>
      <c r="G44" s="41"/>
      <c r="H44" s="14"/>
      <c r="I44" s="630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1"/>
      <c r="U44" s="177"/>
      <c r="V44" s="240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59"/>
      <c r="C45" s="1160"/>
      <c r="D45" s="37"/>
      <c r="E45" s="37"/>
      <c r="F45" s="584" t="s">
        <v>14</v>
      </c>
      <c r="G45" s="41"/>
      <c r="H45" s="14"/>
      <c r="I45" s="630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57">
        <v>46285</v>
      </c>
      <c r="C46" s="1158"/>
      <c r="D46" s="14"/>
      <c r="E46" s="14"/>
      <c r="F46" s="585" t="s">
        <v>13</v>
      </c>
      <c r="G46" s="6"/>
      <c r="H46" s="6"/>
      <c r="I46" s="630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1"/>
      <c r="U46" s="241"/>
      <c r="V46" s="242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59"/>
      <c r="C47" s="1160"/>
      <c r="D47" s="37"/>
      <c r="E47" s="37"/>
      <c r="F47" s="584" t="s">
        <v>14</v>
      </c>
      <c r="G47" s="247"/>
      <c r="H47" s="14"/>
      <c r="I47" s="630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144"/>
      <c r="U47" s="1144"/>
      <c r="V47" s="1146"/>
      <c r="W47" s="161"/>
      <c r="X47" s="156"/>
      <c r="Y47" s="156"/>
    </row>
    <row r="48" spans="1:32" ht="15" thickBot="1" x14ac:dyDescent="0.35">
      <c r="B48" s="1157">
        <v>46286</v>
      </c>
      <c r="C48" s="1158"/>
      <c r="D48" s="14"/>
      <c r="E48" s="14"/>
      <c r="F48" s="585" t="s">
        <v>13</v>
      </c>
      <c r="G48" s="6"/>
      <c r="H48" s="6"/>
      <c r="I48" s="630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45"/>
      <c r="U48" s="1145"/>
      <c r="V48" s="1147"/>
      <c r="W48" s="161"/>
      <c r="X48" s="156"/>
      <c r="Y48" s="156"/>
    </row>
    <row r="49" spans="2:28" ht="15" thickBot="1" x14ac:dyDescent="0.35">
      <c r="B49" s="1159"/>
      <c r="C49" s="1160"/>
      <c r="D49" s="37"/>
      <c r="E49" s="250"/>
      <c r="F49" s="584" t="s">
        <v>14</v>
      </c>
      <c r="G49" s="6"/>
      <c r="H49" s="6"/>
      <c r="I49" s="630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44"/>
      <c r="U49" s="1144"/>
      <c r="V49" s="1146"/>
      <c r="W49" s="161"/>
      <c r="X49" s="156"/>
      <c r="Y49" s="156"/>
    </row>
    <row r="50" spans="2:28" ht="15" thickBot="1" x14ac:dyDescent="0.35">
      <c r="B50" s="1157">
        <v>46287</v>
      </c>
      <c r="C50" s="1158"/>
      <c r="D50" s="14"/>
      <c r="E50" s="14"/>
      <c r="F50" s="585" t="s">
        <v>13</v>
      </c>
      <c r="G50" s="6"/>
      <c r="H50" s="6"/>
      <c r="I50" s="630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45"/>
      <c r="U50" s="1145"/>
      <c r="V50" s="1147"/>
      <c r="W50" s="161"/>
      <c r="X50" s="156"/>
      <c r="Y50" s="156"/>
    </row>
    <row r="51" spans="2:28" ht="15" thickBot="1" x14ac:dyDescent="0.35">
      <c r="B51" s="1159"/>
      <c r="C51" s="1160"/>
      <c r="D51" s="37"/>
      <c r="E51" s="250"/>
      <c r="F51" s="584" t="s">
        <v>14</v>
      </c>
      <c r="G51" s="6"/>
      <c r="H51" s="6"/>
      <c r="I51" s="630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44"/>
      <c r="U51" s="1144"/>
      <c r="V51" s="1146"/>
      <c r="W51" s="161"/>
      <c r="X51" s="156"/>
      <c r="Y51" s="156"/>
    </row>
    <row r="52" spans="2:28" ht="15" thickBot="1" x14ac:dyDescent="0.35">
      <c r="B52" s="1157">
        <v>46288</v>
      </c>
      <c r="C52" s="1158"/>
      <c r="D52" s="14"/>
      <c r="E52" s="14"/>
      <c r="F52" s="585" t="s">
        <v>13</v>
      </c>
      <c r="G52" s="6"/>
      <c r="H52" s="6"/>
      <c r="I52" s="630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45"/>
      <c r="U52" s="1145"/>
      <c r="V52" s="1147"/>
      <c r="W52" s="161"/>
      <c r="X52" s="156"/>
      <c r="Y52" s="156"/>
    </row>
    <row r="53" spans="2:28" ht="15" thickBot="1" x14ac:dyDescent="0.35">
      <c r="B53" s="1159"/>
      <c r="C53" s="1160"/>
      <c r="D53" s="37"/>
      <c r="E53" s="37"/>
      <c r="F53" s="584" t="s">
        <v>14</v>
      </c>
      <c r="G53" s="6"/>
      <c r="H53" s="6"/>
      <c r="I53" s="630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44"/>
      <c r="U53" s="1144"/>
      <c r="V53" s="1146"/>
      <c r="W53" s="161"/>
      <c r="X53" s="156"/>
      <c r="Y53" s="156"/>
    </row>
    <row r="54" spans="2:28" ht="15" thickBot="1" x14ac:dyDescent="0.35">
      <c r="B54" s="1157">
        <v>46289</v>
      </c>
      <c r="C54" s="1158"/>
      <c r="D54" s="14"/>
      <c r="E54" s="14"/>
      <c r="F54" s="585" t="s">
        <v>13</v>
      </c>
      <c r="G54" s="6"/>
      <c r="H54" s="6"/>
      <c r="I54" s="630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45"/>
      <c r="U54" s="1145"/>
      <c r="V54" s="1147"/>
      <c r="W54" s="161"/>
      <c r="X54" s="156"/>
      <c r="Y54" s="156"/>
      <c r="AB54" s="1">
        <v>9570</v>
      </c>
    </row>
    <row r="55" spans="2:28" ht="15" thickBot="1" x14ac:dyDescent="0.35">
      <c r="B55" s="1159"/>
      <c r="C55" s="1160"/>
      <c r="D55" s="37"/>
      <c r="E55" s="37"/>
      <c r="F55" s="584" t="s">
        <v>14</v>
      </c>
      <c r="G55" s="41"/>
      <c r="H55" s="6"/>
      <c r="I55" s="630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17.999999999999996</v>
      </c>
      <c r="Q55" s="40"/>
      <c r="R55" s="40">
        <f>'Milling Down Time Hours'!L61</f>
        <v>0</v>
      </c>
      <c r="S55" s="14"/>
      <c r="T55" s="1144"/>
      <c r="U55" s="1144"/>
      <c r="V55" s="1146"/>
      <c r="W55" s="161"/>
      <c r="X55" s="156"/>
      <c r="Y55" s="156"/>
      <c r="AB55" s="1">
        <v>8795</v>
      </c>
    </row>
    <row r="56" spans="2:28" ht="15" thickBot="1" x14ac:dyDescent="0.35">
      <c r="B56" s="1157">
        <v>46290</v>
      </c>
      <c r="C56" s="1158"/>
      <c r="D56" s="14"/>
      <c r="E56" s="14"/>
      <c r="F56" s="585" t="s">
        <v>13</v>
      </c>
      <c r="G56" s="41"/>
      <c r="H56" s="6"/>
      <c r="I56" s="630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45"/>
      <c r="U56" s="1145"/>
      <c r="V56" s="1147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59"/>
      <c r="C57" s="1160"/>
      <c r="D57" s="37"/>
      <c r="E57" s="37"/>
      <c r="F57" s="584" t="s">
        <v>14</v>
      </c>
      <c r="G57" s="41"/>
      <c r="H57" s="6"/>
      <c r="I57" s="630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44"/>
      <c r="U57" s="1144"/>
      <c r="V57" s="1146"/>
      <c r="W57" s="161"/>
      <c r="X57" s="156"/>
      <c r="Y57" s="156"/>
    </row>
    <row r="58" spans="2:28" ht="15" thickBot="1" x14ac:dyDescent="0.35">
      <c r="B58" s="1157">
        <v>46291</v>
      </c>
      <c r="C58" s="1158"/>
      <c r="D58" s="14"/>
      <c r="E58" s="14"/>
      <c r="F58" s="585" t="s">
        <v>13</v>
      </c>
      <c r="G58" s="6"/>
      <c r="H58" s="6"/>
      <c r="I58" s="630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45"/>
      <c r="U58" s="1145"/>
      <c r="V58" s="1147"/>
      <c r="W58" s="161"/>
      <c r="X58" s="156"/>
      <c r="Y58" s="156"/>
    </row>
    <row r="59" spans="2:28" ht="15" thickBot="1" x14ac:dyDescent="0.35">
      <c r="B59" s="1159"/>
      <c r="C59" s="1160"/>
      <c r="D59" s="37"/>
      <c r="E59" s="37"/>
      <c r="F59" s="584" t="s">
        <v>14</v>
      </c>
      <c r="G59" s="6"/>
      <c r="H59" s="6"/>
      <c r="I59" s="630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44"/>
      <c r="U59" s="1144"/>
      <c r="V59" s="1146"/>
      <c r="W59" s="161"/>
      <c r="X59" s="156"/>
      <c r="Y59" s="156"/>
    </row>
    <row r="60" spans="2:28" ht="15" thickBot="1" x14ac:dyDescent="0.35">
      <c r="B60" s="1157">
        <v>46292</v>
      </c>
      <c r="C60" s="1158"/>
      <c r="D60" s="14"/>
      <c r="E60" s="14"/>
      <c r="F60" s="585" t="s">
        <v>13</v>
      </c>
      <c r="G60" s="6"/>
      <c r="H60" s="6"/>
      <c r="I60" s="630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45"/>
      <c r="U60" s="1145"/>
      <c r="V60" s="1147"/>
      <c r="W60" s="161"/>
      <c r="X60" s="156"/>
      <c r="Y60" s="156"/>
    </row>
    <row r="61" spans="2:28" ht="15" thickBot="1" x14ac:dyDescent="0.35">
      <c r="B61" s="1159"/>
      <c r="C61" s="1160"/>
      <c r="D61" s="37"/>
      <c r="E61" s="37"/>
      <c r="F61" s="584" t="s">
        <v>14</v>
      </c>
      <c r="G61" s="6"/>
      <c r="H61" s="6"/>
      <c r="I61" s="630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44"/>
      <c r="U61" s="1144"/>
      <c r="V61" s="1146"/>
      <c r="W61" s="161"/>
      <c r="X61" s="156"/>
      <c r="Y61" s="156"/>
    </row>
    <row r="62" spans="2:28" ht="15" thickBot="1" x14ac:dyDescent="0.35">
      <c r="B62" s="1157">
        <v>46293</v>
      </c>
      <c r="C62" s="1158"/>
      <c r="D62" s="14"/>
      <c r="E62" s="14"/>
      <c r="F62" s="585" t="s">
        <v>13</v>
      </c>
      <c r="G62" s="6"/>
      <c r="H62" s="6"/>
      <c r="I62" s="630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45"/>
      <c r="U62" s="1145"/>
      <c r="V62" s="1147"/>
      <c r="W62" s="161"/>
      <c r="X62" s="156"/>
      <c r="Y62" s="156"/>
    </row>
    <row r="63" spans="2:28" ht="15" thickBot="1" x14ac:dyDescent="0.35">
      <c r="B63" s="1159"/>
      <c r="C63" s="1160"/>
      <c r="D63" s="37"/>
      <c r="E63" s="37"/>
      <c r="F63" s="584" t="s">
        <v>14</v>
      </c>
      <c r="G63" s="6"/>
      <c r="H63" s="6"/>
      <c r="I63" s="630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161"/>
      <c r="U63" s="1161"/>
      <c r="V63" s="1163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57">
        <v>46294</v>
      </c>
      <c r="C64" s="1158"/>
      <c r="D64" s="14"/>
      <c r="E64" s="14"/>
      <c r="F64" s="585" t="s">
        <v>13</v>
      </c>
      <c r="G64" s="6"/>
      <c r="H64" s="6"/>
      <c r="I64" s="630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62"/>
      <c r="U64" s="1162"/>
      <c r="V64" s="1164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59"/>
      <c r="C65" s="1160"/>
      <c r="D65" s="37"/>
      <c r="E65" s="37"/>
      <c r="F65" s="584" t="s">
        <v>14</v>
      </c>
      <c r="G65" s="6"/>
      <c r="H65" s="6"/>
      <c r="I65" s="630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161"/>
      <c r="U65" s="1161"/>
      <c r="V65" s="1167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57">
        <v>46295</v>
      </c>
      <c r="C66" s="1158"/>
      <c r="D66" s="14"/>
      <c r="E66" s="14"/>
      <c r="F66" s="585" t="s">
        <v>13</v>
      </c>
      <c r="G66" s="6"/>
      <c r="H66" s="6"/>
      <c r="I66" s="630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62"/>
      <c r="U66" s="1162"/>
      <c r="V66" s="1168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59"/>
      <c r="C67" s="1160"/>
      <c r="D67" s="37"/>
      <c r="E67" s="37"/>
      <c r="F67" s="584" t="s">
        <v>14</v>
      </c>
      <c r="G67" s="6"/>
      <c r="H67" s="6"/>
      <c r="I67" s="630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2"/>
      <c r="Q67" s="432"/>
      <c r="R67" s="40">
        <f>'Milling Down Time Hours'!L73</f>
        <v>0</v>
      </c>
      <c r="S67" s="14"/>
      <c r="T67" s="1161"/>
      <c r="U67" s="1161"/>
      <c r="V67" s="1167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57">
        <v>46296</v>
      </c>
      <c r="C68" s="1158"/>
      <c r="D68" s="14"/>
      <c r="E68" s="14"/>
      <c r="F68" s="585" t="s">
        <v>13</v>
      </c>
      <c r="G68" s="6"/>
      <c r="H68" s="6"/>
      <c r="I68" s="630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2"/>
      <c r="Q68" s="432"/>
      <c r="R68" s="40"/>
      <c r="S68" s="14"/>
      <c r="T68" s="1162"/>
      <c r="U68" s="1162"/>
      <c r="V68" s="1168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59"/>
      <c r="C69" s="1160"/>
      <c r="D69" s="37"/>
      <c r="E69" s="37"/>
      <c r="F69" s="584" t="s">
        <v>14</v>
      </c>
      <c r="G69" s="6"/>
      <c r="H69" s="6"/>
      <c r="I69" s="630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161"/>
      <c r="U69" s="1161"/>
      <c r="V69" s="1163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57">
        <v>46297</v>
      </c>
      <c r="C70" s="1158"/>
      <c r="D70" s="14"/>
      <c r="E70" s="14"/>
      <c r="F70" s="585" t="s">
        <v>13</v>
      </c>
      <c r="G70" s="6"/>
      <c r="H70" s="6"/>
      <c r="I70" s="630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62"/>
      <c r="U70" s="1162"/>
      <c r="V70" s="1164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59"/>
      <c r="C71" s="1160"/>
      <c r="D71" s="37"/>
      <c r="E71" s="37"/>
      <c r="F71" s="584" t="s">
        <v>14</v>
      </c>
      <c r="G71" s="41"/>
      <c r="H71" s="6"/>
      <c r="I71" s="630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161"/>
      <c r="U71" s="1161"/>
      <c r="V71" s="1163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57">
        <v>46298</v>
      </c>
      <c r="C72" s="1158"/>
      <c r="D72" s="14"/>
      <c r="E72" s="14"/>
      <c r="F72" s="585" t="s">
        <v>13</v>
      </c>
      <c r="G72" s="14"/>
      <c r="H72" s="6"/>
      <c r="I72" s="630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62"/>
      <c r="U72" s="1162"/>
      <c r="V72" s="1164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59"/>
      <c r="C73" s="1160"/>
      <c r="D73" s="37"/>
      <c r="E73" s="37"/>
      <c r="F73" s="584" t="s">
        <v>14</v>
      </c>
      <c r="G73" s="41"/>
      <c r="H73" s="6"/>
      <c r="I73" s="630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161"/>
      <c r="U73" s="1161"/>
      <c r="V73" s="1163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57">
        <v>46299</v>
      </c>
      <c r="C74" s="1158"/>
      <c r="D74" s="14"/>
      <c r="E74" s="14"/>
      <c r="F74" s="585" t="s">
        <v>13</v>
      </c>
      <c r="G74" s="14"/>
      <c r="H74" s="6"/>
      <c r="I74" s="630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62"/>
      <c r="U74" s="1162"/>
      <c r="V74" s="1164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59"/>
      <c r="C75" s="1160"/>
      <c r="D75" s="37"/>
      <c r="E75" s="37"/>
      <c r="F75" s="584" t="s">
        <v>14</v>
      </c>
      <c r="G75" s="14"/>
      <c r="H75" s="6"/>
      <c r="I75" s="630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44"/>
      <c r="U75" s="1144"/>
      <c r="V75" s="1146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57">
        <v>46300</v>
      </c>
      <c r="C76" s="1158"/>
      <c r="D76" s="14"/>
      <c r="E76" s="14"/>
      <c r="F76" s="585" t="s">
        <v>13</v>
      </c>
      <c r="G76" s="14"/>
      <c r="H76" s="6"/>
      <c r="I76" s="630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45"/>
      <c r="U76" s="1145"/>
      <c r="V76" s="1147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59"/>
      <c r="C77" s="1160"/>
      <c r="D77" s="37"/>
      <c r="E77" s="37"/>
      <c r="F77" s="584" t="s">
        <v>14</v>
      </c>
      <c r="G77" s="41"/>
      <c r="H77" s="6"/>
      <c r="I77" s="630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161"/>
      <c r="U77" s="1161"/>
      <c r="V77" s="1163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57">
        <v>46301</v>
      </c>
      <c r="C78" s="1158"/>
      <c r="D78" s="14"/>
      <c r="E78" s="14"/>
      <c r="F78" s="585" t="s">
        <v>13</v>
      </c>
      <c r="G78" s="14"/>
      <c r="H78" s="6"/>
      <c r="I78" s="630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62"/>
      <c r="U78" s="1162"/>
      <c r="V78" s="1164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65"/>
      <c r="C79" s="1166"/>
      <c r="D79" s="37"/>
      <c r="E79" s="37"/>
      <c r="F79" s="584" t="s">
        <v>14</v>
      </c>
      <c r="G79" s="41"/>
      <c r="H79" s="6"/>
      <c r="I79" s="630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217">
        <f>'Milling Down Time Hours'!Q43</f>
        <v>0</v>
      </c>
      <c r="Q79" s="40"/>
      <c r="R79" s="1217">
        <f>'Milling Down Time Hours'!L85</f>
        <v>0</v>
      </c>
      <c r="S79" s="14"/>
      <c r="T79" s="1161">
        <v>0.35699999999999998</v>
      </c>
      <c r="U79" s="1161">
        <v>1.056</v>
      </c>
      <c r="V79" s="1163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65"/>
      <c r="C80" s="1166"/>
      <c r="D80" s="14"/>
      <c r="E80" s="14"/>
      <c r="F80" s="585" t="s">
        <v>13</v>
      </c>
      <c r="G80" s="6"/>
      <c r="H80" s="6"/>
      <c r="I80" s="630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217"/>
      <c r="Q80" s="40"/>
      <c r="R80" s="1217"/>
      <c r="S80" s="14"/>
      <c r="T80" s="1162"/>
      <c r="U80" s="1162"/>
      <c r="V80" s="1164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65"/>
      <c r="C81" s="1166"/>
      <c r="D81" s="37"/>
      <c r="E81" s="37"/>
      <c r="F81" s="584" t="s">
        <v>14</v>
      </c>
      <c r="G81" s="6"/>
      <c r="H81" s="6"/>
      <c r="I81" s="630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217">
        <f>'Milling Down Time Hours'!M87</f>
        <v>0</v>
      </c>
      <c r="Q81" s="40"/>
      <c r="R81" s="1217">
        <f>'Milling Down Time Hours'!L87</f>
        <v>0</v>
      </c>
      <c r="S81" s="14"/>
      <c r="T81" s="1144" t="e">
        <f>SUM(#REF!)</f>
        <v>#REF!</v>
      </c>
      <c r="U81" s="1144" t="e">
        <f t="shared" ref="U81" si="26">SUM(T81:T83)</f>
        <v>#REF!</v>
      </c>
      <c r="V81" s="1146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65"/>
      <c r="C82" s="1166"/>
      <c r="D82" s="14"/>
      <c r="E82" s="14"/>
      <c r="F82" s="585" t="s">
        <v>13</v>
      </c>
      <c r="G82" s="6"/>
      <c r="H82" s="6"/>
      <c r="I82" s="630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217"/>
      <c r="Q82" s="40"/>
      <c r="R82" s="1217"/>
      <c r="S82" s="14"/>
      <c r="T82" s="1145"/>
      <c r="U82" s="1145"/>
      <c r="V82" s="1147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65"/>
      <c r="C83" s="1166"/>
      <c r="D83" s="37"/>
      <c r="E83" s="37"/>
      <c r="F83" s="584" t="s">
        <v>14</v>
      </c>
      <c r="G83" s="6"/>
      <c r="H83" s="6"/>
      <c r="I83" s="630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217">
        <f>'Milling Down Time Hours'!M89</f>
        <v>0</v>
      </c>
      <c r="Q83" s="40"/>
      <c r="R83" s="1217">
        <f>'Milling Down Time Hours'!L89</f>
        <v>0</v>
      </c>
      <c r="S83" s="14"/>
      <c r="T83" s="1144" t="e">
        <f>SUM(#REF!)</f>
        <v>#REF!</v>
      </c>
      <c r="U83" s="1144" t="e">
        <f t="shared" ref="U83" si="28">SUM(T83:T85)</f>
        <v>#REF!</v>
      </c>
      <c r="V83" s="1146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65"/>
      <c r="C84" s="1166"/>
      <c r="D84" s="14"/>
      <c r="E84" s="14"/>
      <c r="F84" s="585" t="s">
        <v>13</v>
      </c>
      <c r="G84" s="6"/>
      <c r="H84" s="6"/>
      <c r="I84" s="630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217"/>
      <c r="Q84" s="40"/>
      <c r="R84" s="1217"/>
      <c r="S84" s="14"/>
      <c r="T84" s="1145"/>
      <c r="U84" s="1145"/>
      <c r="V84" s="1147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65"/>
      <c r="C85" s="1166"/>
      <c r="D85" s="37"/>
      <c r="E85" s="37"/>
      <c r="F85" s="584" t="s">
        <v>14</v>
      </c>
      <c r="G85" s="6"/>
      <c r="H85" s="6"/>
      <c r="I85" s="630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217">
        <f>'Milling Down Time Hours'!M91</f>
        <v>0</v>
      </c>
      <c r="Q85" s="40"/>
      <c r="R85" s="1217">
        <f>'Milling Down Time Hours'!L91</f>
        <v>0</v>
      </c>
      <c r="S85" s="14"/>
      <c r="T85" s="1144" t="e">
        <f>SUM(#REF!)</f>
        <v>#REF!</v>
      </c>
      <c r="U85" s="1144" t="e">
        <f t="shared" ref="U85" si="30">SUM(T85:T87)</f>
        <v>#REF!</v>
      </c>
      <c r="V85" s="1146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65"/>
      <c r="C86" s="1166"/>
      <c r="D86" s="14"/>
      <c r="E86" s="14"/>
      <c r="F86" s="585" t="s">
        <v>13</v>
      </c>
      <c r="G86" s="6"/>
      <c r="H86" s="6"/>
      <c r="I86" s="630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217"/>
      <c r="Q86" s="40"/>
      <c r="R86" s="1217"/>
      <c r="S86" s="14"/>
      <c r="T86" s="1145"/>
      <c r="U86" s="1145"/>
      <c r="V86" s="1147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65"/>
      <c r="C87" s="1166"/>
      <c r="D87" s="37"/>
      <c r="E87" s="37"/>
      <c r="F87" s="584" t="s">
        <v>14</v>
      </c>
      <c r="G87" s="6"/>
      <c r="H87" s="6"/>
      <c r="I87" s="630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217">
        <f>'Milling Down Time Hours'!M93</f>
        <v>0</v>
      </c>
      <c r="Q87" s="40"/>
      <c r="R87" s="1217">
        <f>'Milling Down Time Hours'!L93</f>
        <v>0</v>
      </c>
      <c r="S87" s="14"/>
      <c r="T87" s="1144" t="e">
        <f>SUM(#REF!)</f>
        <v>#REF!</v>
      </c>
      <c r="U87" s="1144" t="e">
        <f t="shared" ref="U87" si="32">SUM(T87:T89)</f>
        <v>#REF!</v>
      </c>
      <c r="V87" s="1146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65"/>
      <c r="C88" s="1166"/>
      <c r="D88" s="14"/>
      <c r="E88" s="14"/>
      <c r="F88" s="585" t="s">
        <v>13</v>
      </c>
      <c r="G88" s="6"/>
      <c r="H88" s="6"/>
      <c r="I88" s="630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217"/>
      <c r="Q88" s="40"/>
      <c r="R88" s="1217"/>
      <c r="S88" s="14"/>
      <c r="T88" s="1145"/>
      <c r="U88" s="1145"/>
      <c r="V88" s="1147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65"/>
      <c r="C89" s="1166"/>
      <c r="D89" s="37"/>
      <c r="E89" s="37"/>
      <c r="F89" s="584" t="s">
        <v>14</v>
      </c>
      <c r="G89" s="6"/>
      <c r="H89" s="6"/>
      <c r="I89" s="630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217">
        <f>'Milling Down Time Hours'!M95</f>
        <v>0</v>
      </c>
      <c r="Q89" s="40"/>
      <c r="R89" s="1217">
        <f>'Milling Down Time Hours'!L95</f>
        <v>0</v>
      </c>
      <c r="S89" s="14"/>
      <c r="T89" s="1144" t="e">
        <f>SUM(#REF!)</f>
        <v>#REF!</v>
      </c>
      <c r="U89" s="1144" t="e">
        <f t="shared" ref="U89" si="34">SUM(T89:T91)</f>
        <v>#REF!</v>
      </c>
      <c r="V89" s="1146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65"/>
      <c r="C90" s="1166"/>
      <c r="D90" s="14"/>
      <c r="E90" s="14"/>
      <c r="F90" s="585" t="s">
        <v>13</v>
      </c>
      <c r="G90" s="6"/>
      <c r="H90" s="6"/>
      <c r="I90" s="630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217"/>
      <c r="Q90" s="40"/>
      <c r="R90" s="1217"/>
      <c r="S90" s="14"/>
      <c r="T90" s="1145"/>
      <c r="U90" s="1145"/>
      <c r="V90" s="1147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65"/>
      <c r="C91" s="1166"/>
      <c r="D91" s="37"/>
      <c r="E91" s="37"/>
      <c r="F91" s="584" t="s">
        <v>14</v>
      </c>
      <c r="G91" s="6"/>
      <c r="H91" s="6"/>
      <c r="I91" s="630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217">
        <f>'Milling Down Time Hours'!M97</f>
        <v>0</v>
      </c>
      <c r="Q91" s="40"/>
      <c r="R91" s="1217">
        <f>'Milling Down Time Hours'!L97</f>
        <v>0</v>
      </c>
      <c r="S91" s="14"/>
      <c r="T91" s="1144" t="e">
        <f>SUM(#REF!)</f>
        <v>#REF!</v>
      </c>
      <c r="U91" s="1144" t="e">
        <f t="shared" ref="U91" si="36">SUM(T91:T93)</f>
        <v>#REF!</v>
      </c>
      <c r="V91" s="1146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65"/>
      <c r="C92" s="1166"/>
      <c r="D92" s="14"/>
      <c r="E92" s="14"/>
      <c r="F92" s="585" t="s">
        <v>13</v>
      </c>
      <c r="G92" s="6"/>
      <c r="H92" s="6"/>
      <c r="I92" s="630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217"/>
      <c r="Q92" s="40"/>
      <c r="R92" s="1217"/>
      <c r="S92" s="14"/>
      <c r="T92" s="1145"/>
      <c r="U92" s="1145"/>
      <c r="V92" s="1147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65"/>
      <c r="C93" s="1166"/>
      <c r="D93" s="37"/>
      <c r="E93" s="37"/>
      <c r="F93" s="584" t="s">
        <v>14</v>
      </c>
      <c r="G93" s="6"/>
      <c r="H93" s="6"/>
      <c r="I93" s="630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217">
        <f>'Milling Down Time Hours'!M99</f>
        <v>0</v>
      </c>
      <c r="Q93" s="40"/>
      <c r="R93" s="1217">
        <f>'Milling Down Time Hours'!L99</f>
        <v>0</v>
      </c>
      <c r="S93" s="14"/>
      <c r="T93" s="1144" t="e">
        <f>SUM(#REF!)</f>
        <v>#REF!</v>
      </c>
      <c r="U93" s="1144" t="e">
        <f t="shared" ref="U93" si="38">SUM(T93:T95)</f>
        <v>#REF!</v>
      </c>
      <c r="V93" s="1146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65"/>
      <c r="C94" s="1166"/>
      <c r="D94" s="14"/>
      <c r="E94" s="14"/>
      <c r="F94" s="585" t="s">
        <v>13</v>
      </c>
      <c r="G94" s="6"/>
      <c r="H94" s="6"/>
      <c r="I94" s="630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217"/>
      <c r="Q94" s="40"/>
      <c r="R94" s="1217"/>
      <c r="S94" s="14"/>
      <c r="T94" s="1145"/>
      <c r="U94" s="1145"/>
      <c r="V94" s="1147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65"/>
      <c r="C95" s="1166"/>
      <c r="D95" s="37"/>
      <c r="E95" s="37"/>
      <c r="F95" s="584" t="s">
        <v>14</v>
      </c>
      <c r="G95" s="6"/>
      <c r="H95" s="6"/>
      <c r="I95" s="630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217">
        <f>'Milling Down Time Hours'!M101</f>
        <v>0</v>
      </c>
      <c r="Q95" s="40"/>
      <c r="R95" s="1217">
        <f>'Milling Down Time Hours'!L101</f>
        <v>0</v>
      </c>
      <c r="S95" s="14"/>
      <c r="T95" s="1144" t="e">
        <f>SUM(#REF!)</f>
        <v>#REF!</v>
      </c>
      <c r="U95" s="1144" t="e">
        <f>SUM(T95:T99)</f>
        <v>#REF!</v>
      </c>
      <c r="V95" s="1146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65"/>
      <c r="C96" s="1166"/>
      <c r="D96" s="97"/>
      <c r="E96" s="97"/>
      <c r="F96" s="585" t="s">
        <v>13</v>
      </c>
      <c r="G96" s="180"/>
      <c r="H96" s="180"/>
      <c r="I96" s="630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217"/>
      <c r="Q96" s="40"/>
      <c r="R96" s="1217"/>
      <c r="S96" s="97"/>
      <c r="T96" s="1150"/>
      <c r="U96" s="1150"/>
      <c r="V96" s="1151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59"/>
      <c r="C97" s="1160"/>
      <c r="D97" s="528"/>
      <c r="E97" s="528"/>
      <c r="F97" s="584" t="s">
        <v>14</v>
      </c>
      <c r="G97" s="41"/>
      <c r="H97" s="6"/>
      <c r="I97" s="630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2"/>
      <c r="C98" s="463"/>
      <c r="D98" s="528"/>
      <c r="E98" s="528"/>
      <c r="F98" s="585" t="s">
        <v>13</v>
      </c>
      <c r="G98" s="6"/>
      <c r="H98" s="6"/>
      <c r="I98" s="630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1">
        <f>SUM(Z5:Z17)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4">
        <f>SUM(M5:M98)</f>
        <v>1723.7849127500003</v>
      </c>
      <c r="N99" s="144"/>
      <c r="O99" s="128"/>
      <c r="P99" s="129">
        <f>'Milling Down Time Hours'!Q59</f>
        <v>292.79999999999995</v>
      </c>
      <c r="Q99" s="129"/>
      <c r="R99" s="481"/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Rom File Inventory</vt:lpstr>
      <vt:lpstr>Crushing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2026-09-18T11:19:47Z</dcterms:modified>
</cp:coreProperties>
</file>